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4.xml" ContentType="application/vnd.openxmlformats-officedocument.drawingml.chart+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harts/chart39.xml" ContentType="application/vnd.openxmlformats-officedocument.drawingml.chart+xml"/>
  <Override PartName="/xl/charts/style40.xml" ContentType="application/vnd.ms-office.chartstyle+xml"/>
  <Override PartName="/xl/charts/colors40.xml" ContentType="application/vnd.ms-office.chartcolorstyle+xml"/>
  <Override PartName="/xl/charts/chart40.xml" ContentType="application/vnd.openxmlformats-officedocument.drawingml.chart+xml"/>
  <Override PartName="/xl/charts/style41.xml" ContentType="application/vnd.ms-office.chartstyle+xml"/>
  <Override PartName="/xl/charts/colors41.xml" ContentType="application/vnd.ms-office.chartcolorstyle+xml"/>
  <Override PartName="/xl/charts/chart41.xml" ContentType="application/vnd.openxmlformats-officedocument.drawingml.chart+xml"/>
  <Override PartName="/xl/charts/style42.xml" ContentType="application/vnd.ms-office.chartstyle+xml"/>
  <Override PartName="/xl/charts/colors42.xml" ContentType="application/vnd.ms-office.chartcolorstyle+xml"/>
  <Override PartName="/xl/charts/chart42.xml" ContentType="application/vnd.openxmlformats-officedocument.drawingml.chart+xml"/>
  <Override PartName="/xl/charts/style43.xml" ContentType="application/vnd.ms-office.chartstyle+xml"/>
  <Override PartName="/xl/charts/colors43.xml" ContentType="application/vnd.ms-office.chartcolorstyle+xml"/>
  <Override PartName="/xl/charts/chart43.xml" ContentType="application/vnd.openxmlformats-officedocument.drawingml.chart+xml"/>
  <Override PartName="/xl/charts/style44.xml" ContentType="application/vnd.ms-office.chartstyle+xml"/>
  <Override PartName="/xl/charts/colors44.xml" ContentType="application/vnd.ms-office.chartcolorstyle+xml"/>
  <Override PartName="/xl/charts/chart44.xml" ContentType="application/vnd.openxmlformats-officedocument.drawingml.chart+xml"/>
  <Override PartName="/xl/charts/style45.xml" ContentType="application/vnd.ms-office.chartstyle+xml"/>
  <Override PartName="/xl/charts/colors45.xml" ContentType="application/vnd.ms-office.chartcolorstyle+xml"/>
  <Override PartName="/xl/charts/chart45.xml" ContentType="application/vnd.openxmlformats-officedocument.drawingml.chart+xml"/>
  <Override PartName="/xl/charts/style46.xml" ContentType="application/vnd.ms-office.chartstyle+xml"/>
  <Override PartName="/xl/charts/colors46.xml" ContentType="application/vnd.ms-office.chartcolorstyle+xml"/>
  <Override PartName="/xl/charts/chart46.xml" ContentType="application/vnd.openxmlformats-officedocument.drawingml.chart+xml"/>
  <Override PartName="/xl/charts/style47.xml" ContentType="application/vnd.ms-office.chartstyle+xml"/>
  <Override PartName="/xl/charts/colors47.xml" ContentType="application/vnd.ms-office.chartcolorstyle+xml"/>
  <Override PartName="/xl/charts/chart47.xml" ContentType="application/vnd.openxmlformats-officedocument.drawingml.chart+xml"/>
  <Override PartName="/xl/charts/style48.xml" ContentType="application/vnd.ms-office.chartstyle+xml"/>
  <Override PartName="/xl/charts/colors48.xml" ContentType="application/vnd.ms-office.chartcolorstyle+xml"/>
  <Override PartName="/xl/charts/chart48.xml" ContentType="application/vnd.openxmlformats-officedocument.drawingml.chart+xml"/>
  <Override PartName="/xl/charts/style49.xml" ContentType="application/vnd.ms-office.chartstyle+xml"/>
  <Override PartName="/xl/charts/colors49.xml" ContentType="application/vnd.ms-office.chartcolorstyle+xml"/>
  <Override PartName="/xl/charts/chart49.xml" ContentType="application/vnd.openxmlformats-officedocument.drawingml.chart+xml"/>
  <Override PartName="/xl/charts/style50.xml" ContentType="application/vnd.ms-office.chartstyle+xml"/>
  <Override PartName="/xl/charts/colors50.xml" ContentType="application/vnd.ms-office.chartcolorstyle+xml"/>
  <Override PartName="/xl/charts/chart50.xml" ContentType="application/vnd.openxmlformats-officedocument.drawingml.chart+xml"/>
  <Override PartName="/xl/charts/style51.xml" ContentType="application/vnd.ms-office.chartstyle+xml"/>
  <Override PartName="/xl/charts/colors51.xml" ContentType="application/vnd.ms-office.chartcolorstyle+xml"/>
  <Override PartName="/xl/charts/chart51.xml" ContentType="application/vnd.openxmlformats-officedocument.drawingml.chart+xml"/>
  <Override PartName="/xl/charts/style52.xml" ContentType="application/vnd.ms-office.chartstyle+xml"/>
  <Override PartName="/xl/charts/colors52.xml" ContentType="application/vnd.ms-office.chartcolorstyle+xml"/>
  <Override PartName="/xl/charts/chart52.xml" ContentType="application/vnd.openxmlformats-officedocument.drawingml.chart+xml"/>
  <Override PartName="/xl/charts/style53.xml" ContentType="application/vnd.ms-office.chartstyle+xml"/>
  <Override PartName="/xl/charts/colors53.xml" ContentType="application/vnd.ms-office.chartcolorstyle+xml"/>
  <Override PartName="/xl/charts/chart53.xml" ContentType="application/vnd.openxmlformats-officedocument.drawingml.chart+xml"/>
  <Override PartName="/xl/charts/style54.xml" ContentType="application/vnd.ms-office.chartstyle+xml"/>
  <Override PartName="/xl/charts/colors54.xml" ContentType="application/vnd.ms-office.chartcolorstyle+xml"/>
  <Override PartName="/xl/charts/chart54.xml" ContentType="application/vnd.openxmlformats-officedocument.drawingml.chart+xml"/>
  <Override PartName="/xl/charts/style55.xml" ContentType="application/vnd.ms-office.chartstyle+xml"/>
  <Override PartName="/xl/charts/colors55.xml" ContentType="application/vnd.ms-office.chartcolorstyle+xml"/>
  <Override PartName="/xl/charts/chart55.xml" ContentType="application/vnd.openxmlformats-officedocument.drawingml.chart+xml"/>
  <Override PartName="/xl/charts/style56.xml" ContentType="application/vnd.ms-office.chartstyle+xml"/>
  <Override PartName="/xl/charts/colors56.xml" ContentType="application/vnd.ms-office.chartcolorstyle+xml"/>
  <Override PartName="/xl/charts/chart56.xml" ContentType="application/vnd.openxmlformats-officedocument.drawingml.chart+xml"/>
  <Override PartName="/xl/charts/style57.xml" ContentType="application/vnd.ms-office.chartstyle+xml"/>
  <Override PartName="/xl/charts/colors57.xml" ContentType="application/vnd.ms-office.chartcolorstyle+xml"/>
  <Override PartName="/xl/charts/chart57.xml" ContentType="application/vnd.openxmlformats-officedocument.drawingml.chart+xml"/>
  <Override PartName="/xl/charts/style58.xml" ContentType="application/vnd.ms-office.chartstyle+xml"/>
  <Override PartName="/xl/charts/colors58.xml" ContentType="application/vnd.ms-office.chartcolorstyle+xml"/>
  <Override PartName="/xl/charts/chart58.xml" ContentType="application/vnd.openxmlformats-officedocument.drawingml.chart+xml"/>
  <Override PartName="/xl/charts/style59.xml" ContentType="application/vnd.ms-office.chartstyle+xml"/>
  <Override PartName="/xl/charts/colors59.xml" ContentType="application/vnd.ms-office.chartcolorstyle+xml"/>
  <Override PartName="/xl/charts/chart59.xml" ContentType="application/vnd.openxmlformats-officedocument.drawingml.chart+xml"/>
  <Override PartName="/xl/charts/style60.xml" ContentType="application/vnd.ms-office.chartstyle+xml"/>
  <Override PartName="/xl/charts/colors60.xml" ContentType="application/vnd.ms-office.chartcolorstyle+xml"/>
  <Override PartName="/xl/charts/chart60.xml" ContentType="application/vnd.openxmlformats-officedocument.drawingml.chart+xml"/>
  <Override PartName="/xl/charts/style61.xml" ContentType="application/vnd.ms-office.chartstyle+xml"/>
  <Override PartName="/xl/charts/colors61.xml" ContentType="application/vnd.ms-office.chartcolorstyle+xml"/>
  <Override PartName="/xl/charts/chart61.xml" ContentType="application/vnd.openxmlformats-officedocument.drawingml.chart+xml"/>
  <Override PartName="/xl/charts/style62.xml" ContentType="application/vnd.ms-office.chartstyle+xml"/>
  <Override PartName="/xl/charts/colors62.xml" ContentType="application/vnd.ms-office.chartcolorstyle+xml"/>
  <Override PartName="/xl/charts/chart62.xml" ContentType="application/vnd.openxmlformats-officedocument.drawingml.chart+xml"/>
  <Override PartName="/xl/charts/style63.xml" ContentType="application/vnd.ms-office.chartstyle+xml"/>
  <Override PartName="/xl/charts/colors63.xml" ContentType="application/vnd.ms-office.chartcolorstyle+xml"/>
  <Override PartName="/xl/charts/chart63.xml" ContentType="application/vnd.openxmlformats-officedocument.drawingml.chart+xml"/>
  <Override PartName="/xl/charts/style64.xml" ContentType="application/vnd.ms-office.chartstyle+xml"/>
  <Override PartName="/xl/charts/colors64.xml" ContentType="application/vnd.ms-office.chartcolorstyle+xml"/>
  <Override PartName="/xl/charts/chart64.xml" ContentType="application/vnd.openxmlformats-officedocument.drawingml.chart+xml"/>
  <Override PartName="/xl/charts/style65.xml" ContentType="application/vnd.ms-office.chartstyle+xml"/>
  <Override PartName="/xl/charts/colors65.xml" ContentType="application/vnd.ms-office.chartcolorstyle+xml"/>
  <Override PartName="/xl/charts/chart65.xml" ContentType="application/vnd.openxmlformats-officedocument.drawingml.chart+xml"/>
  <Override PartName="/xl/charts/style66.xml" ContentType="application/vnd.ms-office.chartstyle+xml"/>
  <Override PartName="/xl/charts/colors66.xml" ContentType="application/vnd.ms-office.chartcolorstyle+xml"/>
  <Override PartName="/xl/charts/chart66.xml" ContentType="application/vnd.openxmlformats-officedocument.drawingml.chart+xml"/>
  <Override PartName="/xl/charts/style67.xml" ContentType="application/vnd.ms-office.chartstyle+xml"/>
  <Override PartName="/xl/charts/colors67.xml" ContentType="application/vnd.ms-office.chartcolorstyle+xml"/>
  <Override PartName="/xl/charts/chart67.xml" ContentType="application/vnd.openxmlformats-officedocument.drawingml.chart+xml"/>
  <Override PartName="/xl/charts/style68.xml" ContentType="application/vnd.ms-office.chartstyle+xml"/>
  <Override PartName="/xl/charts/colors68.xml" ContentType="application/vnd.ms-office.chartcolorstyle+xml"/>
  <Override PartName="/xl/charts/chart68.xml" ContentType="application/vnd.openxmlformats-officedocument.drawingml.chart+xml"/>
  <Override PartName="/xl/charts/style69.xml" ContentType="application/vnd.ms-office.chartstyle+xml"/>
  <Override PartName="/xl/charts/colors69.xml" ContentType="application/vnd.ms-office.chartcolorstyle+xml"/>
  <Override PartName="/xl/charts/chart69.xml" ContentType="application/vnd.openxmlformats-officedocument.drawingml.chart+xml"/>
  <Override PartName="/xl/charts/style70.xml" ContentType="application/vnd.ms-office.chartstyle+xml"/>
  <Override PartName="/xl/charts/colors70.xml" ContentType="application/vnd.ms-office.chartcolorstyle+xml"/>
  <Override PartName="/xl/charts/chart70.xml" ContentType="application/vnd.openxmlformats-officedocument.drawingml.chart+xml"/>
  <Override PartName="/xl/charts/style71.xml" ContentType="application/vnd.ms-office.chartstyle+xml"/>
  <Override PartName="/xl/charts/colors71.xml" ContentType="application/vnd.ms-office.chartcolorstyle+xml"/>
  <Override PartName="/xl/charts/chart71.xml" ContentType="application/vnd.openxmlformats-officedocument.drawingml.chart+xml"/>
  <Override PartName="/xl/charts/style72.xml" ContentType="application/vnd.ms-office.chartstyle+xml"/>
  <Override PartName="/xl/charts/colors72.xml" ContentType="application/vnd.ms-office.chartcolorstyle+xml"/>
  <Override PartName="/xl/charts/chart72.xml" ContentType="application/vnd.openxmlformats-officedocument.drawingml.chart+xml"/>
  <Override PartName="/xl/charts/style73.xml" ContentType="application/vnd.ms-office.chartstyle+xml"/>
  <Override PartName="/xl/charts/colors73.xml" ContentType="application/vnd.ms-office.chartcolorstyle+xml"/>
  <Override PartName="/xl/charts/chart73.xml" ContentType="application/vnd.openxmlformats-officedocument.drawingml.chart+xml"/>
  <Override PartName="/xl/charts/style74.xml" ContentType="application/vnd.ms-office.chartstyle+xml"/>
  <Override PartName="/xl/charts/colors74.xml" ContentType="application/vnd.ms-office.chartcolorstyle+xml"/>
  <Override PartName="/xl/charts/chart74.xml" ContentType="application/vnd.openxmlformats-officedocument.drawingml.chart+xml"/>
  <Override PartName="/xl/charts/style75.xml" ContentType="application/vnd.ms-office.chartstyle+xml"/>
  <Override PartName="/xl/charts/colors75.xml" ContentType="application/vnd.ms-office.chartcolorstyle+xml"/>
  <Override PartName="/xl/charts/chart75.xml" ContentType="application/vnd.openxmlformats-officedocument.drawingml.chart+xml"/>
  <Override PartName="/xl/charts/style76.xml" ContentType="application/vnd.ms-office.chartstyle+xml"/>
  <Override PartName="/xl/charts/colors76.xml" ContentType="application/vnd.ms-office.chartcolorstyle+xml"/>
  <Override PartName="/xl/charts/chart76.xml" ContentType="application/vnd.openxmlformats-officedocument.drawingml.chart+xml"/>
  <Override PartName="/xl/charts/style77.xml" ContentType="application/vnd.ms-office.chartstyle+xml"/>
  <Override PartName="/xl/charts/colors77.xml" ContentType="application/vnd.ms-office.chartcolorstyle+xml"/>
  <Override PartName="/xl/charts/chart77.xml" ContentType="application/vnd.openxmlformats-officedocument.drawingml.chart+xml"/>
  <Override PartName="/xl/charts/style78.xml" ContentType="application/vnd.ms-office.chartstyle+xml"/>
  <Override PartName="/xl/charts/colors78.xml" ContentType="application/vnd.ms-office.chartcolorstyle+xml"/>
  <Override PartName="/xl/charts/chart78.xml" ContentType="application/vnd.openxmlformats-officedocument.drawingml.chart+xml"/>
  <Override PartName="/xl/charts/style79.xml" ContentType="application/vnd.ms-office.chartstyle+xml"/>
  <Override PartName="/xl/charts/colors79.xml" ContentType="application/vnd.ms-office.chartcolorstyle+xml"/>
  <Override PartName="/xl/charts/chart79.xml" ContentType="application/vnd.openxmlformats-officedocument.drawingml.chart+xml"/>
  <Override PartName="/xl/charts/style80.xml" ContentType="application/vnd.ms-office.chartstyle+xml"/>
  <Override PartName="/xl/charts/colors80.xml" ContentType="application/vnd.ms-office.chartcolorstyle+xml"/>
  <Override PartName="/xl/charts/chart80.xml" ContentType="application/vnd.openxmlformats-officedocument.drawingml.chart+xml"/>
  <Override PartName="/xl/charts/style81.xml" ContentType="application/vnd.ms-office.chartstyle+xml"/>
  <Override PartName="/xl/charts/colors81.xml" ContentType="application/vnd.ms-office.chartcolorstyle+xml"/>
  <Override PartName="/xl/charts/chart81.xml" ContentType="application/vnd.openxmlformats-officedocument.drawingml.chart+xml"/>
  <Override PartName="/xl/charts/style82.xml" ContentType="application/vnd.ms-office.chartstyle+xml"/>
  <Override PartName="/xl/charts/colors82.xml" ContentType="application/vnd.ms-office.chartcolorstyle+xml"/>
  <Override PartName="/xl/charts/chart82.xml" ContentType="application/vnd.openxmlformats-officedocument.drawingml.chart+xml"/>
  <Override PartName="/xl/charts/style83.xml" ContentType="application/vnd.ms-office.chartstyle+xml"/>
  <Override PartName="/xl/charts/colors83.xml" ContentType="application/vnd.ms-office.chartcolorstyle+xml"/>
  <Override PartName="/xl/charts/chart83.xml" ContentType="application/vnd.openxmlformats-officedocument.drawingml.chart+xml"/>
  <Override PartName="/xl/charts/style84.xml" ContentType="application/vnd.ms-office.chartstyle+xml"/>
  <Override PartName="/xl/charts/colors84.xml" ContentType="application/vnd.ms-office.chartcolorstyle+xml"/>
  <Override PartName="/xl/charts/chart84.xml" ContentType="application/vnd.openxmlformats-officedocument.drawingml.chart+xml"/>
  <Override PartName="/xl/charts/style85.xml" ContentType="application/vnd.ms-office.chartstyle+xml"/>
  <Override PartName="/xl/charts/colors85.xml" ContentType="application/vnd.ms-office.chartcolorstyle+xml"/>
  <Override PartName="/xl/charts/chart85.xml" ContentType="application/vnd.openxmlformats-officedocument.drawingml.chart+xml"/>
  <Override PartName="/xl/charts/style86.xml" ContentType="application/vnd.ms-office.chartstyle+xml"/>
  <Override PartName="/xl/charts/colors86.xml" ContentType="application/vnd.ms-office.chartcolorstyle+xml"/>
  <Override PartName="/xl/charts/chart86.xml" ContentType="application/vnd.openxmlformats-officedocument.drawingml.chart+xml"/>
  <Override PartName="/xl/charts/style87.xml" ContentType="application/vnd.ms-office.chartstyle+xml"/>
  <Override PartName="/xl/charts/colors87.xml" ContentType="application/vnd.ms-office.chartcolorstyle+xml"/>
  <Override PartName="/xl/charts/chart87.xml" ContentType="application/vnd.openxmlformats-officedocument.drawingml.chart+xml"/>
  <Override PartName="/xl/charts/style88.xml" ContentType="application/vnd.ms-office.chartstyle+xml"/>
  <Override PartName="/xl/charts/colors88.xml" ContentType="application/vnd.ms-office.chartcolorstyle+xml"/>
  <Override PartName="/xl/charts/chart88.xml" ContentType="application/vnd.openxmlformats-officedocument.drawingml.chart+xml"/>
  <Override PartName="/xl/charts/style89.xml" ContentType="application/vnd.ms-office.chartstyle+xml"/>
  <Override PartName="/xl/charts/colors89.xml" ContentType="application/vnd.ms-office.chartcolorstyle+xml"/>
  <Override PartName="/xl/charts/chart89.xml" ContentType="application/vnd.openxmlformats-officedocument.drawingml.chart+xml"/>
  <Override PartName="/xl/charts/style90.xml" ContentType="application/vnd.ms-office.chartstyle+xml"/>
  <Override PartName="/xl/charts/colors90.xml" ContentType="application/vnd.ms-office.chartcolorstyle+xml"/>
  <Override PartName="/xl/charts/chart90.xml" ContentType="application/vnd.openxmlformats-officedocument.drawingml.chart+xml"/>
  <Override PartName="/xl/charts/style91.xml" ContentType="application/vnd.ms-office.chartstyle+xml"/>
  <Override PartName="/xl/charts/colors91.xml" ContentType="application/vnd.ms-office.chartcolorstyle+xml"/>
  <Override PartName="/xl/charts/chart91.xml" ContentType="application/vnd.openxmlformats-officedocument.drawingml.chart+xml"/>
  <Override PartName="/xl/charts/style92.xml" ContentType="application/vnd.ms-office.chartstyle+xml"/>
  <Override PartName="/xl/charts/colors92.xml" ContentType="application/vnd.ms-office.chartcolorstyle+xml"/>
  <Override PartName="/xl/charts/chart92.xml" ContentType="application/vnd.openxmlformats-officedocument.drawingml.chart+xml"/>
  <Override PartName="/xl/charts/style93.xml" ContentType="application/vnd.ms-office.chartstyle+xml"/>
  <Override PartName="/xl/charts/colors93.xml" ContentType="application/vnd.ms-office.chartcolorstyle+xml"/>
  <Override PartName="/xl/charts/chart93.xml" ContentType="application/vnd.openxmlformats-officedocument.drawingml.chart+xml"/>
  <Override PartName="/xl/charts/style94.xml" ContentType="application/vnd.ms-office.chartstyle+xml"/>
  <Override PartName="/xl/charts/colors94.xml" ContentType="application/vnd.ms-office.chartcolorstyle+xml"/>
  <Override PartName="/xl/charts/chart94.xml" ContentType="application/vnd.openxmlformats-officedocument.drawingml.chart+xml"/>
  <Override PartName="/xl/charts/style95.xml" ContentType="application/vnd.ms-office.chartstyle+xml"/>
  <Override PartName="/xl/charts/colors95.xml" ContentType="application/vnd.ms-office.chartcolorstyle+xml"/>
  <Override PartName="/xl/charts/chart95.xml" ContentType="application/vnd.openxmlformats-officedocument.drawingml.chart+xml"/>
  <Override PartName="/xl/charts/style96.xml" ContentType="application/vnd.ms-office.chartstyle+xml"/>
  <Override PartName="/xl/charts/colors96.xml" ContentType="application/vnd.ms-office.chartcolorstyle+xml"/>
  <Override PartName="/xl/charts/chart96.xml" ContentType="application/vnd.openxmlformats-officedocument.drawingml.chart+xml"/>
  <Override PartName="/xl/charts/style97.xml" ContentType="application/vnd.ms-office.chartstyle+xml"/>
  <Override PartName="/xl/charts/colors97.xml" ContentType="application/vnd.ms-office.chartcolorstyle+xml"/>
  <Override PartName="/xl/charts/chart97.xml" ContentType="application/vnd.openxmlformats-officedocument.drawingml.chart+xml"/>
  <Override PartName="/xl/charts/style98.xml" ContentType="application/vnd.ms-office.chartstyle+xml"/>
  <Override PartName="/xl/charts/colors98.xml" ContentType="application/vnd.ms-office.chartcolorstyle+xml"/>
  <Override PartName="/xl/charts/chart98.xml" ContentType="application/vnd.openxmlformats-officedocument.drawingml.chart+xml"/>
  <Override PartName="/xl/charts/style99.xml" ContentType="application/vnd.ms-office.chartstyle+xml"/>
  <Override PartName="/xl/charts/colors99.xml" ContentType="application/vnd.ms-office.chartcolorstyle+xml"/>
  <Override PartName="/xl/charts/chart99.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0.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1.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2.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3.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4.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5.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6.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7.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08.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09.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0.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1.xml" ContentType="application/vnd.openxmlformats-officedocument.drawingml.chart+xml"/>
  <Override PartName="/xl/charts/style112.xml" ContentType="application/vnd.ms-office.chartstyle+xml"/>
  <Override PartName="/xl/charts/colors1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zar9\Downloads\"/>
    </mc:Choice>
  </mc:AlternateContent>
  <xr:revisionPtr revIDLastSave="0" documentId="13_ncr:1_{DC04A31C-5827-4E2C-A690-AA835FFB59AE}" xr6:coauthVersionLast="47" xr6:coauthVersionMax="47" xr10:uidLastSave="{00000000-0000-0000-0000-000000000000}"/>
  <bookViews>
    <workbookView xWindow="-108" yWindow="-108" windowWidth="23256" windowHeight="12456" tabRatio="500" firstSheet="2" activeTab="2" xr2:uid="{00000000-000D-0000-FFFF-FFFF00000000}"/>
  </bookViews>
  <sheets>
    <sheet name="Index" sheetId="1" r:id="rId1"/>
    <sheet name="Analysis Dashboard " sheetId="25" r:id="rId2"/>
    <sheet name="Data Story" sheetId="29" r:id="rId3"/>
    <sheet name="KPI Dashboard" sheetId="27" r:id="rId4"/>
    <sheet name="P01-CostOverrun" sheetId="2" r:id="rId5"/>
    <sheet name="P01" sheetId="22" r:id="rId6"/>
    <sheet name="P02-MaterialPrice" sheetId="3" r:id="rId7"/>
    <sheet name="P02" sheetId="23" r:id="rId8"/>
    <sheet name="P03-BOQVariance" sheetId="4" r:id="rId9"/>
    <sheet name="P03" sheetId="24" r:id="rId10"/>
    <sheet name="P04-LabourProd" sheetId="5" r:id="rId11"/>
    <sheet name="P05-TenderBid" sheetId="6" r:id="rId12"/>
    <sheet name="P06-DelayRCA" sheetId="7" r:id="rId13"/>
    <sheet name="P07-CashFlow" sheetId="8" r:id="rId14"/>
    <sheet name="P08-ChangeOrder" sheetId="9" r:id="rId15"/>
    <sheet name="P09-SubconScore" sheetId="10" r:id="rId16"/>
    <sheet name="P10-Benchmark" sheetId="11" r:id="rId17"/>
    <sheet name="P12-EVM" sheetId="13" r:id="rId18"/>
    <sheet name="P13-LeadTime" sheetId="17" r:id="rId19"/>
    <sheet name="P14-PaymentAging" sheetId="20" r:id="rId20"/>
    <sheet name="P15-Portfolio" sheetId="21" r:id="rId21"/>
    <sheet name="Analysis report" sheetId="26" r:id="rId22"/>
    <sheet name="Q&amp;A Chart Dashboard" sheetId="28" r:id="rId23"/>
  </sheets>
  <definedNames>
    <definedName name="_xlnm._FilterDatabase" localSheetId="6" hidden="1">'P02-MaterialPrice'!$A$4:$I$94</definedName>
    <definedName name="_xlnm._FilterDatabase" localSheetId="8" hidden="1">'P03-BOQVariance'!$A$4:$M$76</definedName>
    <definedName name="_xlchart.v1.4" hidden="1">'P03'!$F$56:$F$62</definedName>
    <definedName name="_xlchart.v1.5" hidden="1">'P03'!$G$55</definedName>
    <definedName name="_xlchart.v1.6" hidden="1">'P03'!$G$56:$G$62</definedName>
    <definedName name="_xlchart.v5.0" hidden="1">'KPI Dashboard'!$AB$24</definedName>
    <definedName name="_xlchart.v5.1" hidden="1">'KPI Dashboard'!$AB$25:$AB$27</definedName>
    <definedName name="_xlchart.v5.2" hidden="1">'KPI Dashboard'!$AC$24</definedName>
    <definedName name="_xlchart.v5.3" hidden="1">'KPI Dashboard'!$AC$25:$AC$27</definedName>
  </definedNames>
  <calcPr calcId="191029"/>
  <pivotCaches>
    <pivotCache cacheId="0" r:id="rId24"/>
    <pivotCache cacheId="1" r:id="rId25"/>
    <pivotCache cacheId="2" r:id="rId26"/>
    <pivotCache cacheId="3" r:id="rId27"/>
    <pivotCache cacheId="4" r:id="rId28"/>
    <pivotCache cacheId="5" r:id="rId29"/>
    <pivotCache cacheId="6" r:id="rId30"/>
    <pivotCache cacheId="7" r:id="rId3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1" i="20" l="1" a="1"/>
  <c r="E27" i="29"/>
  <c r="E26" i="29"/>
  <c r="E25" i="29"/>
  <c r="E24" i="29"/>
  <c r="E22" i="29"/>
  <c r="E19" i="29"/>
  <c r="E18" i="29"/>
  <c r="E17" i="29"/>
  <c r="E16" i="29"/>
  <c r="E14" i="29"/>
  <c r="E13" i="29"/>
  <c r="E12" i="29"/>
  <c r="E10" i="29"/>
  <c r="E9" i="29"/>
  <c r="F843" i="26"/>
  <c r="F835" i="26"/>
  <c r="F836" i="26"/>
  <c r="F837" i="26"/>
  <c r="F838" i="26"/>
  <c r="F839" i="26"/>
  <c r="F840" i="26"/>
  <c r="F841" i="26"/>
  <c r="F842" i="26"/>
  <c r="A844" i="26" a="1"/>
  <c r="P578" i="28" s="1"/>
  <c r="F834" i="26"/>
  <c r="B694" i="28"/>
  <c r="B692" i="28"/>
  <c r="P672" i="28"/>
  <c r="P670" i="28"/>
  <c r="I672" i="28"/>
  <c r="I670" i="28"/>
  <c r="B672" i="28"/>
  <c r="B670" i="28"/>
  <c r="P650" i="28"/>
  <c r="P648" i="28"/>
  <c r="I650" i="28"/>
  <c r="I648" i="28"/>
  <c r="B650" i="28"/>
  <c r="B648" i="28"/>
  <c r="P625" i="28"/>
  <c r="P623" i="28"/>
  <c r="I625" i="28"/>
  <c r="I623" i="28"/>
  <c r="B625" i="28"/>
  <c r="B623" i="28"/>
  <c r="P603" i="28"/>
  <c r="P601" i="28"/>
  <c r="I603" i="28"/>
  <c r="I601" i="28"/>
  <c r="B603" i="28"/>
  <c r="B601" i="28"/>
  <c r="P576" i="28"/>
  <c r="I578" i="28"/>
  <c r="I576" i="28"/>
  <c r="B578" i="28"/>
  <c r="B576" i="28"/>
  <c r="P556" i="28"/>
  <c r="P554" i="28"/>
  <c r="I556" i="28"/>
  <c r="I554" i="28"/>
  <c r="B556" i="28"/>
  <c r="B554" i="28"/>
  <c r="P531" i="28"/>
  <c r="P529" i="28"/>
  <c r="I531" i="28"/>
  <c r="I529" i="28"/>
  <c r="B531" i="28"/>
  <c r="B529" i="28"/>
  <c r="P509" i="28"/>
  <c r="P507" i="28"/>
  <c r="I509" i="28"/>
  <c r="I507" i="28"/>
  <c r="B509" i="28"/>
  <c r="B507" i="28"/>
  <c r="P484" i="28"/>
  <c r="P482" i="28"/>
  <c r="I484" i="28"/>
  <c r="I482" i="28"/>
  <c r="B484" i="28"/>
  <c r="B482" i="28"/>
  <c r="P462" i="28"/>
  <c r="P460" i="28"/>
  <c r="I462" i="28"/>
  <c r="I460" i="28"/>
  <c r="B462" i="28"/>
  <c r="B460" i="28"/>
  <c r="P437" i="28"/>
  <c r="P435" i="28"/>
  <c r="I437" i="28"/>
  <c r="I435" i="28"/>
  <c r="B437" i="28"/>
  <c r="B435" i="28"/>
  <c r="P415" i="28"/>
  <c r="P413" i="28"/>
  <c r="I415" i="28"/>
  <c r="I413" i="28"/>
  <c r="B415" i="28"/>
  <c r="B413" i="28"/>
  <c r="P390" i="28"/>
  <c r="P388" i="28"/>
  <c r="I390" i="28"/>
  <c r="I388" i="28"/>
  <c r="B390" i="28"/>
  <c r="B388" i="28"/>
  <c r="P368" i="28"/>
  <c r="P366" i="28"/>
  <c r="I368" i="28"/>
  <c r="I366" i="28"/>
  <c r="B368" i="28"/>
  <c r="B366" i="28"/>
  <c r="P343" i="28"/>
  <c r="P341" i="28"/>
  <c r="I343" i="28"/>
  <c r="I341" i="28"/>
  <c r="B343" i="28"/>
  <c r="B341" i="28"/>
  <c r="P321" i="28"/>
  <c r="P319" i="28"/>
  <c r="I321" i="28"/>
  <c r="I319" i="28"/>
  <c r="B321" i="28"/>
  <c r="B319" i="28"/>
  <c r="P296" i="28"/>
  <c r="P294" i="28"/>
  <c r="I296" i="28"/>
  <c r="I294" i="28"/>
  <c r="B296" i="28"/>
  <c r="B294" i="28"/>
  <c r="P274" i="28"/>
  <c r="P272" i="28"/>
  <c r="I274" i="28"/>
  <c r="I272" i="28"/>
  <c r="B274" i="28"/>
  <c r="B272" i="28"/>
  <c r="P249" i="28"/>
  <c r="P247" i="28"/>
  <c r="I249" i="28"/>
  <c r="I247" i="28"/>
  <c r="B249" i="28"/>
  <c r="B247" i="28"/>
  <c r="P227" i="28"/>
  <c r="P225" i="28"/>
  <c r="I227" i="28"/>
  <c r="I225" i="28"/>
  <c r="B227" i="28"/>
  <c r="B225" i="28"/>
  <c r="P202" i="28"/>
  <c r="P200" i="28"/>
  <c r="I202" i="28"/>
  <c r="I200" i="28"/>
  <c r="B202" i="28"/>
  <c r="B200" i="28"/>
  <c r="P180" i="28"/>
  <c r="P178" i="28"/>
  <c r="I180" i="28"/>
  <c r="I178" i="28"/>
  <c r="B180" i="28"/>
  <c r="B178" i="28"/>
  <c r="P155" i="28"/>
  <c r="P153" i="28"/>
  <c r="I155" i="28"/>
  <c r="I153" i="28"/>
  <c r="B155" i="28"/>
  <c r="B153" i="28"/>
  <c r="P133" i="28"/>
  <c r="P131" i="28"/>
  <c r="I133" i="28"/>
  <c r="I131" i="28"/>
  <c r="B133" i="28"/>
  <c r="B131" i="28"/>
  <c r="P106" i="28"/>
  <c r="I106" i="28"/>
  <c r="B106" i="28"/>
  <c r="P84" i="28"/>
  <c r="I84" i="28"/>
  <c r="B84" i="28"/>
  <c r="B61" i="28"/>
  <c r="B59" i="28"/>
  <c r="P39" i="28"/>
  <c r="P37" i="28"/>
  <c r="I39" i="28"/>
  <c r="I37" i="28"/>
  <c r="B39" i="28"/>
  <c r="B37" i="28"/>
  <c r="P17" i="28"/>
  <c r="P15" i="28"/>
  <c r="I17" i="28"/>
  <c r="I15" i="28"/>
  <c r="B17" i="28"/>
  <c r="B15" i="28"/>
  <c r="BC171" i="28"/>
  <c r="BB171" i="28"/>
  <c r="BA171" i="28"/>
  <c r="BC170" i="28"/>
  <c r="BB170" i="28"/>
  <c r="BA170" i="28"/>
  <c r="BC169" i="28"/>
  <c r="BB169" i="28"/>
  <c r="BA169" i="28"/>
  <c r="BC168" i="28"/>
  <c r="BB168" i="28"/>
  <c r="BA168" i="28"/>
  <c r="BC167" i="28"/>
  <c r="BB167" i="28"/>
  <c r="BA167" i="28"/>
  <c r="BC166" i="28"/>
  <c r="BB166" i="28"/>
  <c r="BA166" i="28"/>
  <c r="BC165" i="28"/>
  <c r="BB165" i="28"/>
  <c r="BA165" i="28"/>
  <c r="BC164" i="28"/>
  <c r="BB164" i="28"/>
  <c r="BA164" i="28"/>
  <c r="BC163" i="28"/>
  <c r="BB163" i="28"/>
  <c r="BA163" i="28"/>
  <c r="BC162" i="28"/>
  <c r="BB162" i="28"/>
  <c r="BA162" i="28"/>
  <c r="T7" i="28"/>
  <c r="Q7" i="28"/>
  <c r="N7" i="28"/>
  <c r="K7" i="28"/>
  <c r="H7" i="28"/>
  <c r="E7" i="28"/>
  <c r="B7" i="28"/>
  <c r="T6" i="28"/>
  <c r="Q6" i="28"/>
  <c r="N6" i="28"/>
  <c r="K6" i="28"/>
  <c r="H6" i="28"/>
  <c r="E6" i="28"/>
  <c r="B6" i="28"/>
  <c r="B646" i="28"/>
  <c r="B599" i="28"/>
  <c r="B552" i="28"/>
  <c r="B505" i="28"/>
  <c r="B458" i="28"/>
  <c r="B411" i="28"/>
  <c r="B364" i="28"/>
  <c r="B317" i="28"/>
  <c r="B270" i="28"/>
  <c r="B223" i="28"/>
  <c r="B176" i="28"/>
  <c r="B129" i="28"/>
  <c r="B82" i="28"/>
  <c r="B13" i="28"/>
  <c r="BB571" i="28"/>
  <c r="BA571" i="28"/>
  <c r="BB570" i="28"/>
  <c r="BA570" i="28"/>
  <c r="BB569" i="28"/>
  <c r="BA569" i="28"/>
  <c r="BB568" i="28"/>
  <c r="BA568" i="28"/>
  <c r="BB564" i="28"/>
  <c r="BA564" i="28"/>
  <c r="BB563" i="28"/>
  <c r="BA563" i="28"/>
  <c r="BB562" i="28"/>
  <c r="BA562" i="28"/>
  <c r="BB558" i="28"/>
  <c r="BA558" i="28"/>
  <c r="BB557" i="28"/>
  <c r="BA557" i="28"/>
  <c r="BB556" i="28"/>
  <c r="BA556" i="28"/>
  <c r="BB555" i="28"/>
  <c r="BA555" i="28"/>
  <c r="BC551" i="28"/>
  <c r="BB551" i="28"/>
  <c r="BA551" i="28"/>
  <c r="BC550" i="28"/>
  <c r="BB550" i="28"/>
  <c r="BA550" i="28"/>
  <c r="BC549" i="28"/>
  <c r="BB549" i="28"/>
  <c r="BA549" i="28"/>
  <c r="BB545" i="28"/>
  <c r="BB544" i="28"/>
  <c r="BB543" i="28"/>
  <c r="BB539" i="28"/>
  <c r="BA539" i="28"/>
  <c r="BB538" i="28"/>
  <c r="BA538" i="28"/>
  <c r="BB537" i="28"/>
  <c r="BA537" i="28"/>
  <c r="BB536" i="28"/>
  <c r="BA536" i="28"/>
  <c r="BB535" i="28"/>
  <c r="BA535" i="28"/>
  <c r="BB534" i="28"/>
  <c r="BA534" i="28"/>
  <c r="BB533" i="28"/>
  <c r="BA533" i="28"/>
  <c r="BB532" i="28"/>
  <c r="BA532" i="28"/>
  <c r="BB531" i="28"/>
  <c r="BA531" i="28"/>
  <c r="BB530" i="28"/>
  <c r="BA530" i="28"/>
  <c r="BB526" i="28"/>
  <c r="BA526" i="28"/>
  <c r="BB525" i="28"/>
  <c r="BA525" i="28"/>
  <c r="BB524" i="28"/>
  <c r="BA524" i="28"/>
  <c r="BB523" i="28"/>
  <c r="BA523" i="28"/>
  <c r="BB522" i="28"/>
  <c r="BA522" i="28"/>
  <c r="BC518" i="28"/>
  <c r="BB518" i="28"/>
  <c r="BA518" i="28"/>
  <c r="BC517" i="28"/>
  <c r="BB517" i="28"/>
  <c r="BA517" i="28"/>
  <c r="BC516" i="28"/>
  <c r="BB516" i="28"/>
  <c r="BA516" i="28"/>
  <c r="BC515" i="28"/>
  <c r="BB515" i="28"/>
  <c r="BA515" i="28"/>
  <c r="BC514" i="28"/>
  <c r="BB514" i="28"/>
  <c r="BA514" i="28"/>
  <c r="BC513" i="28"/>
  <c r="BB513" i="28"/>
  <c r="BA513" i="28"/>
  <c r="BC512" i="28"/>
  <c r="BB512" i="28"/>
  <c r="BA512" i="28"/>
  <c r="BC511" i="28"/>
  <c r="BB511" i="28"/>
  <c r="BA511" i="28"/>
  <c r="BC510" i="28"/>
  <c r="BB510" i="28"/>
  <c r="BA510" i="28"/>
  <c r="BC509" i="28"/>
  <c r="BB509" i="28"/>
  <c r="BA509" i="28"/>
  <c r="BB505" i="28"/>
  <c r="BA505" i="28"/>
  <c r="BB504" i="28"/>
  <c r="BA504" i="28"/>
  <c r="BB503" i="28"/>
  <c r="BA503" i="28"/>
  <c r="BB502" i="28"/>
  <c r="BA502" i="28"/>
  <c r="BC498" i="28"/>
  <c r="BB498" i="28"/>
  <c r="BA498" i="28"/>
  <c r="BC497" i="28"/>
  <c r="BB497" i="28"/>
  <c r="BA497" i="28"/>
  <c r="BC496" i="28"/>
  <c r="BB496" i="28"/>
  <c r="BA496" i="28"/>
  <c r="BC495" i="28"/>
  <c r="BB495" i="28"/>
  <c r="BA495" i="28"/>
  <c r="BC494" i="28"/>
  <c r="BB494" i="28"/>
  <c r="BA494" i="28"/>
  <c r="BC493" i="28"/>
  <c r="BB493" i="28"/>
  <c r="BA493" i="28"/>
  <c r="BC492" i="28"/>
  <c r="BB492" i="28"/>
  <c r="BA492" i="28"/>
  <c r="BC491" i="28"/>
  <c r="BB491" i="28"/>
  <c r="BA491" i="28"/>
  <c r="BC490" i="28"/>
  <c r="BB490" i="28"/>
  <c r="BA490" i="28"/>
  <c r="BC489" i="28"/>
  <c r="BB489" i="28"/>
  <c r="BA489" i="28"/>
  <c r="BB485" i="28"/>
  <c r="BB484" i="28"/>
  <c r="BB483" i="28"/>
  <c r="BB479" i="28"/>
  <c r="BA479" i="28"/>
  <c r="BB478" i="28"/>
  <c r="BA478" i="28"/>
  <c r="BB477" i="28"/>
  <c r="BA477" i="28"/>
  <c r="BB476" i="28"/>
  <c r="BA476" i="28"/>
  <c r="BB475" i="28"/>
  <c r="BA475" i="28"/>
  <c r="BB474" i="28"/>
  <c r="BA474" i="28"/>
  <c r="BB473" i="28"/>
  <c r="BA473" i="28"/>
  <c r="BB472" i="28"/>
  <c r="BA472" i="28"/>
  <c r="BB471" i="28"/>
  <c r="BA471" i="28"/>
  <c r="BB470" i="28"/>
  <c r="BA470" i="28"/>
  <c r="BB469" i="28"/>
  <c r="BA469" i="28"/>
  <c r="BB468" i="28"/>
  <c r="BA468" i="28"/>
  <c r="BB467" i="28"/>
  <c r="BA467" i="28"/>
  <c r="BB466" i="28"/>
  <c r="BA466" i="28"/>
  <c r="BB465" i="28"/>
  <c r="BA465" i="28"/>
  <c r="BC461" i="28"/>
  <c r="BB461" i="28"/>
  <c r="BA461" i="28"/>
  <c r="BC460" i="28"/>
  <c r="BB460" i="28"/>
  <c r="BA460" i="28"/>
  <c r="BC459" i="28"/>
  <c r="BB459" i="28"/>
  <c r="BA459" i="28"/>
  <c r="BB455" i="28"/>
  <c r="BB454" i="28"/>
  <c r="BB450" i="28"/>
  <c r="BA450" i="28"/>
  <c r="BB449" i="28"/>
  <c r="BA449" i="28"/>
  <c r="BB448" i="28"/>
  <c r="BA448" i="28"/>
  <c r="BB447" i="28"/>
  <c r="BA447" i="28"/>
  <c r="BB446" i="28"/>
  <c r="BA446" i="28"/>
  <c r="BB445" i="28"/>
  <c r="BA445" i="28"/>
  <c r="BB444" i="28"/>
  <c r="BA444" i="28"/>
  <c r="BB443" i="28"/>
  <c r="BA443" i="28"/>
  <c r="BB442" i="28"/>
  <c r="BA442" i="28"/>
  <c r="BB441" i="28"/>
  <c r="BA441" i="28"/>
  <c r="BB437" i="28"/>
  <c r="BB436" i="28"/>
  <c r="BB435" i="28"/>
  <c r="BB431" i="28"/>
  <c r="BA431" i="28"/>
  <c r="BB430" i="28"/>
  <c r="BA430" i="28"/>
  <c r="BB429" i="28"/>
  <c r="BA429" i="28"/>
  <c r="BB428" i="28"/>
  <c r="BA428" i="28"/>
  <c r="BB427" i="28"/>
  <c r="BA427" i="28"/>
  <c r="BB426" i="28"/>
  <c r="BA426" i="28"/>
  <c r="BB425" i="28"/>
  <c r="BA425" i="28"/>
  <c r="BB424" i="28"/>
  <c r="BA424" i="28"/>
  <c r="BB423" i="28"/>
  <c r="BA423" i="28"/>
  <c r="BB422" i="28"/>
  <c r="BA422" i="28"/>
  <c r="BB421" i="28"/>
  <c r="BA421" i="28"/>
  <c r="BB420" i="28"/>
  <c r="BA420" i="28"/>
  <c r="BB419" i="28"/>
  <c r="BA419" i="28"/>
  <c r="BB418" i="28"/>
  <c r="BA418" i="28"/>
  <c r="BB417" i="28"/>
  <c r="BA417" i="28"/>
  <c r="BB416" i="28"/>
  <c r="BA416" i="28"/>
  <c r="BB415" i="28"/>
  <c r="BA415" i="28"/>
  <c r="BB414" i="28"/>
  <c r="BA414" i="28"/>
  <c r="BB413" i="28"/>
  <c r="BA413" i="28"/>
  <c r="BB412" i="28"/>
  <c r="BA412" i="28"/>
  <c r="BB411" i="28"/>
  <c r="BA411" i="28"/>
  <c r="BB410" i="28"/>
  <c r="BA410" i="28"/>
  <c r="BB409" i="28"/>
  <c r="BA409" i="28"/>
  <c r="BB408" i="28"/>
  <c r="BA408" i="28"/>
  <c r="BB407" i="28"/>
  <c r="BA407" i="28"/>
  <c r="BB406" i="28"/>
  <c r="BA406" i="28"/>
  <c r="BB405" i="28"/>
  <c r="BA405" i="28"/>
  <c r="BB404" i="28"/>
  <c r="BA404" i="28"/>
  <c r="BB403" i="28"/>
  <c r="BA403" i="28"/>
  <c r="BB402" i="28"/>
  <c r="BA402" i="28"/>
  <c r="BB401" i="28"/>
  <c r="BA401" i="28"/>
  <c r="BB400" i="28"/>
  <c r="BA400" i="28"/>
  <c r="BB399" i="28"/>
  <c r="BA399" i="28"/>
  <c r="BB398" i="28"/>
  <c r="BA398" i="28"/>
  <c r="BB397" i="28"/>
  <c r="BA397" i="28"/>
  <c r="BB396" i="28"/>
  <c r="BA396" i="28"/>
  <c r="BB392" i="28"/>
  <c r="BB391" i="28"/>
  <c r="BB387" i="28"/>
  <c r="BA387" i="28"/>
  <c r="BB386" i="28"/>
  <c r="BA386" i="28"/>
  <c r="BB385" i="28"/>
  <c r="BA385" i="28"/>
  <c r="BB384" i="28"/>
  <c r="BA384" i="28"/>
  <c r="BB383" i="28"/>
  <c r="BA383" i="28"/>
  <c r="BB382" i="28"/>
  <c r="BA382" i="28"/>
  <c r="BB381" i="28"/>
  <c r="BA381" i="28"/>
  <c r="BB380" i="28"/>
  <c r="BA380" i="28"/>
  <c r="BB379" i="28"/>
  <c r="BA379" i="28"/>
  <c r="BB378" i="28"/>
  <c r="BA378" i="28"/>
  <c r="BB377" i="28"/>
  <c r="BA377" i="28"/>
  <c r="BB376" i="28"/>
  <c r="BA376" i="28"/>
  <c r="BB375" i="28"/>
  <c r="BA375" i="28"/>
  <c r="BB374" i="28"/>
  <c r="BA374" i="28"/>
  <c r="BB373" i="28"/>
  <c r="BA373" i="28"/>
  <c r="BB372" i="28"/>
  <c r="BA372" i="28"/>
  <c r="BB371" i="28"/>
  <c r="BA371" i="28"/>
  <c r="BB370" i="28"/>
  <c r="BA370" i="28"/>
  <c r="BB369" i="28"/>
  <c r="BA369" i="28"/>
  <c r="BB368" i="28"/>
  <c r="BA368" i="28"/>
  <c r="BB367" i="28"/>
  <c r="BA367" i="28"/>
  <c r="BB366" i="28"/>
  <c r="BA366" i="28"/>
  <c r="BB365" i="28"/>
  <c r="BA365" i="28"/>
  <c r="BB364" i="28"/>
  <c r="BA364" i="28"/>
  <c r="BB363" i="28"/>
  <c r="BA363" i="28"/>
  <c r="BB362" i="28"/>
  <c r="BA362" i="28"/>
  <c r="BB361" i="28"/>
  <c r="BA361" i="28"/>
  <c r="BB360" i="28"/>
  <c r="BA360" i="28"/>
  <c r="BB359" i="28"/>
  <c r="BA359" i="28"/>
  <c r="BB358" i="28"/>
  <c r="BA358" i="28"/>
  <c r="BB357" i="28"/>
  <c r="BA357" i="28"/>
  <c r="BB356" i="28"/>
  <c r="BA356" i="28"/>
  <c r="BB355" i="28"/>
  <c r="BA355" i="28"/>
  <c r="BB354" i="28"/>
  <c r="BA354" i="28"/>
  <c r="BB353" i="28"/>
  <c r="BA353" i="28"/>
  <c r="BB352" i="28"/>
  <c r="BA352" i="28"/>
  <c r="BB348" i="28"/>
  <c r="BA348" i="28"/>
  <c r="BB347" i="28"/>
  <c r="BA347" i="28"/>
  <c r="BB346" i="28"/>
  <c r="BA346" i="28"/>
  <c r="BB345" i="28"/>
  <c r="BA345" i="28"/>
  <c r="BB344" i="28"/>
  <c r="BA344" i="28"/>
  <c r="BB343" i="28"/>
  <c r="BA343" i="28"/>
  <c r="BB342" i="28"/>
  <c r="BA342" i="28"/>
  <c r="BB341" i="28"/>
  <c r="BA341" i="28"/>
  <c r="BB340" i="28"/>
  <c r="BA340" i="28"/>
  <c r="BB339" i="28"/>
  <c r="BA339" i="28"/>
  <c r="BB338" i="28"/>
  <c r="BA338" i="28"/>
  <c r="BB337" i="28"/>
  <c r="BA337" i="28"/>
  <c r="BB336" i="28"/>
  <c r="BA336" i="28"/>
  <c r="BB335" i="28"/>
  <c r="BA335" i="28"/>
  <c r="BB334" i="28"/>
  <c r="BA334" i="28"/>
  <c r="BB333" i="28"/>
  <c r="BA333" i="28"/>
  <c r="BB332" i="28"/>
  <c r="BA332" i="28"/>
  <c r="BB331" i="28"/>
  <c r="BA331" i="28"/>
  <c r="BB330" i="28"/>
  <c r="BA330" i="28"/>
  <c r="BB329" i="28"/>
  <c r="BA329" i="28"/>
  <c r="BB328" i="28"/>
  <c r="BA328" i="28"/>
  <c r="BB327" i="28"/>
  <c r="BA327" i="28"/>
  <c r="BB326" i="28"/>
  <c r="BA326" i="28"/>
  <c r="BB325" i="28"/>
  <c r="BA325" i="28"/>
  <c r="BB324" i="28"/>
  <c r="BA324" i="28"/>
  <c r="BB323" i="28"/>
  <c r="BA323" i="28"/>
  <c r="BB322" i="28"/>
  <c r="BA322" i="28"/>
  <c r="BB321" i="28"/>
  <c r="BA321" i="28"/>
  <c r="BB320" i="28"/>
  <c r="BA320" i="28"/>
  <c r="BB319" i="28"/>
  <c r="BA319" i="28"/>
  <c r="BB318" i="28"/>
  <c r="BA318" i="28"/>
  <c r="BB317" i="28"/>
  <c r="BA317" i="28"/>
  <c r="BB316" i="28"/>
  <c r="BA316" i="28"/>
  <c r="BB315" i="28"/>
  <c r="BA315" i="28"/>
  <c r="BB314" i="28"/>
  <c r="BA314" i="28"/>
  <c r="BB313" i="28"/>
  <c r="BA313" i="28"/>
  <c r="BB309" i="28"/>
  <c r="BB308" i="28"/>
  <c r="BB307" i="28"/>
  <c r="BB303" i="28"/>
  <c r="BB302" i="28"/>
  <c r="BD298" i="28"/>
  <c r="BC298" i="28"/>
  <c r="BB298" i="28"/>
  <c r="BA298" i="28"/>
  <c r="BD297" i="28"/>
  <c r="BC297" i="28"/>
  <c r="BB297" i="28"/>
  <c r="BA297" i="28"/>
  <c r="BD296" i="28"/>
  <c r="BC296" i="28"/>
  <c r="BB296" i="28"/>
  <c r="BA296" i="28"/>
  <c r="BD295" i="28"/>
  <c r="BC295" i="28"/>
  <c r="BB295" i="28"/>
  <c r="BA295" i="28"/>
  <c r="BC291" i="28"/>
  <c r="BB291" i="28"/>
  <c r="BA291" i="28"/>
  <c r="BC290" i="28"/>
  <c r="BB290" i="28"/>
  <c r="BA290" i="28"/>
  <c r="BB286" i="28"/>
  <c r="BA286" i="28"/>
  <c r="BB285" i="28"/>
  <c r="BA285" i="28"/>
  <c r="BB284" i="28"/>
  <c r="BA284" i="28"/>
  <c r="BB283" i="28"/>
  <c r="BA283" i="28"/>
  <c r="BB282" i="28"/>
  <c r="BA282" i="28"/>
  <c r="BB281" i="28"/>
  <c r="BA281" i="28"/>
  <c r="BB280" i="28"/>
  <c r="BA280" i="28"/>
  <c r="BB279" i="28"/>
  <c r="BA279" i="28"/>
  <c r="BB278" i="28"/>
  <c r="BA278" i="28"/>
  <c r="BB277" i="28"/>
  <c r="BA277" i="28"/>
  <c r="BB276" i="28"/>
  <c r="BA276" i="28"/>
  <c r="BB275" i="28"/>
  <c r="BA275" i="28"/>
  <c r="BB274" i="28"/>
  <c r="BA274" i="28"/>
  <c r="BB273" i="28"/>
  <c r="BA273" i="28"/>
  <c r="BB272" i="28"/>
  <c r="BA272" i="28"/>
  <c r="BB271" i="28"/>
  <c r="BA271" i="28"/>
  <c r="BB270" i="28"/>
  <c r="BA270" i="28"/>
  <c r="BB269" i="28"/>
  <c r="BA269" i="28"/>
  <c r="BB268" i="28"/>
  <c r="BA268" i="28"/>
  <c r="BB267" i="28"/>
  <c r="BA267" i="28"/>
  <c r="BB266" i="28"/>
  <c r="BA266" i="28"/>
  <c r="BB265" i="28"/>
  <c r="BA265" i="28"/>
  <c r="BB264" i="28"/>
  <c r="BA264" i="28"/>
  <c r="BB263" i="28"/>
  <c r="BA263" i="28"/>
  <c r="BB262" i="28"/>
  <c r="BA262" i="28"/>
  <c r="BB261" i="28"/>
  <c r="BA261" i="28"/>
  <c r="BB260" i="28"/>
  <c r="BA260" i="28"/>
  <c r="BB259" i="28"/>
  <c r="BA259" i="28"/>
  <c r="BB258" i="28"/>
  <c r="BA258" i="28"/>
  <c r="BB257" i="28"/>
  <c r="BA257" i="28"/>
  <c r="BB253" i="28"/>
  <c r="BA253" i="28"/>
  <c r="BB252" i="28"/>
  <c r="BA252" i="28"/>
  <c r="BB251" i="28"/>
  <c r="BA251" i="28"/>
  <c r="BB250" i="28"/>
  <c r="BA250" i="28"/>
  <c r="BC246" i="28"/>
  <c r="BB246" i="28"/>
  <c r="BA246" i="28"/>
  <c r="BC245" i="28"/>
  <c r="BB245" i="28"/>
  <c r="BA245" i="28"/>
  <c r="BC244" i="28"/>
  <c r="BB244" i="28"/>
  <c r="BA244" i="28"/>
  <c r="BC243" i="28"/>
  <c r="BB243" i="28"/>
  <c r="BA243" i="28"/>
  <c r="BB239" i="28"/>
  <c r="BA239" i="28"/>
  <c r="BB238" i="28"/>
  <c r="BA238" i="28"/>
  <c r="BB237" i="28"/>
  <c r="BA237" i="28"/>
  <c r="BB236" i="28"/>
  <c r="BA236" i="28"/>
  <c r="BB235" i="28"/>
  <c r="BA235" i="28"/>
  <c r="BB231" i="28"/>
  <c r="BB230" i="28"/>
  <c r="BB229" i="28"/>
  <c r="BB228" i="28"/>
  <c r="BB227" i="28"/>
  <c r="BB223" i="28"/>
  <c r="BA223" i="28"/>
  <c r="BB222" i="28"/>
  <c r="BA222" i="28"/>
  <c r="BB221" i="28"/>
  <c r="BA221" i="28"/>
  <c r="BB220" i="28"/>
  <c r="BA220" i="28"/>
  <c r="BB219" i="28"/>
  <c r="BA219" i="28"/>
  <c r="BB218" i="28"/>
  <c r="BA218" i="28"/>
  <c r="BB217" i="28"/>
  <c r="BA217" i="28"/>
  <c r="BB216" i="28"/>
  <c r="BA216" i="28"/>
  <c r="BB215" i="28"/>
  <c r="BA215" i="28"/>
  <c r="BB214" i="28"/>
  <c r="BA214" i="28"/>
  <c r="BB213" i="28"/>
  <c r="BA213" i="28"/>
  <c r="BB212" i="28"/>
  <c r="BA212" i="28"/>
  <c r="BB211" i="28"/>
  <c r="BA211" i="28"/>
  <c r="BB210" i="28"/>
  <c r="BA210" i="28"/>
  <c r="BB206" i="28"/>
  <c r="BA206" i="28"/>
  <c r="BB205" i="28"/>
  <c r="BA205" i="28"/>
  <c r="BB204" i="28"/>
  <c r="BA204" i="28"/>
  <c r="BB203" i="28"/>
  <c r="BA203" i="28"/>
  <c r="BB202" i="28"/>
  <c r="BA202" i="28"/>
  <c r="BC198" i="28"/>
  <c r="BB198" i="28"/>
  <c r="BA198" i="28"/>
  <c r="BC197" i="28"/>
  <c r="BB197" i="28"/>
  <c r="BA197" i="28"/>
  <c r="BC196" i="28"/>
  <c r="BB196" i="28"/>
  <c r="BA196" i="28"/>
  <c r="BC195" i="28"/>
  <c r="BB195" i="28"/>
  <c r="BA195" i="28"/>
  <c r="BC194" i="28"/>
  <c r="BB194" i="28"/>
  <c r="BA194" i="28"/>
  <c r="BC193" i="28"/>
  <c r="BB193" i="28"/>
  <c r="BA193" i="28"/>
  <c r="BC192" i="28"/>
  <c r="BB192" i="28"/>
  <c r="BA192" i="28"/>
  <c r="BC191" i="28"/>
  <c r="BB191" i="28"/>
  <c r="BA191" i="28"/>
  <c r="BC190" i="28"/>
  <c r="BB190" i="28"/>
  <c r="BA190" i="28"/>
  <c r="BC186" i="28"/>
  <c r="BB186" i="28"/>
  <c r="BA186" i="28"/>
  <c r="BC185" i="28"/>
  <c r="BB185" i="28"/>
  <c r="BA185" i="28"/>
  <c r="BC184" i="28"/>
  <c r="BB184" i="28"/>
  <c r="BA184" i="28"/>
  <c r="BC183" i="28"/>
  <c r="BB183" i="28"/>
  <c r="BA183" i="28"/>
  <c r="BC182" i="28"/>
  <c r="BB182" i="28"/>
  <c r="BA182" i="28"/>
  <c r="BC181" i="28"/>
  <c r="BB181" i="28"/>
  <c r="BA181" i="28"/>
  <c r="BC180" i="28"/>
  <c r="BB180" i="28"/>
  <c r="BA180" i="28"/>
  <c r="BC179" i="28"/>
  <c r="BB179" i="28"/>
  <c r="BA179" i="28"/>
  <c r="BC178" i="28"/>
  <c r="BB178" i="28"/>
  <c r="BA178" i="28"/>
  <c r="BC177" i="28"/>
  <c r="BB177" i="28"/>
  <c r="BA177" i="28"/>
  <c r="BC176" i="28"/>
  <c r="BB176" i="28"/>
  <c r="BA176" i="28"/>
  <c r="BC175" i="28"/>
  <c r="BB175" i="28"/>
  <c r="BA175" i="28"/>
  <c r="BC158" i="28"/>
  <c r="BB158" i="28"/>
  <c r="BA158" i="28"/>
  <c r="BC157" i="28"/>
  <c r="BB157" i="28"/>
  <c r="BA157" i="28"/>
  <c r="BC156" i="28"/>
  <c r="BB156" i="28"/>
  <c r="BA156" i="28"/>
  <c r="BC155" i="28"/>
  <c r="BB155" i="28"/>
  <c r="BA155" i="28"/>
  <c r="BC151" i="28"/>
  <c r="BB151" i="28"/>
  <c r="BA151" i="28"/>
  <c r="BC150" i="28"/>
  <c r="BB150" i="28"/>
  <c r="BA150" i="28"/>
  <c r="BC149" i="28"/>
  <c r="BB149" i="28"/>
  <c r="BA149" i="28"/>
  <c r="BC148" i="28"/>
  <c r="BB148" i="28"/>
  <c r="BA148" i="28"/>
  <c r="BC147" i="28"/>
  <c r="BB147" i="28"/>
  <c r="BA147" i="28"/>
  <c r="BC146" i="28"/>
  <c r="BB146" i="28"/>
  <c r="BA146" i="28"/>
  <c r="BC145" i="28"/>
  <c r="BB145" i="28"/>
  <c r="BA145" i="28"/>
  <c r="BC144" i="28"/>
  <c r="BB144" i="28"/>
  <c r="BA144" i="28"/>
  <c r="BC143" i="28"/>
  <c r="BB143" i="28"/>
  <c r="BA143" i="28"/>
  <c r="BC142" i="28"/>
  <c r="BB142" i="28"/>
  <c r="BA142" i="28"/>
  <c r="BC141" i="28"/>
  <c r="BB141" i="28"/>
  <c r="BA141" i="28"/>
  <c r="BC140" i="28"/>
  <c r="BB140" i="28"/>
  <c r="BA140" i="28"/>
  <c r="BC139" i="28"/>
  <c r="BB139" i="28"/>
  <c r="BA139" i="28"/>
  <c r="BC135" i="28"/>
  <c r="BB135" i="28"/>
  <c r="BA135" i="28"/>
  <c r="BC134" i="28"/>
  <c r="BB134" i="28"/>
  <c r="BA134" i="28"/>
  <c r="BC133" i="28"/>
  <c r="BB133" i="28"/>
  <c r="BA133" i="28"/>
  <c r="BC132" i="28"/>
  <c r="BB132" i="28"/>
  <c r="BA132" i="28"/>
  <c r="BC131" i="28"/>
  <c r="BB131" i="28"/>
  <c r="BA131" i="28"/>
  <c r="BC127" i="28"/>
  <c r="BB127" i="28"/>
  <c r="BA127" i="28"/>
  <c r="BC126" i="28"/>
  <c r="BB126" i="28"/>
  <c r="BA126" i="28"/>
  <c r="BC125" i="28"/>
  <c r="BB125" i="28"/>
  <c r="BA125" i="28"/>
  <c r="BC124" i="28"/>
  <c r="BB124" i="28"/>
  <c r="BA124" i="28"/>
  <c r="BC123" i="28"/>
  <c r="BB123" i="28"/>
  <c r="BA123" i="28"/>
  <c r="BB119" i="28"/>
  <c r="BA119" i="28"/>
  <c r="BB118" i="28"/>
  <c r="BA118" i="28"/>
  <c r="BB117" i="28"/>
  <c r="BA117" i="28"/>
  <c r="BB116" i="28"/>
  <c r="BA116" i="28"/>
  <c r="BB112" i="28"/>
  <c r="BA112" i="28"/>
  <c r="BB111" i="28"/>
  <c r="BA111" i="28"/>
  <c r="BB110" i="28"/>
  <c r="BA110" i="28"/>
  <c r="BB109" i="28"/>
  <c r="BA109" i="28"/>
  <c r="BB108" i="28"/>
  <c r="BA108" i="28"/>
  <c r="BB107" i="28"/>
  <c r="BA107" i="28"/>
  <c r="BB106" i="28"/>
  <c r="BA106" i="28"/>
  <c r="BB105" i="28"/>
  <c r="BA105" i="28"/>
  <c r="BB104" i="28"/>
  <c r="BA104" i="28"/>
  <c r="BB103" i="28"/>
  <c r="BA103" i="28"/>
  <c r="BB99" i="28"/>
  <c r="BA99" i="28"/>
  <c r="BB98" i="28"/>
  <c r="BA98" i="28"/>
  <c r="BB97" i="28"/>
  <c r="BA97" i="28"/>
  <c r="BB93" i="28"/>
  <c r="BA93" i="28"/>
  <c r="BB92" i="28"/>
  <c r="BA92" i="28"/>
  <c r="BB91" i="28"/>
  <c r="BA91" i="28"/>
  <c r="BA79" i="28"/>
  <c r="BA78" i="28"/>
  <c r="BA77" i="28"/>
  <c r="BA76" i="28"/>
  <c r="BA75" i="28"/>
  <c r="BA74" i="28"/>
  <c r="BA73" i="28"/>
  <c r="BA72" i="28"/>
  <c r="BA71" i="28"/>
  <c r="BA70" i="28"/>
  <c r="BA69" i="28"/>
  <c r="BA68" i="28"/>
  <c r="BA67" i="28"/>
  <c r="BA66" i="28"/>
  <c r="BA65" i="28"/>
  <c r="BB61" i="28"/>
  <c r="BA61" i="28"/>
  <c r="BB60" i="28"/>
  <c r="BA60" i="28"/>
  <c r="BB59" i="28"/>
  <c r="BA59" i="28"/>
  <c r="BB58" i="28"/>
  <c r="BA58" i="28"/>
  <c r="BB57" i="28"/>
  <c r="BA57" i="28"/>
  <c r="BB56" i="28"/>
  <c r="BA56" i="28"/>
  <c r="BB55" i="28"/>
  <c r="BA55" i="28"/>
  <c r="BB54" i="28"/>
  <c r="BA54" i="28"/>
  <c r="BB53" i="28"/>
  <c r="BA53" i="28"/>
  <c r="BB52" i="28"/>
  <c r="BA52" i="28"/>
  <c r="BB51" i="28"/>
  <c r="BA51" i="28"/>
  <c r="BB50" i="28"/>
  <c r="BA50" i="28"/>
  <c r="BB49" i="28"/>
  <c r="BA49" i="28"/>
  <c r="BB48" i="28"/>
  <c r="BA48" i="28"/>
  <c r="BB47" i="28"/>
  <c r="BA47" i="28"/>
  <c r="BB46" i="28"/>
  <c r="BA46" i="28"/>
  <c r="BB45" i="28"/>
  <c r="BA45" i="28"/>
  <c r="BB44" i="28"/>
  <c r="BA44" i="28"/>
  <c r="BB43" i="28"/>
  <c r="BA43" i="28"/>
  <c r="BB42" i="28"/>
  <c r="BA42" i="28"/>
  <c r="BB41" i="28"/>
  <c r="BA41" i="28"/>
  <c r="BB40" i="28"/>
  <c r="BA40" i="28"/>
  <c r="BB39" i="28"/>
  <c r="BA39" i="28"/>
  <c r="BB38" i="28"/>
  <c r="BA38" i="28"/>
  <c r="BB37" i="28"/>
  <c r="BA37" i="28"/>
  <c r="BB36" i="28"/>
  <c r="BA36" i="28"/>
  <c r="BB35" i="28"/>
  <c r="BA35" i="28"/>
  <c r="BB34" i="28"/>
  <c r="BA34" i="28"/>
  <c r="BB33" i="28"/>
  <c r="BA33" i="28"/>
  <c r="BB32" i="28"/>
  <c r="BA32" i="28"/>
  <c r="BB31" i="28"/>
  <c r="BA31" i="28"/>
  <c r="BB30" i="28"/>
  <c r="BA30" i="28"/>
  <c r="BB29" i="28"/>
  <c r="BA29" i="28"/>
  <c r="BB28" i="28"/>
  <c r="BA28" i="28"/>
  <c r="BB27" i="28"/>
  <c r="BA27" i="28"/>
  <c r="BB26" i="28"/>
  <c r="BA26" i="28"/>
  <c r="BB25" i="28"/>
  <c r="BA25" i="28"/>
  <c r="BB24" i="28"/>
  <c r="BA24" i="28"/>
  <c r="BB23" i="28"/>
  <c r="BA23" i="28"/>
  <c r="BB22" i="28"/>
  <c r="BA22" i="28"/>
  <c r="BB21" i="28"/>
  <c r="BA21" i="28"/>
  <c r="BB20" i="28"/>
  <c r="BA20" i="28"/>
  <c r="BB19" i="28"/>
  <c r="BA19" i="28"/>
  <c r="BB18" i="28"/>
  <c r="BA18" i="28"/>
  <c r="BB17" i="28"/>
  <c r="BA17" i="28"/>
  <c r="BB16" i="28"/>
  <c r="BA16" i="28"/>
  <c r="BB15" i="28"/>
  <c r="BA15" i="28"/>
  <c r="BB14" i="28"/>
  <c r="BA14" i="28"/>
  <c r="BB13" i="28"/>
  <c r="BA13" i="28"/>
  <c r="BB12" i="28"/>
  <c r="BA12" i="28"/>
  <c r="BB8" i="28"/>
  <c r="BA8" i="28"/>
  <c r="BB7" i="28"/>
  <c r="BA7" i="28"/>
  <c r="BB6" i="28"/>
  <c r="BA6" i="28"/>
  <c r="BB5" i="28"/>
  <c r="BA5" i="28"/>
  <c r="BB4" i="28"/>
  <c r="BA4" i="28"/>
  <c r="B172" i="27"/>
  <c r="B15" i="27"/>
  <c r="B174" i="27"/>
  <c r="B173" i="27"/>
  <c r="B171" i="27"/>
  <c r="B170" i="27"/>
  <c r="B169" i="27"/>
  <c r="B168" i="27"/>
  <c r="B167" i="27"/>
  <c r="AB179" i="27"/>
  <c r="AC179" i="27"/>
  <c r="AB180" i="27"/>
  <c r="AC180" i="27"/>
  <c r="AB181" i="27"/>
  <c r="AC181" i="27"/>
  <c r="AB182" i="27"/>
  <c r="AC182" i="27"/>
  <c r="AB172" i="27"/>
  <c r="AC172" i="27"/>
  <c r="AD172" i="27"/>
  <c r="AE172" i="27"/>
  <c r="AF172" i="27"/>
  <c r="AB173" i="27"/>
  <c r="AC173" i="27"/>
  <c r="AD173" i="27"/>
  <c r="AE173" i="27"/>
  <c r="AF173" i="27"/>
  <c r="AB174" i="27"/>
  <c r="AC174" i="27"/>
  <c r="AD174" i="27"/>
  <c r="AE174" i="27"/>
  <c r="AF174" i="27"/>
  <c r="AB175" i="27"/>
  <c r="AC175" i="27"/>
  <c r="AD175" i="27"/>
  <c r="AE175" i="27"/>
  <c r="AF175" i="27"/>
  <c r="AB164" i="27"/>
  <c r="AC164" i="27"/>
  <c r="AB165" i="27"/>
  <c r="AC165" i="27"/>
  <c r="AB166" i="27"/>
  <c r="AC166" i="27"/>
  <c r="AB167" i="27"/>
  <c r="AC167" i="27"/>
  <c r="AB168" i="27"/>
  <c r="AC168" i="27"/>
  <c r="AB151" i="27"/>
  <c r="AC151" i="27"/>
  <c r="AB152" i="27"/>
  <c r="AC152" i="27"/>
  <c r="AB153" i="27"/>
  <c r="AC153" i="27"/>
  <c r="AB154" i="27"/>
  <c r="AC154" i="27"/>
  <c r="AB155" i="27"/>
  <c r="AC155" i="27"/>
  <c r="AB156" i="27"/>
  <c r="AC156" i="27"/>
  <c r="AB157" i="27"/>
  <c r="AC157" i="27"/>
  <c r="AB158" i="27"/>
  <c r="AC158" i="27"/>
  <c r="AB159" i="27"/>
  <c r="AC159" i="27"/>
  <c r="AB160" i="27"/>
  <c r="AC160" i="27"/>
  <c r="AB144" i="27"/>
  <c r="AC144" i="27"/>
  <c r="AB145" i="27"/>
  <c r="AC145" i="27"/>
  <c r="AB146" i="27"/>
  <c r="AC146" i="27"/>
  <c r="AB147" i="27"/>
  <c r="AC147" i="27"/>
  <c r="AB129" i="27"/>
  <c r="AC129" i="27"/>
  <c r="AD129" i="27"/>
  <c r="AE129" i="27"/>
  <c r="AF129" i="27"/>
  <c r="AG129" i="27"/>
  <c r="AB130" i="27"/>
  <c r="AC130" i="27"/>
  <c r="AD130" i="27"/>
  <c r="AE130" i="27"/>
  <c r="AF130" i="27"/>
  <c r="AG130" i="27"/>
  <c r="AB131" i="27"/>
  <c r="AC131" i="27"/>
  <c r="AD131" i="27"/>
  <c r="AE131" i="27"/>
  <c r="AF131" i="27"/>
  <c r="AG131" i="27"/>
  <c r="AB132" i="27"/>
  <c r="AC132" i="27"/>
  <c r="AD132" i="27"/>
  <c r="AE132" i="27"/>
  <c r="AF132" i="27"/>
  <c r="AG132" i="27"/>
  <c r="AB133" i="27"/>
  <c r="AC133" i="27"/>
  <c r="AD133" i="27"/>
  <c r="AE133" i="27"/>
  <c r="AF133" i="27"/>
  <c r="AG133" i="27"/>
  <c r="AB134" i="27"/>
  <c r="AC134" i="27"/>
  <c r="AD134" i="27"/>
  <c r="AE134" i="27"/>
  <c r="AF134" i="27"/>
  <c r="AG134" i="27"/>
  <c r="AB135" i="27"/>
  <c r="AC135" i="27"/>
  <c r="AD135" i="27"/>
  <c r="AE135" i="27"/>
  <c r="AF135" i="27"/>
  <c r="AG135" i="27"/>
  <c r="AB136" i="27"/>
  <c r="AC136" i="27"/>
  <c r="AD136" i="27"/>
  <c r="AE136" i="27"/>
  <c r="AF136" i="27"/>
  <c r="AG136" i="27"/>
  <c r="AB137" i="27"/>
  <c r="AC137" i="27"/>
  <c r="AD137" i="27"/>
  <c r="AE137" i="27"/>
  <c r="AF137" i="27"/>
  <c r="AG137" i="27"/>
  <c r="AB138" i="27"/>
  <c r="AC138" i="27"/>
  <c r="AD138" i="27"/>
  <c r="AE138" i="27"/>
  <c r="AF138" i="27"/>
  <c r="AG138" i="27"/>
  <c r="AB139" i="27"/>
  <c r="AC139" i="27"/>
  <c r="AD139" i="27"/>
  <c r="AE139" i="27"/>
  <c r="AF139" i="27"/>
  <c r="AG139" i="27"/>
  <c r="AB140" i="27"/>
  <c r="AC140" i="27"/>
  <c r="AD140" i="27"/>
  <c r="AE140" i="27"/>
  <c r="AF140" i="27"/>
  <c r="AG140" i="27"/>
  <c r="AB101" i="27"/>
  <c r="AC101" i="27"/>
  <c r="AD101" i="27"/>
  <c r="AB102" i="27"/>
  <c r="AC102" i="27"/>
  <c r="AD102" i="27"/>
  <c r="AB103" i="27"/>
  <c r="AC103" i="27"/>
  <c r="AD103" i="27"/>
  <c r="AB104" i="27"/>
  <c r="AC104" i="27"/>
  <c r="AD104" i="27"/>
  <c r="AB105" i="27"/>
  <c r="AC105" i="27"/>
  <c r="AD105" i="27"/>
  <c r="AB106" i="27"/>
  <c r="AC106" i="27"/>
  <c r="AD106" i="27"/>
  <c r="AB107" i="27"/>
  <c r="AC107" i="27"/>
  <c r="AD107" i="27"/>
  <c r="AB108" i="27"/>
  <c r="AC108" i="27"/>
  <c r="AD108" i="27"/>
  <c r="AB109" i="27"/>
  <c r="AC109" i="27"/>
  <c r="AD109" i="27"/>
  <c r="AB110" i="27"/>
  <c r="AC110" i="27"/>
  <c r="AD110" i="27"/>
  <c r="AB111" i="27"/>
  <c r="AC111" i="27"/>
  <c r="AD111" i="27"/>
  <c r="AB112" i="27"/>
  <c r="AC112" i="27"/>
  <c r="AD112" i="27"/>
  <c r="AB113" i="27"/>
  <c r="AC113" i="27"/>
  <c r="AD113" i="27"/>
  <c r="AB114" i="27"/>
  <c r="AC114" i="27"/>
  <c r="AD114" i="27"/>
  <c r="AB115" i="27"/>
  <c r="AC115" i="27"/>
  <c r="AD115" i="27"/>
  <c r="AB116" i="27"/>
  <c r="AC116" i="27"/>
  <c r="AD116" i="27"/>
  <c r="AB117" i="27"/>
  <c r="AC117" i="27"/>
  <c r="AD117" i="27"/>
  <c r="AB118" i="27"/>
  <c r="AC118" i="27"/>
  <c r="AD118" i="27"/>
  <c r="AB119" i="27"/>
  <c r="AC119" i="27"/>
  <c r="AD119" i="27"/>
  <c r="AB120" i="27"/>
  <c r="AC120" i="27"/>
  <c r="AD120" i="27"/>
  <c r="AB121" i="27"/>
  <c r="AC121" i="27"/>
  <c r="AD121" i="27"/>
  <c r="AB122" i="27"/>
  <c r="AC122" i="27"/>
  <c r="AD122" i="27"/>
  <c r="AB123" i="27"/>
  <c r="AC123" i="27"/>
  <c r="AD123" i="27"/>
  <c r="AB124" i="27"/>
  <c r="AC124" i="27"/>
  <c r="AD124" i="27"/>
  <c r="AB125" i="27"/>
  <c r="AC125" i="27"/>
  <c r="AD125" i="27"/>
  <c r="AB62" i="27"/>
  <c r="AC62" i="27"/>
  <c r="AD62" i="27"/>
  <c r="AE62" i="27"/>
  <c r="AB63" i="27"/>
  <c r="AC63" i="27"/>
  <c r="AD63" i="27"/>
  <c r="AE63" i="27"/>
  <c r="AB64" i="27"/>
  <c r="AC64" i="27"/>
  <c r="AD64" i="27"/>
  <c r="AE64" i="27"/>
  <c r="AB65" i="27"/>
  <c r="AC65" i="27"/>
  <c r="AD65" i="27"/>
  <c r="AE65" i="27"/>
  <c r="AB66" i="27"/>
  <c r="AC66" i="27"/>
  <c r="AD66" i="27"/>
  <c r="AE66" i="27"/>
  <c r="AB67" i="27"/>
  <c r="AC67" i="27"/>
  <c r="AD67" i="27"/>
  <c r="AE67" i="27"/>
  <c r="AB68" i="27"/>
  <c r="AC68" i="27"/>
  <c r="AD68" i="27"/>
  <c r="AE68" i="27"/>
  <c r="AB69" i="27"/>
  <c r="AC69" i="27"/>
  <c r="AD69" i="27"/>
  <c r="AE69" i="27"/>
  <c r="AB70" i="27"/>
  <c r="AC70" i="27"/>
  <c r="AD70" i="27"/>
  <c r="AE70" i="27"/>
  <c r="AB71" i="27"/>
  <c r="AC71" i="27"/>
  <c r="AD71" i="27"/>
  <c r="AE71" i="27"/>
  <c r="AB72" i="27"/>
  <c r="AC72" i="27"/>
  <c r="AD72" i="27"/>
  <c r="AE72" i="27"/>
  <c r="AB73" i="27"/>
  <c r="AC73" i="27"/>
  <c r="AD73" i="27"/>
  <c r="AE73" i="27"/>
  <c r="AB74" i="27"/>
  <c r="AC74" i="27"/>
  <c r="AD74" i="27"/>
  <c r="AE74" i="27"/>
  <c r="AB75" i="27"/>
  <c r="AC75" i="27"/>
  <c r="AD75" i="27"/>
  <c r="AE75" i="27"/>
  <c r="AB76" i="27"/>
  <c r="AC76" i="27"/>
  <c r="AD76" i="27"/>
  <c r="AE76" i="27"/>
  <c r="AB77" i="27"/>
  <c r="AC77" i="27"/>
  <c r="AD77" i="27"/>
  <c r="AE77" i="27"/>
  <c r="AB78" i="27"/>
  <c r="AC78" i="27"/>
  <c r="AD78" i="27"/>
  <c r="AE78" i="27"/>
  <c r="AB79" i="27"/>
  <c r="AC79" i="27"/>
  <c r="AD79" i="27"/>
  <c r="AE79" i="27"/>
  <c r="AB80" i="27"/>
  <c r="AC80" i="27"/>
  <c r="AD80" i="27"/>
  <c r="AE80" i="27"/>
  <c r="AB81" i="27"/>
  <c r="AC81" i="27"/>
  <c r="AD81" i="27"/>
  <c r="AE81" i="27"/>
  <c r="AB82" i="27"/>
  <c r="AC82" i="27"/>
  <c r="AD82" i="27"/>
  <c r="AE82" i="27"/>
  <c r="AB83" i="27"/>
  <c r="AC83" i="27"/>
  <c r="AD83" i="27"/>
  <c r="AE83" i="27"/>
  <c r="AB84" i="27"/>
  <c r="AC84" i="27"/>
  <c r="AD84" i="27"/>
  <c r="AE84" i="27"/>
  <c r="AB85" i="27"/>
  <c r="AC85" i="27"/>
  <c r="AD85" i="27"/>
  <c r="AE85" i="27"/>
  <c r="AB86" i="27"/>
  <c r="AC86" i="27"/>
  <c r="AD86" i="27"/>
  <c r="AE86" i="27"/>
  <c r="AB87" i="27"/>
  <c r="AC87" i="27"/>
  <c r="AD87" i="27"/>
  <c r="AE87" i="27"/>
  <c r="AB88" i="27"/>
  <c r="AC88" i="27"/>
  <c r="AD88" i="27"/>
  <c r="AE88" i="27"/>
  <c r="AB89" i="27"/>
  <c r="AC89" i="27"/>
  <c r="AD89" i="27"/>
  <c r="AE89" i="27"/>
  <c r="AB90" i="27"/>
  <c r="AC90" i="27"/>
  <c r="AD90" i="27"/>
  <c r="AE90" i="27"/>
  <c r="AB91" i="27"/>
  <c r="AC91" i="27"/>
  <c r="AD91" i="27"/>
  <c r="AE91" i="27"/>
  <c r="AB92" i="27"/>
  <c r="AC92" i="27"/>
  <c r="AD92" i="27"/>
  <c r="AE92" i="27"/>
  <c r="AB93" i="27"/>
  <c r="AC93" i="27"/>
  <c r="AD93" i="27"/>
  <c r="AE93" i="27"/>
  <c r="AB94" i="27"/>
  <c r="AC94" i="27"/>
  <c r="AD94" i="27"/>
  <c r="AE94" i="27"/>
  <c r="AB95" i="27"/>
  <c r="AC95" i="27"/>
  <c r="AD95" i="27"/>
  <c r="AE95" i="27"/>
  <c r="AB96" i="27"/>
  <c r="AC96" i="27"/>
  <c r="AD96" i="27"/>
  <c r="AE96" i="27"/>
  <c r="AB97" i="27"/>
  <c r="AC97" i="27"/>
  <c r="AD97" i="27"/>
  <c r="AE97" i="27"/>
  <c r="AB50" i="27"/>
  <c r="AC50" i="27"/>
  <c r="AB51" i="27"/>
  <c r="AC51" i="27"/>
  <c r="AB52" i="27"/>
  <c r="AC52" i="27"/>
  <c r="AB53" i="27"/>
  <c r="AC53" i="27"/>
  <c r="AB54" i="27"/>
  <c r="AC54" i="27"/>
  <c r="AB55" i="27"/>
  <c r="AC55" i="27"/>
  <c r="AB56" i="27"/>
  <c r="AC56" i="27"/>
  <c r="AB57" i="27"/>
  <c r="AC57" i="27"/>
  <c r="AB58" i="27"/>
  <c r="AC58" i="27"/>
  <c r="AB37" i="27"/>
  <c r="AC37" i="27"/>
  <c r="AD37" i="27"/>
  <c r="AB38" i="27"/>
  <c r="AC38" i="27"/>
  <c r="AD38" i="27"/>
  <c r="AB39" i="27"/>
  <c r="AC39" i="27"/>
  <c r="AD39" i="27"/>
  <c r="AB40" i="27"/>
  <c r="AC40" i="27"/>
  <c r="AD40" i="27"/>
  <c r="AB41" i="27"/>
  <c r="AC41" i="27"/>
  <c r="AD41" i="27"/>
  <c r="AB42" i="27"/>
  <c r="AC42" i="27"/>
  <c r="AD42" i="27"/>
  <c r="AB43" i="27"/>
  <c r="AC43" i="27"/>
  <c r="AD43" i="27"/>
  <c r="AB44" i="27"/>
  <c r="AC44" i="27"/>
  <c r="AD44" i="27"/>
  <c r="AB45" i="27"/>
  <c r="AC45" i="27"/>
  <c r="AD45" i="27"/>
  <c r="AB46" i="27"/>
  <c r="AC46" i="27"/>
  <c r="AD46" i="27"/>
  <c r="AB31" i="27"/>
  <c r="AC31" i="27"/>
  <c r="AB32" i="27"/>
  <c r="AC32" i="27"/>
  <c r="AB33" i="27"/>
  <c r="AC33" i="27"/>
  <c r="AB25" i="27"/>
  <c r="AC25" i="27"/>
  <c r="AB26" i="27"/>
  <c r="AC26" i="27"/>
  <c r="AB27" i="27"/>
  <c r="AC27" i="27"/>
  <c r="AB17" i="27"/>
  <c r="AC17" i="27"/>
  <c r="AB18" i="27"/>
  <c r="AC18" i="27"/>
  <c r="AB19" i="27"/>
  <c r="AC19" i="27"/>
  <c r="AB20" i="27"/>
  <c r="AC20" i="27"/>
  <c r="AB21" i="27"/>
  <c r="AC21" i="27"/>
  <c r="AB4" i="27"/>
  <c r="AC4" i="27"/>
  <c r="AB5" i="27"/>
  <c r="AC5" i="27"/>
  <c r="AB6" i="27"/>
  <c r="AC6" i="27"/>
  <c r="AB7" i="27"/>
  <c r="AC7" i="27"/>
  <c r="AB8" i="27"/>
  <c r="AC8" i="27"/>
  <c r="AB9" i="27"/>
  <c r="AC9" i="27"/>
  <c r="AB10" i="27"/>
  <c r="AC10" i="27"/>
  <c r="AB11" i="27"/>
  <c r="AC11" i="27"/>
  <c r="AB12" i="27"/>
  <c r="AC12" i="27"/>
  <c r="AB13" i="27"/>
  <c r="AC13" i="27"/>
  <c r="Q15" i="27"/>
  <c r="Q14" i="27"/>
  <c r="L15" i="27"/>
  <c r="L14" i="27"/>
  <c r="G15" i="27"/>
  <c r="G14" i="27"/>
  <c r="B14" i="27"/>
  <c r="Q11" i="27"/>
  <c r="Q10" i="27"/>
  <c r="L11" i="27"/>
  <c r="L10" i="27"/>
  <c r="G11" i="27"/>
  <c r="G10" i="27"/>
  <c r="B11" i="27"/>
  <c r="B10" i="27"/>
  <c r="Q7" i="27"/>
  <c r="Q6" i="27"/>
  <c r="L7" i="27"/>
  <c r="L6" i="27"/>
  <c r="G7" i="27"/>
  <c r="G6" i="27"/>
  <c r="B7" i="27"/>
  <c r="B6" i="27"/>
  <c r="A997" i="26"/>
  <c r="A929" i="26"/>
  <c r="B919" i="26"/>
  <c r="C919" i="26" s="1"/>
  <c r="D919" i="26"/>
  <c r="E919" i="26"/>
  <c r="F919" i="26"/>
  <c r="B920" i="26"/>
  <c r="C920" i="26" s="1"/>
  <c r="D920" i="26"/>
  <c r="E920" i="26"/>
  <c r="F920" i="26"/>
  <c r="B921" i="26"/>
  <c r="D921" i="26"/>
  <c r="E921" i="26"/>
  <c r="F921" i="26"/>
  <c r="B922" i="26"/>
  <c r="C922" i="26" s="1"/>
  <c r="D922" i="26"/>
  <c r="E922" i="26"/>
  <c r="F922" i="26"/>
  <c r="B923" i="26"/>
  <c r="D923" i="26"/>
  <c r="E923" i="26"/>
  <c r="F923" i="26"/>
  <c r="A924" i="26"/>
  <c r="B927" i="26"/>
  <c r="D927" i="26"/>
  <c r="F927" i="26"/>
  <c r="B928" i="26"/>
  <c r="D928" i="26"/>
  <c r="F928" i="26"/>
  <c r="B932" i="26" a="1"/>
  <c r="D932" i="26"/>
  <c r="F932" i="26"/>
  <c r="B934" i="26" a="1"/>
  <c r="C934" i="26" a="1"/>
  <c r="D934" i="26" a="1"/>
  <c r="E934" i="26" a="1"/>
  <c r="F934" i="26" a="1"/>
  <c r="B935" i="26" a="1"/>
  <c r="C935" i="26" a="1"/>
  <c r="D935" i="26" a="1"/>
  <c r="E935" i="26" a="1"/>
  <c r="F935" i="26" a="1"/>
  <c r="B936" i="26" a="1"/>
  <c r="C936" i="26" a="1"/>
  <c r="D936" i="26" a="1"/>
  <c r="E936" i="26" a="1"/>
  <c r="F936" i="26" a="1"/>
  <c r="B937" i="26" a="1"/>
  <c r="C937" i="26" a="1"/>
  <c r="D937" i="26" a="1"/>
  <c r="E937" i="26" a="1"/>
  <c r="F937" i="26" a="1"/>
  <c r="B938" i="26" a="1"/>
  <c r="C938" i="26" a="1"/>
  <c r="D938" i="26" a="1"/>
  <c r="E938" i="26" a="1"/>
  <c r="F938" i="26" a="1"/>
  <c r="B939" i="26" a="1"/>
  <c r="C939" i="26" a="1"/>
  <c r="D939" i="26" a="1"/>
  <c r="E939" i="26" a="1"/>
  <c r="F939" i="26" a="1"/>
  <c r="B940" i="26" a="1"/>
  <c r="C940" i="26" a="1"/>
  <c r="D940" i="26" a="1"/>
  <c r="E940" i="26" a="1"/>
  <c r="F940" i="26" a="1"/>
  <c r="B941" i="26" a="1"/>
  <c r="C941" i="26" a="1"/>
  <c r="D941" i="26" a="1"/>
  <c r="E941" i="26" a="1"/>
  <c r="F941" i="26" a="1"/>
  <c r="A942" i="26"/>
  <c r="A946" i="26"/>
  <c r="B946" i="26"/>
  <c r="C946" i="26"/>
  <c r="D946" i="26"/>
  <c r="E946" i="26"/>
  <c r="F946" i="26"/>
  <c r="A947" i="26"/>
  <c r="B947" i="26"/>
  <c r="C947" i="26"/>
  <c r="D947" i="26"/>
  <c r="E947" i="26"/>
  <c r="F947" i="26"/>
  <c r="A948" i="26"/>
  <c r="B948" i="26"/>
  <c r="C948" i="26"/>
  <c r="D948" i="26"/>
  <c r="E948" i="26"/>
  <c r="F948" i="26"/>
  <c r="A949" i="26"/>
  <c r="B949" i="26"/>
  <c r="C949" i="26"/>
  <c r="D949" i="26"/>
  <c r="E949" i="26"/>
  <c r="F949" i="26"/>
  <c r="A950" i="26"/>
  <c r="B950" i="26"/>
  <c r="C950" i="26"/>
  <c r="D950" i="26"/>
  <c r="E950" i="26"/>
  <c r="F950" i="26"/>
  <c r="A951" i="26"/>
  <c r="B951" i="26"/>
  <c r="C951" i="26"/>
  <c r="D951" i="26"/>
  <c r="E951" i="26"/>
  <c r="F951" i="26"/>
  <c r="A952" i="26"/>
  <c r="B952" i="26"/>
  <c r="C952" i="26"/>
  <c r="D952" i="26"/>
  <c r="E952" i="26"/>
  <c r="F952" i="26"/>
  <c r="A953" i="26"/>
  <c r="B953" i="26"/>
  <c r="C953" i="26"/>
  <c r="D953" i="26"/>
  <c r="E953" i="26"/>
  <c r="F953" i="26"/>
  <c r="A954" i="26"/>
  <c r="B954" i="26"/>
  <c r="C954" i="26"/>
  <c r="D954" i="26"/>
  <c r="E954" i="26"/>
  <c r="F954" i="26"/>
  <c r="A955" i="26"/>
  <c r="B955" i="26"/>
  <c r="C955" i="26"/>
  <c r="D955" i="26"/>
  <c r="E955" i="26"/>
  <c r="F955" i="26"/>
  <c r="A956" i="26"/>
  <c r="B956" i="26"/>
  <c r="C956" i="26"/>
  <c r="D956" i="26"/>
  <c r="E956" i="26"/>
  <c r="F956" i="26"/>
  <c r="A957" i="26"/>
  <c r="B957" i="26"/>
  <c r="C957" i="26"/>
  <c r="D957" i="26"/>
  <c r="E957" i="26"/>
  <c r="F957" i="26"/>
  <c r="A958" i="26"/>
  <c r="B958" i="26"/>
  <c r="C958" i="26"/>
  <c r="D958" i="26"/>
  <c r="E958" i="26"/>
  <c r="F958" i="26"/>
  <c r="A959" i="26"/>
  <c r="B959" i="26"/>
  <c r="C959" i="26"/>
  <c r="D959" i="26"/>
  <c r="E959" i="26"/>
  <c r="F959" i="26"/>
  <c r="A960" i="26"/>
  <c r="B960" i="26"/>
  <c r="C960" i="26"/>
  <c r="D960" i="26"/>
  <c r="E960" i="26"/>
  <c r="F960" i="26"/>
  <c r="A961" i="26"/>
  <c r="B961" i="26"/>
  <c r="C961" i="26"/>
  <c r="D961" i="26"/>
  <c r="E961" i="26"/>
  <c r="F961" i="26"/>
  <c r="A962" i="26"/>
  <c r="B962" i="26"/>
  <c r="C962" i="26"/>
  <c r="D962" i="26"/>
  <c r="E962" i="26"/>
  <c r="F962" i="26"/>
  <c r="A963" i="26"/>
  <c r="B963" i="26"/>
  <c r="C963" i="26"/>
  <c r="D963" i="26"/>
  <c r="E963" i="26"/>
  <c r="F963" i="26"/>
  <c r="A964" i="26"/>
  <c r="B964" i="26"/>
  <c r="C964" i="26"/>
  <c r="D964" i="26"/>
  <c r="E964" i="26"/>
  <c r="F964" i="26"/>
  <c r="A965" i="26"/>
  <c r="B965" i="26"/>
  <c r="C965" i="26"/>
  <c r="D965" i="26"/>
  <c r="E965" i="26"/>
  <c r="F965" i="26"/>
  <c r="A966" i="26"/>
  <c r="B966" i="26"/>
  <c r="C966" i="26"/>
  <c r="D966" i="26"/>
  <c r="E966" i="26"/>
  <c r="F966" i="26"/>
  <c r="A967" i="26"/>
  <c r="B967" i="26"/>
  <c r="C967" i="26"/>
  <c r="D967" i="26"/>
  <c r="E967" i="26"/>
  <c r="F967" i="26"/>
  <c r="A968" i="26"/>
  <c r="B968" i="26"/>
  <c r="C968" i="26"/>
  <c r="D968" i="26"/>
  <c r="E968" i="26"/>
  <c r="F968" i="26"/>
  <c r="A969" i="26"/>
  <c r="B969" i="26"/>
  <c r="C969" i="26"/>
  <c r="D969" i="26"/>
  <c r="E969" i="26"/>
  <c r="F969" i="26"/>
  <c r="A970" i="26"/>
  <c r="B970" i="26"/>
  <c r="C970" i="26"/>
  <c r="D970" i="26"/>
  <c r="E970" i="26"/>
  <c r="F970" i="26"/>
  <c r="C972" i="26" a="1"/>
  <c r="D972" i="26" s="1"/>
  <c r="E972" i="26" a="1"/>
  <c r="C973" i="26" a="1"/>
  <c r="D973" i="26" s="1"/>
  <c r="E973" i="26" a="1"/>
  <c r="C974" i="26" a="1"/>
  <c r="D974" i="26" s="1"/>
  <c r="E974" i="26" a="1"/>
  <c r="C975" i="26" a="1"/>
  <c r="D975" i="26" s="1"/>
  <c r="E975" i="26" a="1"/>
  <c r="E976" i="26" s="1"/>
  <c r="C976" i="26"/>
  <c r="A977" i="26"/>
  <c r="B981" i="26"/>
  <c r="C981" i="26"/>
  <c r="D981" i="26"/>
  <c r="E981" i="26"/>
  <c r="F981" i="26"/>
  <c r="B982" i="26"/>
  <c r="C982" i="26"/>
  <c r="D982" i="26"/>
  <c r="E982" i="26"/>
  <c r="F982" i="26"/>
  <c r="B983" i="26"/>
  <c r="C983" i="26"/>
  <c r="D983" i="26"/>
  <c r="E983" i="26"/>
  <c r="F983" i="26"/>
  <c r="B984" i="26"/>
  <c r="C984" i="26"/>
  <c r="D984" i="26"/>
  <c r="E984" i="26"/>
  <c r="F984" i="26"/>
  <c r="A985" i="26"/>
  <c r="C989" i="26" a="1"/>
  <c r="D989" i="26" s="1"/>
  <c r="E989" i="26" a="1"/>
  <c r="F989" i="26" a="1"/>
  <c r="C990" i="26" a="1"/>
  <c r="E990" i="26" a="1"/>
  <c r="F990" i="26" a="1"/>
  <c r="C992" i="26"/>
  <c r="C991" i="26" s="1"/>
  <c r="D991" i="26" s="1"/>
  <c r="D992" i="26"/>
  <c r="E992" i="26"/>
  <c r="E991" i="26" s="1"/>
  <c r="F992" i="26"/>
  <c r="A996" i="26"/>
  <c r="A999" i="26"/>
  <c r="A874" i="26"/>
  <c r="V849" i="26"/>
  <c r="V850" i="26"/>
  <c r="V851" i="26"/>
  <c r="V852" i="26"/>
  <c r="V853" i="26"/>
  <c r="V854" i="26"/>
  <c r="V855" i="26"/>
  <c r="V856" i="26"/>
  <c r="V857" i="26"/>
  <c r="V858" i="26"/>
  <c r="V859" i="26"/>
  <c r="V860" i="26"/>
  <c r="V861" i="26"/>
  <c r="V862" i="26"/>
  <c r="V863" i="26"/>
  <c r="V864" i="26"/>
  <c r="V865" i="26"/>
  <c r="V866" i="26"/>
  <c r="V867" i="26"/>
  <c r="V868" i="26"/>
  <c r="V869" i="26"/>
  <c r="V870" i="26"/>
  <c r="V871" i="26"/>
  <c r="V872" i="26"/>
  <c r="V873" i="26"/>
  <c r="V874" i="26"/>
  <c r="V875" i="26"/>
  <c r="V876" i="26"/>
  <c r="V877" i="26"/>
  <c r="V878" i="26"/>
  <c r="V879" i="26"/>
  <c r="V880" i="26"/>
  <c r="V881" i="26"/>
  <c r="V882" i="26"/>
  <c r="V883" i="26"/>
  <c r="V884" i="26"/>
  <c r="V885" i="26"/>
  <c r="V886" i="26"/>
  <c r="V887" i="26"/>
  <c r="V888" i="26"/>
  <c r="B853" i="26"/>
  <c r="C853" i="26"/>
  <c r="D853" i="26"/>
  <c r="E853" i="26"/>
  <c r="F853" i="26"/>
  <c r="B854" i="26"/>
  <c r="C854" i="26"/>
  <c r="D854" i="26"/>
  <c r="E854" i="26"/>
  <c r="F854" i="26"/>
  <c r="B855" i="26"/>
  <c r="C855" i="26"/>
  <c r="D855" i="26"/>
  <c r="E855" i="26"/>
  <c r="F855" i="26"/>
  <c r="B856" i="26"/>
  <c r="C856" i="26"/>
  <c r="D856" i="26"/>
  <c r="E856" i="26"/>
  <c r="F856" i="26"/>
  <c r="B857" i="26"/>
  <c r="C857" i="26"/>
  <c r="D857" i="26"/>
  <c r="E857" i="26"/>
  <c r="F857" i="26"/>
  <c r="B858" i="26"/>
  <c r="C858" i="26"/>
  <c r="D858" i="26"/>
  <c r="E858" i="26"/>
  <c r="F858" i="26"/>
  <c r="B859" i="26"/>
  <c r="C859" i="26"/>
  <c r="D859" i="26"/>
  <c r="E859" i="26"/>
  <c r="F859" i="26"/>
  <c r="B860" i="26"/>
  <c r="C860" i="26"/>
  <c r="D860" i="26"/>
  <c r="E860" i="26"/>
  <c r="F860" i="26"/>
  <c r="B861" i="26"/>
  <c r="C861" i="26"/>
  <c r="D861" i="26"/>
  <c r="E861" i="26"/>
  <c r="F861" i="26"/>
  <c r="B862" i="26"/>
  <c r="C862" i="26"/>
  <c r="D862" i="26"/>
  <c r="E862" i="26"/>
  <c r="F862" i="26"/>
  <c r="B863" i="26"/>
  <c r="C863" i="26"/>
  <c r="D863" i="26"/>
  <c r="E863" i="26"/>
  <c r="B867" i="26"/>
  <c r="D867" i="26"/>
  <c r="F867" i="26"/>
  <c r="B878" i="26"/>
  <c r="C878" i="26"/>
  <c r="D878" i="26"/>
  <c r="F878" i="26"/>
  <c r="B879" i="26"/>
  <c r="C879" i="26"/>
  <c r="D879" i="26"/>
  <c r="F879" i="26"/>
  <c r="B880" i="26"/>
  <c r="C880" i="26"/>
  <c r="D880" i="26"/>
  <c r="F880" i="26"/>
  <c r="B881" i="26"/>
  <c r="C881" i="26"/>
  <c r="D881" i="26"/>
  <c r="F881" i="26"/>
  <c r="B882" i="26"/>
  <c r="C882" i="26"/>
  <c r="D882" i="26"/>
  <c r="F882" i="26"/>
  <c r="B883" i="26"/>
  <c r="C883" i="26"/>
  <c r="D883" i="26"/>
  <c r="F883" i="26"/>
  <c r="B884" i="26"/>
  <c r="C884" i="26"/>
  <c r="D884" i="26"/>
  <c r="F884" i="26"/>
  <c r="B885" i="26"/>
  <c r="C885" i="26"/>
  <c r="D885" i="26"/>
  <c r="F885" i="26"/>
  <c r="B886" i="26"/>
  <c r="C886" i="26"/>
  <c r="D886" i="26"/>
  <c r="F886" i="26"/>
  <c r="B887" i="26"/>
  <c r="C887" i="26"/>
  <c r="A888" i="26" s="1"/>
  <c r="D887" i="26"/>
  <c r="F887" i="26"/>
  <c r="B892" i="26"/>
  <c r="C892" i="26"/>
  <c r="D892" i="26"/>
  <c r="E892" i="26" s="1"/>
  <c r="F892" i="26"/>
  <c r="B893" i="26"/>
  <c r="C893" i="26"/>
  <c r="D893" i="26"/>
  <c r="E893" i="26" s="1"/>
  <c r="F893" i="26"/>
  <c r="B894" i="26"/>
  <c r="C894" i="26"/>
  <c r="D894" i="26"/>
  <c r="E894" i="26" s="1"/>
  <c r="F894" i="26"/>
  <c r="B895" i="26"/>
  <c r="C895" i="26"/>
  <c r="D895" i="26"/>
  <c r="E895" i="26"/>
  <c r="F895" i="26"/>
  <c r="B896" i="26"/>
  <c r="C896" i="26"/>
  <c r="C897" i="26" s="1"/>
  <c r="D896" i="26"/>
  <c r="F896" i="26"/>
  <c r="F897" i="26" s="1"/>
  <c r="B897" i="26"/>
  <c r="B907" i="26"/>
  <c r="C907" i="26"/>
  <c r="D907" i="26"/>
  <c r="B908" i="26"/>
  <c r="C908" i="26"/>
  <c r="D908" i="26"/>
  <c r="B909" i="26"/>
  <c r="C909" i="26"/>
  <c r="D909" i="26"/>
  <c r="B910" i="26"/>
  <c r="C910" i="26"/>
  <c r="D910" i="26"/>
  <c r="B911" i="26"/>
  <c r="C911" i="26"/>
  <c r="D911" i="26"/>
  <c r="B912" i="26"/>
  <c r="C912" i="26"/>
  <c r="D912" i="26"/>
  <c r="A849" i="26"/>
  <c r="B848" i="26"/>
  <c r="D848" i="26"/>
  <c r="F848" i="26"/>
  <c r="N849" i="26"/>
  <c r="O849" i="26"/>
  <c r="P849" i="26"/>
  <c r="Q849" i="26"/>
  <c r="E878" i="26" s="1"/>
  <c r="R849" i="26"/>
  <c r="U849" i="26"/>
  <c r="N850" i="26"/>
  <c r="O850" i="26"/>
  <c r="P850" i="26"/>
  <c r="Q850" i="26"/>
  <c r="R850" i="26"/>
  <c r="U850" i="26"/>
  <c r="N851" i="26"/>
  <c r="O851" i="26"/>
  <c r="P851" i="26"/>
  <c r="Q851" i="26"/>
  <c r="S851" i="26" s="1"/>
  <c r="T851" i="26" s="1"/>
  <c r="R851" i="26"/>
  <c r="U851" i="26"/>
  <c r="N852" i="26"/>
  <c r="O852" i="26"/>
  <c r="P852" i="26"/>
  <c r="Q852" i="26"/>
  <c r="R852" i="26"/>
  <c r="U852" i="26"/>
  <c r="N853" i="26"/>
  <c r="O853" i="26"/>
  <c r="P853" i="26"/>
  <c r="Q853" i="26"/>
  <c r="R853" i="26"/>
  <c r="U853" i="26"/>
  <c r="N854" i="26"/>
  <c r="O854" i="26"/>
  <c r="P854" i="26"/>
  <c r="Q854" i="26"/>
  <c r="S854" i="26" s="1"/>
  <c r="T854" i="26" s="1"/>
  <c r="R854" i="26"/>
  <c r="U854" i="26"/>
  <c r="N855" i="26"/>
  <c r="O855" i="26"/>
  <c r="P855" i="26"/>
  <c r="Q855" i="26"/>
  <c r="S855" i="26" s="1"/>
  <c r="T855" i="26" s="1"/>
  <c r="R855" i="26"/>
  <c r="U855" i="26"/>
  <c r="N856" i="26"/>
  <c r="O856" i="26"/>
  <c r="P856" i="26"/>
  <c r="Q856" i="26"/>
  <c r="S856" i="26" s="1"/>
  <c r="T856" i="26" s="1"/>
  <c r="R856" i="26"/>
  <c r="U856" i="26"/>
  <c r="N857" i="26"/>
  <c r="O857" i="26"/>
  <c r="P857" i="26"/>
  <c r="Q857" i="26"/>
  <c r="S857" i="26" s="1"/>
  <c r="T857" i="26" s="1"/>
  <c r="R857" i="26"/>
  <c r="U857" i="26"/>
  <c r="N858" i="26"/>
  <c r="O858" i="26"/>
  <c r="P858" i="26"/>
  <c r="Q858" i="26"/>
  <c r="S858" i="26" s="1"/>
  <c r="T858" i="26" s="1"/>
  <c r="R858" i="26"/>
  <c r="U858" i="26"/>
  <c r="N859" i="26"/>
  <c r="O859" i="26"/>
  <c r="P859" i="26"/>
  <c r="Q859" i="26"/>
  <c r="S859" i="26" s="1"/>
  <c r="T859" i="26" s="1"/>
  <c r="R859" i="26"/>
  <c r="U859" i="26"/>
  <c r="N860" i="26"/>
  <c r="O860" i="26"/>
  <c r="P860" i="26"/>
  <c r="Q860" i="26"/>
  <c r="S860" i="26" s="1"/>
  <c r="T860" i="26" s="1"/>
  <c r="R860" i="26"/>
  <c r="U860" i="26"/>
  <c r="N861" i="26"/>
  <c r="O861" i="26"/>
  <c r="P861" i="26"/>
  <c r="Q861" i="26"/>
  <c r="S861" i="26" s="1"/>
  <c r="T861" i="26" s="1"/>
  <c r="R861" i="26"/>
  <c r="U861" i="26"/>
  <c r="N862" i="26"/>
  <c r="O862" i="26"/>
  <c r="P862" i="26"/>
  <c r="Q862" i="26"/>
  <c r="R862" i="26"/>
  <c r="U862" i="26"/>
  <c r="N863" i="26"/>
  <c r="O863" i="26"/>
  <c r="P863" i="26"/>
  <c r="Q863" i="26"/>
  <c r="S863" i="26" s="1"/>
  <c r="T863" i="26" s="1"/>
  <c r="R863" i="26"/>
  <c r="U863" i="26"/>
  <c r="N864" i="26"/>
  <c r="O864" i="26"/>
  <c r="P864" i="26"/>
  <c r="Q864" i="26"/>
  <c r="S864" i="26" s="1"/>
  <c r="T864" i="26" s="1"/>
  <c r="R864" i="26"/>
  <c r="U864" i="26"/>
  <c r="N865" i="26"/>
  <c r="O865" i="26"/>
  <c r="P865" i="26"/>
  <c r="Q865" i="26"/>
  <c r="S865" i="26" s="1"/>
  <c r="T865" i="26" s="1"/>
  <c r="R865" i="26"/>
  <c r="U865" i="26"/>
  <c r="N866" i="26"/>
  <c r="O866" i="26"/>
  <c r="P866" i="26"/>
  <c r="Q866" i="26"/>
  <c r="S866" i="26" s="1"/>
  <c r="T866" i="26" s="1"/>
  <c r="R866" i="26"/>
  <c r="U866" i="26"/>
  <c r="N867" i="26"/>
  <c r="O867" i="26"/>
  <c r="P867" i="26"/>
  <c r="Q867" i="26"/>
  <c r="S867" i="26" s="1"/>
  <c r="T867" i="26" s="1"/>
  <c r="R867" i="26"/>
  <c r="U867" i="26"/>
  <c r="N868" i="26"/>
  <c r="O868" i="26"/>
  <c r="P868" i="26"/>
  <c r="Q868" i="26"/>
  <c r="S868" i="26" s="1"/>
  <c r="T868" i="26" s="1"/>
  <c r="R868" i="26"/>
  <c r="U868" i="26"/>
  <c r="N869" i="26"/>
  <c r="O869" i="26"/>
  <c r="P869" i="26"/>
  <c r="Q869" i="26"/>
  <c r="S869" i="26" s="1"/>
  <c r="T869" i="26" s="1"/>
  <c r="R869" i="26"/>
  <c r="U869" i="26"/>
  <c r="N870" i="26"/>
  <c r="O870" i="26"/>
  <c r="P870" i="26"/>
  <c r="Q870" i="26"/>
  <c r="R870" i="26"/>
  <c r="U870" i="26"/>
  <c r="N871" i="26"/>
  <c r="O871" i="26"/>
  <c r="P871" i="26"/>
  <c r="Q871" i="26"/>
  <c r="S871" i="26" s="1"/>
  <c r="T871" i="26" s="1"/>
  <c r="R871" i="26"/>
  <c r="U871" i="26"/>
  <c r="N872" i="26"/>
  <c r="O872" i="26"/>
  <c r="P872" i="26"/>
  <c r="Q872" i="26"/>
  <c r="R872" i="26"/>
  <c r="U872" i="26"/>
  <c r="N873" i="26"/>
  <c r="O873" i="26"/>
  <c r="P873" i="26"/>
  <c r="Q873" i="26"/>
  <c r="S873" i="26" s="1"/>
  <c r="T873" i="26" s="1"/>
  <c r="R873" i="26"/>
  <c r="U873" i="26"/>
  <c r="N874" i="26"/>
  <c r="O874" i="26"/>
  <c r="P874" i="26"/>
  <c r="Q874" i="26"/>
  <c r="R874" i="26"/>
  <c r="U874" i="26"/>
  <c r="N875" i="26"/>
  <c r="O875" i="26"/>
  <c r="P875" i="26"/>
  <c r="Q875" i="26"/>
  <c r="S875" i="26" s="1"/>
  <c r="T875" i="26" s="1"/>
  <c r="R875" i="26"/>
  <c r="U875" i="26"/>
  <c r="N876" i="26"/>
  <c r="O876" i="26"/>
  <c r="P876" i="26"/>
  <c r="Q876" i="26"/>
  <c r="S876" i="26" s="1"/>
  <c r="T876" i="26" s="1"/>
  <c r="R876" i="26"/>
  <c r="U876" i="26"/>
  <c r="N877" i="26"/>
  <c r="O877" i="26"/>
  <c r="P877" i="26"/>
  <c r="Q877" i="26"/>
  <c r="E883" i="26" s="1"/>
  <c r="R877" i="26"/>
  <c r="S877" i="26"/>
  <c r="T877" i="26"/>
  <c r="U877" i="26"/>
  <c r="N878" i="26"/>
  <c r="O878" i="26"/>
  <c r="P878" i="26"/>
  <c r="Q878" i="26"/>
  <c r="R878" i="26"/>
  <c r="S878" i="26"/>
  <c r="T878" i="26"/>
  <c r="U878" i="26"/>
  <c r="N879" i="26"/>
  <c r="O879" i="26"/>
  <c r="P879" i="26"/>
  <c r="Q879" i="26"/>
  <c r="R879" i="26"/>
  <c r="S879" i="26"/>
  <c r="T879" i="26"/>
  <c r="U879" i="26"/>
  <c r="N880" i="26"/>
  <c r="O880" i="26"/>
  <c r="P880" i="26"/>
  <c r="Q880" i="26"/>
  <c r="R880" i="26"/>
  <c r="S880" i="26"/>
  <c r="T880" i="26"/>
  <c r="U880" i="26"/>
  <c r="N881" i="26"/>
  <c r="O881" i="26"/>
  <c r="P881" i="26"/>
  <c r="Q881" i="26"/>
  <c r="E884" i="26" s="1"/>
  <c r="R881" i="26"/>
  <c r="S881" i="26"/>
  <c r="T881" i="26"/>
  <c r="U881" i="26"/>
  <c r="N882" i="26"/>
  <c r="O882" i="26"/>
  <c r="P882" i="26"/>
  <c r="Q882" i="26"/>
  <c r="R882" i="26"/>
  <c r="S882" i="26"/>
  <c r="T882" i="26"/>
  <c r="U882" i="26"/>
  <c r="N883" i="26"/>
  <c r="O883" i="26"/>
  <c r="P883" i="26"/>
  <c r="Q883" i="26"/>
  <c r="R883" i="26"/>
  <c r="S883" i="26"/>
  <c r="T883" i="26"/>
  <c r="U883" i="26"/>
  <c r="N884" i="26"/>
  <c r="O884" i="26"/>
  <c r="P884" i="26"/>
  <c r="Q884" i="26"/>
  <c r="R884" i="26"/>
  <c r="S884" i="26"/>
  <c r="T884" i="26"/>
  <c r="U884" i="26"/>
  <c r="N885" i="26"/>
  <c r="O885" i="26"/>
  <c r="P885" i="26"/>
  <c r="Q885" i="26"/>
  <c r="R885" i="26"/>
  <c r="S885" i="26"/>
  <c r="T885" i="26"/>
  <c r="U885" i="26"/>
  <c r="N886" i="26"/>
  <c r="O886" i="26"/>
  <c r="P886" i="26"/>
  <c r="Q886" i="26"/>
  <c r="R886" i="26"/>
  <c r="S886" i="26"/>
  <c r="T886" i="26"/>
  <c r="U886" i="26"/>
  <c r="N887" i="26"/>
  <c r="O887" i="26"/>
  <c r="P887" i="26"/>
  <c r="Q887" i="26"/>
  <c r="R887" i="26"/>
  <c r="S887" i="26"/>
  <c r="T887" i="26"/>
  <c r="U887" i="26"/>
  <c r="N888" i="26"/>
  <c r="O888" i="26"/>
  <c r="P888" i="26"/>
  <c r="Q888" i="26"/>
  <c r="S888" i="26" s="1"/>
  <c r="T888" i="26" s="1"/>
  <c r="R888" i="26"/>
  <c r="U888" i="26"/>
  <c r="D816" i="26"/>
  <c r="A799" i="26" a="1"/>
  <c r="F816" i="26"/>
  <c r="H803" i="26"/>
  <c r="H804" i="26"/>
  <c r="H805" i="26"/>
  <c r="H806" i="26"/>
  <c r="H807" i="26"/>
  <c r="H808" i="26"/>
  <c r="H809" i="26"/>
  <c r="H810" i="26"/>
  <c r="H811" i="26"/>
  <c r="H812" i="26"/>
  <c r="B784" i="26" a="1"/>
  <c r="C784" i="26"/>
  <c r="D784" i="26" a="1"/>
  <c r="E784" i="26" a="1"/>
  <c r="F784" i="26" a="1"/>
  <c r="B785" i="26" a="1"/>
  <c r="C785" i="26"/>
  <c r="D785" i="26" a="1"/>
  <c r="E785" i="26" a="1"/>
  <c r="F785" i="26" a="1"/>
  <c r="B786" i="26" a="1"/>
  <c r="C786" i="26"/>
  <c r="D786" i="26" a="1"/>
  <c r="E786" i="26" a="1"/>
  <c r="F786" i="26" a="1"/>
  <c r="B787" i="26" a="1"/>
  <c r="C787" i="26"/>
  <c r="D787" i="26" a="1"/>
  <c r="E787" i="26" a="1"/>
  <c r="F787" i="26" a="1"/>
  <c r="B788" i="26" a="1"/>
  <c r="C788" i="26"/>
  <c r="D788" i="26" a="1"/>
  <c r="E788" i="26" a="1"/>
  <c r="F788" i="26" a="1"/>
  <c r="B789" i="26" a="1"/>
  <c r="C789" i="26"/>
  <c r="D789" i="26" a="1"/>
  <c r="E789" i="26" a="1"/>
  <c r="F789" i="26" a="1"/>
  <c r="B790" i="26" a="1"/>
  <c r="C790" i="26"/>
  <c r="D790" i="26" a="1"/>
  <c r="E790" i="26" a="1"/>
  <c r="F790" i="26" a="1"/>
  <c r="B791" i="26" a="1"/>
  <c r="C791" i="26"/>
  <c r="D791" i="26" a="1"/>
  <c r="E791" i="26" a="1"/>
  <c r="F791" i="26" a="1"/>
  <c r="B792" i="26" a="1"/>
  <c r="C792" i="26"/>
  <c r="D792" i="26" a="1"/>
  <c r="E792" i="26" a="1"/>
  <c r="F792" i="26" a="1"/>
  <c r="B793" i="26" a="1"/>
  <c r="C793" i="26"/>
  <c r="D793" i="26" a="1"/>
  <c r="E793" i="26" a="1"/>
  <c r="F793" i="26" a="1"/>
  <c r="B794" i="26" a="1"/>
  <c r="C794" i="26"/>
  <c r="D794" i="26" a="1"/>
  <c r="E794" i="26" a="1"/>
  <c r="F794" i="26" a="1"/>
  <c r="B795" i="26" a="1"/>
  <c r="C795" i="26"/>
  <c r="D795" i="26" a="1"/>
  <c r="E795" i="26" a="1"/>
  <c r="F795" i="26" a="1"/>
  <c r="B796" i="26" a="1"/>
  <c r="C796" i="26"/>
  <c r="D796" i="26" a="1"/>
  <c r="E796" i="26" a="1"/>
  <c r="F796" i="26" a="1"/>
  <c r="B797" i="26" a="1"/>
  <c r="C797" i="26"/>
  <c r="D797" i="26" a="1"/>
  <c r="E797" i="26" a="1"/>
  <c r="F797" i="26" a="1"/>
  <c r="B798" i="26" a="1"/>
  <c r="C798" i="26"/>
  <c r="D798" i="26" a="1"/>
  <c r="E798" i="26" a="1"/>
  <c r="F798" i="26" a="1"/>
  <c r="B803" i="26"/>
  <c r="C803" i="26" a="1"/>
  <c r="D803" i="26" s="1"/>
  <c r="E803" i="26" a="1"/>
  <c r="F803" i="26" a="1"/>
  <c r="B804" i="26"/>
  <c r="C804" i="26" a="1"/>
  <c r="D804" i="26" s="1"/>
  <c r="E804" i="26" a="1"/>
  <c r="F804" i="26" a="1"/>
  <c r="B805" i="26"/>
  <c r="C805" i="26" a="1"/>
  <c r="D805" i="26" s="1"/>
  <c r="E805" i="26" a="1"/>
  <c r="F805" i="26" a="1"/>
  <c r="B806" i="26"/>
  <c r="C806" i="26" a="1"/>
  <c r="D806" i="26" s="1"/>
  <c r="E806" i="26" a="1"/>
  <c r="F806" i="26" a="1"/>
  <c r="B807" i="26"/>
  <c r="C807" i="26" a="1"/>
  <c r="D807" i="26" s="1"/>
  <c r="E807" i="26" a="1"/>
  <c r="F807" i="26" a="1"/>
  <c r="B808" i="26"/>
  <c r="C808" i="26" a="1"/>
  <c r="D808" i="26" s="1"/>
  <c r="E808" i="26" a="1"/>
  <c r="F808" i="26" a="1"/>
  <c r="B809" i="26"/>
  <c r="C809" i="26" a="1"/>
  <c r="D809" i="26" s="1"/>
  <c r="E809" i="26" a="1"/>
  <c r="F809" i="26" a="1"/>
  <c r="B810" i="26"/>
  <c r="C810" i="26" a="1"/>
  <c r="D810" i="26" s="1"/>
  <c r="E810" i="26" a="1"/>
  <c r="F810" i="26" a="1"/>
  <c r="B811" i="26"/>
  <c r="C811" i="26" a="1"/>
  <c r="D811" i="26" s="1"/>
  <c r="E811" i="26" a="1"/>
  <c r="F811" i="26" a="1"/>
  <c r="B812" i="26"/>
  <c r="C812" i="26" a="1"/>
  <c r="D812" i="26" s="1"/>
  <c r="E812" i="26" a="1"/>
  <c r="F812" i="26" a="1"/>
  <c r="B816" i="26" a="1"/>
  <c r="B817" i="26" a="1"/>
  <c r="D817" i="26" a="1"/>
  <c r="F817" i="26" a="1"/>
  <c r="B822" i="26"/>
  <c r="C822" i="26" a="1"/>
  <c r="D822" i="26" a="1"/>
  <c r="E822" i="26" a="1"/>
  <c r="F822" i="26" a="1"/>
  <c r="B823" i="26"/>
  <c r="C823" i="26" a="1"/>
  <c r="D823" i="26" a="1"/>
  <c r="E823" i="26" a="1"/>
  <c r="F823" i="26" a="1"/>
  <c r="B824" i="26"/>
  <c r="C824" i="26" a="1"/>
  <c r="A825" i="26" s="1"/>
  <c r="D824" i="26" a="1"/>
  <c r="E824" i="26" a="1"/>
  <c r="F824" i="26" a="1"/>
  <c r="B834" i="26"/>
  <c r="C834" i="26"/>
  <c r="D834" i="26"/>
  <c r="E834" i="26"/>
  <c r="B835" i="26"/>
  <c r="C835" i="26"/>
  <c r="D835" i="26"/>
  <c r="E835" i="26"/>
  <c r="B836" i="26"/>
  <c r="C836" i="26"/>
  <c r="D836" i="26"/>
  <c r="E836" i="26"/>
  <c r="B837" i="26"/>
  <c r="C837" i="26"/>
  <c r="D837" i="26"/>
  <c r="E837" i="26"/>
  <c r="B838" i="26"/>
  <c r="C838" i="26"/>
  <c r="D838" i="26"/>
  <c r="E838" i="26"/>
  <c r="B839" i="26"/>
  <c r="C839" i="26"/>
  <c r="D839" i="26"/>
  <c r="E839" i="26"/>
  <c r="B840" i="26"/>
  <c r="C840" i="26"/>
  <c r="D840" i="26"/>
  <c r="E840" i="26"/>
  <c r="B841" i="26"/>
  <c r="C841" i="26"/>
  <c r="D841" i="26"/>
  <c r="E841" i="26"/>
  <c r="B842" i="26"/>
  <c r="C842" i="26"/>
  <c r="D842" i="26"/>
  <c r="E842" i="26"/>
  <c r="B843" i="26"/>
  <c r="C843" i="26"/>
  <c r="D843" i="26"/>
  <c r="E843" i="26"/>
  <c r="A773" i="26"/>
  <c r="D727" i="26"/>
  <c r="B716" i="26" a="1"/>
  <c r="D716" i="26" a="1"/>
  <c r="F716" i="26"/>
  <c r="B717" i="26" a="1"/>
  <c r="D717" i="26"/>
  <c r="F717" i="26"/>
  <c r="A718" i="26"/>
  <c r="B721" i="26"/>
  <c r="D721" i="26"/>
  <c r="F721" i="26"/>
  <c r="B722" i="26"/>
  <c r="D722" i="26"/>
  <c r="F722" i="26"/>
  <c r="A723" i="26"/>
  <c r="B726" i="26"/>
  <c r="D726" i="26"/>
  <c r="F726" i="26"/>
  <c r="B727" i="26"/>
  <c r="A728" i="26"/>
  <c r="F727" i="26"/>
  <c r="A732" i="26"/>
  <c r="B732" i="26"/>
  <c r="C732" i="26"/>
  <c r="D732" i="26"/>
  <c r="E732" i="26"/>
  <c r="F732" i="26"/>
  <c r="A733" i="26"/>
  <c r="B733" i="26"/>
  <c r="C733" i="26"/>
  <c r="D733" i="26"/>
  <c r="E733" i="26"/>
  <c r="F733" i="26"/>
  <c r="A734" i="26"/>
  <c r="B734" i="26"/>
  <c r="C734" i="26"/>
  <c r="D734" i="26"/>
  <c r="E734" i="26"/>
  <c r="F734" i="26"/>
  <c r="A735" i="26"/>
  <c r="B735" i="26"/>
  <c r="C735" i="26"/>
  <c r="D735" i="26"/>
  <c r="E735" i="26"/>
  <c r="F735" i="26"/>
  <c r="A736" i="26"/>
  <c r="B736" i="26"/>
  <c r="C736" i="26"/>
  <c r="D736" i="26"/>
  <c r="E736" i="26"/>
  <c r="F736" i="26"/>
  <c r="A737" i="26"/>
  <c r="B737" i="26"/>
  <c r="C737" i="26"/>
  <c r="D737" i="26"/>
  <c r="E737" i="26"/>
  <c r="F737" i="26"/>
  <c r="A738" i="26"/>
  <c r="B738" i="26"/>
  <c r="C738" i="26"/>
  <c r="D738" i="26"/>
  <c r="E738" i="26"/>
  <c r="F738" i="26"/>
  <c r="A739" i="26"/>
  <c r="B739" i="26"/>
  <c r="C739" i="26"/>
  <c r="D739" i="26"/>
  <c r="E739" i="26"/>
  <c r="F739" i="26"/>
  <c r="A740" i="26"/>
  <c r="B740" i="26"/>
  <c r="C740" i="26"/>
  <c r="D740" i="26"/>
  <c r="E740" i="26"/>
  <c r="F740" i="26"/>
  <c r="A741" i="26"/>
  <c r="B741" i="26"/>
  <c r="C741" i="26"/>
  <c r="D741" i="26"/>
  <c r="E741" i="26"/>
  <c r="F741" i="26"/>
  <c r="A742" i="26"/>
  <c r="B742" i="26"/>
  <c r="C742" i="26"/>
  <c r="D742" i="26"/>
  <c r="E742" i="26"/>
  <c r="F742" i="26"/>
  <c r="A743" i="26"/>
  <c r="B743" i="26"/>
  <c r="C743" i="26"/>
  <c r="D743" i="26"/>
  <c r="E743" i="26"/>
  <c r="F743" i="26"/>
  <c r="A744" i="26"/>
  <c r="B744" i="26"/>
  <c r="C744" i="26"/>
  <c r="D744" i="26"/>
  <c r="E744" i="26"/>
  <c r="F744" i="26"/>
  <c r="A745" i="26"/>
  <c r="B745" i="26"/>
  <c r="C745" i="26"/>
  <c r="D745" i="26"/>
  <c r="E745" i="26"/>
  <c r="F745" i="26"/>
  <c r="A746" i="26"/>
  <c r="B746" i="26"/>
  <c r="C746" i="26"/>
  <c r="D746" i="26"/>
  <c r="E746" i="26"/>
  <c r="F746" i="26"/>
  <c r="A747" i="26"/>
  <c r="B747" i="26"/>
  <c r="C747" i="26"/>
  <c r="D747" i="26"/>
  <c r="E747" i="26"/>
  <c r="F747" i="26"/>
  <c r="A748" i="26"/>
  <c r="B748" i="26"/>
  <c r="C748" i="26"/>
  <c r="D748" i="26"/>
  <c r="E748" i="26"/>
  <c r="F748" i="26"/>
  <c r="A749" i="26"/>
  <c r="B749" i="26"/>
  <c r="C749" i="26"/>
  <c r="D749" i="26"/>
  <c r="E749" i="26"/>
  <c r="F749" i="26"/>
  <c r="A750" i="26"/>
  <c r="B750" i="26"/>
  <c r="C750" i="26"/>
  <c r="D750" i="26"/>
  <c r="E750" i="26"/>
  <c r="F750" i="26"/>
  <c r="A751" i="26"/>
  <c r="B751" i="26"/>
  <c r="C751" i="26"/>
  <c r="D751" i="26"/>
  <c r="E751" i="26"/>
  <c r="F751" i="26"/>
  <c r="A752" i="26"/>
  <c r="B752" i="26"/>
  <c r="C752" i="26"/>
  <c r="D752" i="26"/>
  <c r="E752" i="26"/>
  <c r="F752" i="26"/>
  <c r="A753" i="26"/>
  <c r="B753" i="26"/>
  <c r="C753" i="26"/>
  <c r="D753" i="26"/>
  <c r="E753" i="26"/>
  <c r="F753" i="26"/>
  <c r="A754" i="26"/>
  <c r="B754" i="26"/>
  <c r="C754" i="26"/>
  <c r="D754" i="26"/>
  <c r="E754" i="26"/>
  <c r="F754" i="26"/>
  <c r="A755" i="26"/>
  <c r="B755" i="26"/>
  <c r="C755" i="26"/>
  <c r="D755" i="26"/>
  <c r="E755" i="26"/>
  <c r="F755" i="26"/>
  <c r="A756" i="26"/>
  <c r="B756" i="26"/>
  <c r="C756" i="26"/>
  <c r="D756" i="26"/>
  <c r="E756" i="26"/>
  <c r="F756" i="26"/>
  <c r="A757" i="26"/>
  <c r="B757" i="26"/>
  <c r="C757" i="26"/>
  <c r="D757" i="26"/>
  <c r="E757" i="26"/>
  <c r="F757" i="26"/>
  <c r="A758" i="26"/>
  <c r="B758" i="26"/>
  <c r="C758" i="26"/>
  <c r="D758" i="26"/>
  <c r="E758" i="26"/>
  <c r="F758" i="26"/>
  <c r="A759" i="26"/>
  <c r="B759" i="26"/>
  <c r="C759" i="26"/>
  <c r="D759" i="26"/>
  <c r="E759" i="26"/>
  <c r="F759" i="26"/>
  <c r="A760" i="26"/>
  <c r="B760" i="26"/>
  <c r="C760" i="26"/>
  <c r="D760" i="26"/>
  <c r="E760" i="26"/>
  <c r="F760" i="26"/>
  <c r="A761" i="26"/>
  <c r="B761" i="26"/>
  <c r="C761" i="26"/>
  <c r="D761" i="26"/>
  <c r="E761" i="26"/>
  <c r="F761" i="26"/>
  <c r="A762" i="26"/>
  <c r="B762" i="26"/>
  <c r="C762" i="26"/>
  <c r="D762" i="26"/>
  <c r="E762" i="26"/>
  <c r="F762" i="26"/>
  <c r="A763" i="26"/>
  <c r="B763" i="26"/>
  <c r="C763" i="26"/>
  <c r="D763" i="26"/>
  <c r="E763" i="26"/>
  <c r="F763" i="26"/>
  <c r="A764" i="26"/>
  <c r="B764" i="26"/>
  <c r="C764" i="26"/>
  <c r="D764" i="26"/>
  <c r="E764" i="26"/>
  <c r="F764" i="26"/>
  <c r="A765" i="26"/>
  <c r="B765" i="26"/>
  <c r="C765" i="26"/>
  <c r="D765" i="26"/>
  <c r="E765" i="26"/>
  <c r="F765" i="26"/>
  <c r="A766" i="26"/>
  <c r="B766" i="26"/>
  <c r="C766" i="26"/>
  <c r="D766" i="26"/>
  <c r="E766" i="26"/>
  <c r="F766" i="26"/>
  <c r="A767" i="26"/>
  <c r="B767" i="26"/>
  <c r="C767" i="26"/>
  <c r="D767" i="26"/>
  <c r="E767" i="26"/>
  <c r="F767" i="26"/>
  <c r="A768" i="26"/>
  <c r="D771" i="26" a="1"/>
  <c r="F771" i="26"/>
  <c r="B772" i="26"/>
  <c r="D772" i="26"/>
  <c r="F772" i="26"/>
  <c r="B777" i="26" a="1"/>
  <c r="D777" i="26" a="1"/>
  <c r="F777" i="26" a="1"/>
  <c r="B778" i="26"/>
  <c r="D778" i="26"/>
  <c r="F778" i="26"/>
  <c r="A779" i="26"/>
  <c r="N698" i="26"/>
  <c r="O698" i="26"/>
  <c r="P698" i="26"/>
  <c r="Q698" i="26" s="1"/>
  <c r="N699" i="26"/>
  <c r="O699" i="26"/>
  <c r="P699" i="26"/>
  <c r="Q699" i="26" s="1"/>
  <c r="N700" i="26"/>
  <c r="O700" i="26"/>
  <c r="P700" i="26"/>
  <c r="Q700" i="26" s="1"/>
  <c r="N701" i="26"/>
  <c r="O701" i="26"/>
  <c r="P701" i="26"/>
  <c r="Q701" i="26"/>
  <c r="N702" i="26"/>
  <c r="O702" i="26"/>
  <c r="P702" i="26"/>
  <c r="Q702" i="26"/>
  <c r="N703" i="26"/>
  <c r="O703" i="26"/>
  <c r="P703" i="26"/>
  <c r="Q703" i="26"/>
  <c r="N704" i="26"/>
  <c r="O704" i="26"/>
  <c r="P704" i="26"/>
  <c r="Q704" i="26" s="1"/>
  <c r="N705" i="26"/>
  <c r="O705" i="26"/>
  <c r="P705" i="26"/>
  <c r="Q705" i="26" s="1"/>
  <c r="N706" i="26"/>
  <c r="O706" i="26"/>
  <c r="P706" i="26"/>
  <c r="Q706" i="26" s="1"/>
  <c r="N707" i="26"/>
  <c r="O707" i="26"/>
  <c r="P707" i="26"/>
  <c r="Q707" i="26" s="1"/>
  <c r="N708" i="26"/>
  <c r="O708" i="26"/>
  <c r="P708" i="26"/>
  <c r="Q708" i="26" s="1"/>
  <c r="N709" i="26"/>
  <c r="O709" i="26"/>
  <c r="P709" i="26"/>
  <c r="Q709" i="26" s="1"/>
  <c r="N710" i="26"/>
  <c r="O710" i="26"/>
  <c r="P710" i="26"/>
  <c r="Q710" i="26" s="1"/>
  <c r="N711" i="26"/>
  <c r="O711" i="26"/>
  <c r="P711" i="26"/>
  <c r="Q711" i="26" s="1"/>
  <c r="N712" i="26"/>
  <c r="O712" i="26"/>
  <c r="P712" i="26"/>
  <c r="Q712" i="26" s="1"/>
  <c r="N713" i="26"/>
  <c r="O713" i="26"/>
  <c r="P713" i="26"/>
  <c r="Q713" i="26" s="1"/>
  <c r="N714" i="26"/>
  <c r="O714" i="26"/>
  <c r="P714" i="26"/>
  <c r="Q714" i="26" s="1"/>
  <c r="N715" i="26"/>
  <c r="O715" i="26"/>
  <c r="P715" i="26"/>
  <c r="Q715" i="26" s="1"/>
  <c r="N716" i="26"/>
  <c r="O716" i="26"/>
  <c r="P716" i="26"/>
  <c r="Q716" i="26" s="1"/>
  <c r="N717" i="26"/>
  <c r="O717" i="26"/>
  <c r="P717" i="26"/>
  <c r="Q717" i="26" s="1"/>
  <c r="N718" i="26"/>
  <c r="O718" i="26"/>
  <c r="P718" i="26"/>
  <c r="Q718" i="26" s="1"/>
  <c r="N719" i="26"/>
  <c r="O719" i="26"/>
  <c r="P719" i="26"/>
  <c r="Q719" i="26" s="1"/>
  <c r="N720" i="26"/>
  <c r="O720" i="26"/>
  <c r="P720" i="26"/>
  <c r="Q720" i="26" s="1"/>
  <c r="N721" i="26"/>
  <c r="O721" i="26"/>
  <c r="P721" i="26"/>
  <c r="Q721" i="26" s="1"/>
  <c r="N722" i="26"/>
  <c r="O722" i="26"/>
  <c r="P722" i="26"/>
  <c r="Q722" i="26" s="1"/>
  <c r="N723" i="26"/>
  <c r="O723" i="26"/>
  <c r="P723" i="26"/>
  <c r="Q723" i="26" s="1"/>
  <c r="N724" i="26"/>
  <c r="O724" i="26"/>
  <c r="P724" i="26"/>
  <c r="Q724" i="26" s="1"/>
  <c r="N725" i="26"/>
  <c r="O725" i="26"/>
  <c r="P725" i="26"/>
  <c r="Q725" i="26" s="1"/>
  <c r="N726" i="26"/>
  <c r="O726" i="26"/>
  <c r="P726" i="26"/>
  <c r="Q726" i="26" s="1"/>
  <c r="N727" i="26"/>
  <c r="O727" i="26"/>
  <c r="P727" i="26"/>
  <c r="Q727" i="26" s="1"/>
  <c r="N728" i="26"/>
  <c r="O728" i="26"/>
  <c r="P728" i="26"/>
  <c r="Q728" i="26" s="1"/>
  <c r="N729" i="26"/>
  <c r="O729" i="26"/>
  <c r="P729" i="26"/>
  <c r="Q729" i="26" s="1"/>
  <c r="N730" i="26"/>
  <c r="O730" i="26"/>
  <c r="P730" i="26"/>
  <c r="Q730" i="26" s="1"/>
  <c r="N731" i="26"/>
  <c r="O731" i="26"/>
  <c r="P731" i="26"/>
  <c r="Q731" i="26" s="1"/>
  <c r="N732" i="26"/>
  <c r="O732" i="26"/>
  <c r="P732" i="26"/>
  <c r="Q732" i="26" s="1"/>
  <c r="N733" i="26"/>
  <c r="O733" i="26"/>
  <c r="P733" i="26"/>
  <c r="Q733" i="26" s="1"/>
  <c r="N734" i="26"/>
  <c r="O734" i="26"/>
  <c r="P734" i="26"/>
  <c r="Q734" i="26" s="1"/>
  <c r="N735" i="26"/>
  <c r="O735" i="26"/>
  <c r="P735" i="26"/>
  <c r="Q735" i="26" s="1"/>
  <c r="N736" i="26"/>
  <c r="O736" i="26"/>
  <c r="P736" i="26"/>
  <c r="Q736" i="26" s="1"/>
  <c r="N737" i="26"/>
  <c r="O737" i="26"/>
  <c r="P737" i="26"/>
  <c r="Q737" i="26" s="1"/>
  <c r="B652" i="26"/>
  <c r="C652" i="26"/>
  <c r="D652" i="26"/>
  <c r="E652" i="26"/>
  <c r="F652" i="26" s="1"/>
  <c r="B653" i="26"/>
  <c r="C653" i="26"/>
  <c r="D653" i="26"/>
  <c r="F653" i="26" s="1"/>
  <c r="E653" i="26"/>
  <c r="B654" i="26"/>
  <c r="C654" i="26"/>
  <c r="D654" i="26"/>
  <c r="E654" i="26"/>
  <c r="F654" i="26" s="1"/>
  <c r="B655" i="26"/>
  <c r="C655" i="26"/>
  <c r="D655" i="26"/>
  <c r="E655" i="26"/>
  <c r="F655" i="26" s="1"/>
  <c r="A656" i="26"/>
  <c r="B660" i="26"/>
  <c r="C660" i="26"/>
  <c r="D660" i="26"/>
  <c r="E660" i="26"/>
  <c r="F660" i="26"/>
  <c r="B661" i="26"/>
  <c r="C661" i="26"/>
  <c r="D661" i="26"/>
  <c r="E661" i="26"/>
  <c r="F661" i="26"/>
  <c r="B662" i="26"/>
  <c r="C662" i="26"/>
  <c r="D662" i="26"/>
  <c r="E662" i="26"/>
  <c r="F662" i="26"/>
  <c r="B663" i="26"/>
  <c r="C663" i="26"/>
  <c r="D663" i="26"/>
  <c r="E663" i="26"/>
  <c r="F663" i="26"/>
  <c r="B664" i="26"/>
  <c r="C664" i="26"/>
  <c r="D664" i="26"/>
  <c r="E664" i="26"/>
  <c r="F664" i="26"/>
  <c r="B665" i="26"/>
  <c r="C665" i="26"/>
  <c r="D665" i="26"/>
  <c r="E665" i="26"/>
  <c r="F665" i="26"/>
  <c r="B666" i="26"/>
  <c r="C666" i="26"/>
  <c r="D666" i="26"/>
  <c r="E666" i="26"/>
  <c r="F666" i="26"/>
  <c r="B667" i="26"/>
  <c r="C667" i="26"/>
  <c r="D667" i="26"/>
  <c r="E667" i="26"/>
  <c r="F667" i="26"/>
  <c r="B668" i="26"/>
  <c r="C668" i="26"/>
  <c r="D668" i="26"/>
  <c r="E668" i="26"/>
  <c r="F668" i="26"/>
  <c r="B669" i="26"/>
  <c r="C669" i="26"/>
  <c r="D669" i="26"/>
  <c r="E669" i="26"/>
  <c r="F669" i="26"/>
  <c r="A670" i="26"/>
  <c r="B674" i="26"/>
  <c r="C674" i="26"/>
  <c r="D674" i="26"/>
  <c r="E674" i="26"/>
  <c r="F674" i="26"/>
  <c r="B675" i="26"/>
  <c r="C675" i="26"/>
  <c r="D675" i="26"/>
  <c r="E675" i="26"/>
  <c r="F675" i="26"/>
  <c r="B676" i="26"/>
  <c r="C676" i="26"/>
  <c r="D676" i="26"/>
  <c r="E676" i="26"/>
  <c r="F676" i="26"/>
  <c r="B677" i="26"/>
  <c r="C677" i="26"/>
  <c r="C678" i="26" s="1"/>
  <c r="D677" i="26"/>
  <c r="E677" i="26"/>
  <c r="F677" i="26"/>
  <c r="B678" i="26"/>
  <c r="D678" i="26"/>
  <c r="E678" i="26"/>
  <c r="B683" i="26"/>
  <c r="C683" i="26"/>
  <c r="D683" i="26"/>
  <c r="E683" i="26"/>
  <c r="F683" i="26"/>
  <c r="B684" i="26"/>
  <c r="C684" i="26"/>
  <c r="D684" i="26"/>
  <c r="E684" i="26"/>
  <c r="F684" i="26"/>
  <c r="B685" i="26"/>
  <c r="C685" i="26"/>
  <c r="D685" i="26"/>
  <c r="E685" i="26"/>
  <c r="F685" i="26"/>
  <c r="B686" i="26"/>
  <c r="C686" i="26"/>
  <c r="D686" i="26"/>
  <c r="E686" i="26"/>
  <c r="F686" i="26"/>
  <c r="B687" i="26"/>
  <c r="C687" i="26"/>
  <c r="D687" i="26"/>
  <c r="E687" i="26"/>
  <c r="F687" i="26"/>
  <c r="B688" i="26"/>
  <c r="C688" i="26"/>
  <c r="D688" i="26"/>
  <c r="E688" i="26"/>
  <c r="F688" i="26"/>
  <c r="B689" i="26"/>
  <c r="C689" i="26"/>
  <c r="D689" i="26"/>
  <c r="E689" i="26"/>
  <c r="F689" i="26"/>
  <c r="B690" i="26"/>
  <c r="C690" i="26"/>
  <c r="D690" i="26"/>
  <c r="E690" i="26"/>
  <c r="F690" i="26"/>
  <c r="B691" i="26"/>
  <c r="C691" i="26"/>
  <c r="D691" i="26"/>
  <c r="E691" i="26"/>
  <c r="F691" i="26"/>
  <c r="B692" i="26"/>
  <c r="C692" i="26"/>
  <c r="D692" i="26"/>
  <c r="E692" i="26"/>
  <c r="F692" i="26"/>
  <c r="B693" i="26"/>
  <c r="C693" i="26"/>
  <c r="D693" i="26"/>
  <c r="E693" i="26"/>
  <c r="F693" i="26"/>
  <c r="A694" i="26"/>
  <c r="F697" i="26"/>
  <c r="B709" i="26"/>
  <c r="D709" i="26"/>
  <c r="F709" i="26"/>
  <c r="B710" i="26"/>
  <c r="D711" i="26" s="1"/>
  <c r="D710" i="26"/>
  <c r="F711" i="26" s="1"/>
  <c r="I587" i="26"/>
  <c r="I588" i="26"/>
  <c r="I589" i="26"/>
  <c r="I590" i="26"/>
  <c r="I591" i="26"/>
  <c r="I592" i="26"/>
  <c r="I593" i="26"/>
  <c r="I594" i="26"/>
  <c r="I595" i="26"/>
  <c r="I596" i="26"/>
  <c r="I597" i="26"/>
  <c r="I598" i="26"/>
  <c r="I599" i="26"/>
  <c r="B588" i="26"/>
  <c r="C588" i="26"/>
  <c r="B589" i="26"/>
  <c r="C589" i="26"/>
  <c r="B590" i="26"/>
  <c r="C590" i="26"/>
  <c r="B591" i="26"/>
  <c r="C591" i="26"/>
  <c r="B592" i="26"/>
  <c r="C592" i="26"/>
  <c r="B593" i="26"/>
  <c r="C593" i="26"/>
  <c r="B594" i="26"/>
  <c r="C594" i="26"/>
  <c r="B595" i="26"/>
  <c r="C595" i="26"/>
  <c r="B596" i="26"/>
  <c r="C596" i="26"/>
  <c r="B597" i="26"/>
  <c r="C597" i="26"/>
  <c r="B598" i="26"/>
  <c r="D598" i="26" s="1"/>
  <c r="C598" i="26"/>
  <c r="E598" i="26"/>
  <c r="F598" i="26"/>
  <c r="B599" i="26"/>
  <c r="C599" i="26"/>
  <c r="D599" i="26"/>
  <c r="E599" i="26"/>
  <c r="F599" i="26"/>
  <c r="B604" i="26"/>
  <c r="C604" i="26"/>
  <c r="D604" i="26"/>
  <c r="E604" i="26"/>
  <c r="F604" i="26"/>
  <c r="B605" i="26"/>
  <c r="C605" i="26"/>
  <c r="D605" i="26"/>
  <c r="E605" i="26"/>
  <c r="F605" i="26"/>
  <c r="B606" i="26"/>
  <c r="C606" i="26"/>
  <c r="D606" i="26"/>
  <c r="E606" i="26"/>
  <c r="F606" i="26"/>
  <c r="B607" i="26"/>
  <c r="C607" i="26"/>
  <c r="D607" i="26"/>
  <c r="E607" i="26"/>
  <c r="F607" i="26"/>
  <c r="B608" i="26"/>
  <c r="C608" i="26"/>
  <c r="D608" i="26"/>
  <c r="E608" i="26"/>
  <c r="F608" i="26"/>
  <c r="B609" i="26"/>
  <c r="C609" i="26"/>
  <c r="D609" i="26"/>
  <c r="E609" i="26"/>
  <c r="F609" i="26"/>
  <c r="B610" i="26"/>
  <c r="C610" i="26"/>
  <c r="D610" i="26"/>
  <c r="E610" i="26"/>
  <c r="F610" i="26"/>
  <c r="B611" i="26"/>
  <c r="C611" i="26"/>
  <c r="D611" i="26"/>
  <c r="E611" i="26"/>
  <c r="F611" i="26"/>
  <c r="B612" i="26"/>
  <c r="C612" i="26"/>
  <c r="D612" i="26"/>
  <c r="E612" i="26"/>
  <c r="F612" i="26"/>
  <c r="B613" i="26"/>
  <c r="C613" i="26"/>
  <c r="D613" i="26"/>
  <c r="E613" i="26"/>
  <c r="F613" i="26"/>
  <c r="A614" i="26"/>
  <c r="B617" i="26"/>
  <c r="A618" i="26" s="1"/>
  <c r="D617" i="26"/>
  <c r="F617" i="26"/>
  <c r="B631" i="26" a="1"/>
  <c r="D631" i="26"/>
  <c r="F631" i="26"/>
  <c r="B633" i="26" a="1"/>
  <c r="C633" i="26" a="1"/>
  <c r="D633" i="26" a="1"/>
  <c r="E633" i="26" a="1"/>
  <c r="F633" i="26" a="1"/>
  <c r="B634" i="26" a="1"/>
  <c r="C634" i="26" a="1"/>
  <c r="D634" i="26" a="1"/>
  <c r="E634" i="26" a="1"/>
  <c r="F634" i="26" a="1"/>
  <c r="B635" i="26" a="1"/>
  <c r="C635" i="26" a="1"/>
  <c r="D635" i="26" a="1"/>
  <c r="E635" i="26" a="1"/>
  <c r="F635" i="26" a="1"/>
  <c r="B636" i="26" a="1"/>
  <c r="C636" i="26" a="1"/>
  <c r="D636" i="26" a="1"/>
  <c r="E636" i="26" a="1"/>
  <c r="F636" i="26" a="1"/>
  <c r="B637" i="26" a="1"/>
  <c r="C637" i="26" a="1"/>
  <c r="D637" i="26" a="1"/>
  <c r="E637" i="26" a="1"/>
  <c r="F637" i="26" a="1"/>
  <c r="B638" i="26" a="1"/>
  <c r="C638" i="26" a="1"/>
  <c r="D638" i="26" a="1"/>
  <c r="E638" i="26" a="1"/>
  <c r="F638" i="26" a="1"/>
  <c r="A639" i="26"/>
  <c r="B643" i="26"/>
  <c r="C643" i="26"/>
  <c r="D643" i="26"/>
  <c r="E643" i="26"/>
  <c r="F643" i="26"/>
  <c r="B644" i="26"/>
  <c r="C644" i="26"/>
  <c r="D644" i="26"/>
  <c r="E644" i="26"/>
  <c r="F644" i="26"/>
  <c r="B645" i="26"/>
  <c r="C645" i="26"/>
  <c r="D645" i="26"/>
  <c r="E645" i="26"/>
  <c r="F645" i="26"/>
  <c r="B646" i="26"/>
  <c r="C646" i="26"/>
  <c r="D646" i="26"/>
  <c r="E646" i="26"/>
  <c r="F646" i="26"/>
  <c r="A647" i="26"/>
  <c r="B537" i="26"/>
  <c r="C537" i="26"/>
  <c r="D537" i="26"/>
  <c r="E537" i="26"/>
  <c r="F537" i="26"/>
  <c r="B538" i="26"/>
  <c r="C538" i="26"/>
  <c r="D538" i="26"/>
  <c r="E538" i="26"/>
  <c r="F538" i="26"/>
  <c r="B539" i="26"/>
  <c r="C539" i="26"/>
  <c r="D539" i="26"/>
  <c r="E539" i="26"/>
  <c r="F539" i="26"/>
  <c r="B540" i="26"/>
  <c r="C540" i="26"/>
  <c r="D540" i="26"/>
  <c r="E540" i="26"/>
  <c r="F540" i="26"/>
  <c r="B541" i="26"/>
  <c r="C541" i="26"/>
  <c r="D541" i="26"/>
  <c r="E541" i="26"/>
  <c r="F541" i="26"/>
  <c r="A542" i="26"/>
  <c r="B546" i="26"/>
  <c r="D546" i="26"/>
  <c r="F546" i="26" s="1"/>
  <c r="E546" i="26"/>
  <c r="B547" i="26"/>
  <c r="D547" i="26"/>
  <c r="F547" i="26" s="1"/>
  <c r="E547" i="26"/>
  <c r="B548" i="26"/>
  <c r="D548" i="26"/>
  <c r="F548" i="26" s="1"/>
  <c r="E548" i="26"/>
  <c r="B549" i="26"/>
  <c r="D549" i="26"/>
  <c r="F549" i="26" s="1"/>
  <c r="E549" i="26"/>
  <c r="D550" i="26"/>
  <c r="E550" i="26"/>
  <c r="B555" i="26"/>
  <c r="D555" i="26"/>
  <c r="F555" i="26"/>
  <c r="B556" i="26"/>
  <c r="D556" i="26"/>
  <c r="F556" i="26"/>
  <c r="B557" i="26"/>
  <c r="D557" i="26"/>
  <c r="F557" i="26"/>
  <c r="B558" i="26"/>
  <c r="D558" i="26"/>
  <c r="F558" i="26"/>
  <c r="F559" i="26"/>
  <c r="D560" i="26"/>
  <c r="B564" i="26"/>
  <c r="A565" i="26" s="1"/>
  <c r="D564" i="26"/>
  <c r="F564" i="26"/>
  <c r="B569" i="26"/>
  <c r="F569" i="26" s="1"/>
  <c r="C569" i="26" a="1"/>
  <c r="D569" i="26" a="1"/>
  <c r="E569" i="26" a="1"/>
  <c r="B570" i="26"/>
  <c r="C570" i="26" a="1"/>
  <c r="D570" i="26" a="1"/>
  <c r="E570" i="26" a="1"/>
  <c r="F570" i="26" s="1"/>
  <c r="B571" i="26"/>
  <c r="C571" i="26" a="1"/>
  <c r="D571" i="26" a="1"/>
  <c r="E571" i="26" a="1"/>
  <c r="F571" i="26" s="1"/>
  <c r="B572" i="26"/>
  <c r="C572" i="26" a="1"/>
  <c r="D572" i="26" a="1"/>
  <c r="E572" i="26" a="1"/>
  <c r="F572" i="26" s="1"/>
  <c r="B577" i="26"/>
  <c r="C577" i="26"/>
  <c r="F577" i="26" s="1"/>
  <c r="D577" i="26"/>
  <c r="E577" i="26"/>
  <c r="B578" i="26"/>
  <c r="C578" i="26"/>
  <c r="D578" i="26"/>
  <c r="F578" i="26" s="1"/>
  <c r="E578" i="26"/>
  <c r="B579" i="26"/>
  <c r="C579" i="26"/>
  <c r="D579" i="26"/>
  <c r="E579" i="26"/>
  <c r="B580" i="26"/>
  <c r="C580" i="26"/>
  <c r="D580" i="26"/>
  <c r="F580" i="26" s="1"/>
  <c r="E580" i="26"/>
  <c r="E581" i="26" s="1"/>
  <c r="B581" i="26"/>
  <c r="C581" i="26"/>
  <c r="A516" i="26" a="1"/>
  <c r="B468" i="26"/>
  <c r="C468" i="26"/>
  <c r="D468" i="26" a="1"/>
  <c r="E468" i="26"/>
  <c r="F468" i="26"/>
  <c r="B469" i="26"/>
  <c r="C469" i="26"/>
  <c r="D469" i="26" a="1"/>
  <c r="E469" i="26"/>
  <c r="F469" i="26"/>
  <c r="B470" i="26"/>
  <c r="C470" i="26"/>
  <c r="D470" i="26" a="1"/>
  <c r="E470" i="26"/>
  <c r="F470" i="26"/>
  <c r="B471" i="26"/>
  <c r="C471" i="26"/>
  <c r="D471" i="26" a="1"/>
  <c r="E471" i="26"/>
  <c r="F471" i="26"/>
  <c r="A472" i="26"/>
  <c r="B476" i="26"/>
  <c r="F476" i="26" s="1"/>
  <c r="C476" i="26"/>
  <c r="D476" i="26"/>
  <c r="E476" i="26"/>
  <c r="B477" i="26"/>
  <c r="C477" i="26"/>
  <c r="D477" i="26"/>
  <c r="E477" i="26"/>
  <c r="F477" i="26"/>
  <c r="B478" i="26"/>
  <c r="C478" i="26"/>
  <c r="D478" i="26"/>
  <c r="E478" i="26" s="1"/>
  <c r="F478" i="26"/>
  <c r="B479" i="26"/>
  <c r="C479" i="26"/>
  <c r="D479" i="26"/>
  <c r="E479" i="26" s="1"/>
  <c r="F479" i="26"/>
  <c r="B480" i="26"/>
  <c r="C480" i="26"/>
  <c r="D480" i="26"/>
  <c r="E480" i="26"/>
  <c r="F480" i="26"/>
  <c r="B485" i="26"/>
  <c r="C485" i="26"/>
  <c r="D485" i="26"/>
  <c r="F485" i="26" s="1"/>
  <c r="E485" i="26"/>
  <c r="B486" i="26"/>
  <c r="C486" i="26"/>
  <c r="D486" i="26"/>
  <c r="E486" i="26"/>
  <c r="F486" i="26" s="1"/>
  <c r="B487" i="26"/>
  <c r="C487" i="26"/>
  <c r="D487" i="26"/>
  <c r="F487" i="26" s="1"/>
  <c r="E487" i="26"/>
  <c r="B488" i="26"/>
  <c r="F488" i="26" s="1"/>
  <c r="C488" i="26"/>
  <c r="D488" i="26"/>
  <c r="E488" i="26"/>
  <c r="B489" i="26"/>
  <c r="C489" i="26"/>
  <c r="D489" i="26"/>
  <c r="F489" i="26" s="1"/>
  <c r="E489" i="26"/>
  <c r="B490" i="26"/>
  <c r="F490" i="26" s="1"/>
  <c r="C490" i="26"/>
  <c r="D490" i="26"/>
  <c r="E490" i="26"/>
  <c r="B491" i="26"/>
  <c r="C491" i="26"/>
  <c r="D491" i="26"/>
  <c r="F491" i="26" s="1"/>
  <c r="E491" i="26"/>
  <c r="B492" i="26"/>
  <c r="C492" i="26"/>
  <c r="F492" i="26" s="1"/>
  <c r="D492" i="26"/>
  <c r="E492" i="26"/>
  <c r="B493" i="26"/>
  <c r="C493" i="26"/>
  <c r="F493" i="26" s="1"/>
  <c r="D493" i="26"/>
  <c r="E493" i="26"/>
  <c r="B494" i="26"/>
  <c r="F494" i="26" s="1"/>
  <c r="C494" i="26"/>
  <c r="D494" i="26"/>
  <c r="E494" i="26"/>
  <c r="B495" i="26"/>
  <c r="C495" i="26"/>
  <c r="D495" i="26"/>
  <c r="E495" i="26"/>
  <c r="F495" i="26" s="1"/>
  <c r="B496" i="26"/>
  <c r="C496" i="26"/>
  <c r="F496" i="26" s="1"/>
  <c r="D496" i="26"/>
  <c r="E496" i="26"/>
  <c r="D500" i="26" a="1"/>
  <c r="F500" i="26"/>
  <c r="B502" i="26" a="1"/>
  <c r="C502" i="26" a="1"/>
  <c r="D502" i="26" a="1"/>
  <c r="E502" i="26" a="1"/>
  <c r="F502" i="26" a="1"/>
  <c r="B503" i="26" a="1"/>
  <c r="C503" i="26" a="1"/>
  <c r="D503" i="26" a="1"/>
  <c r="E503" i="26" a="1"/>
  <c r="F503" i="26" a="1"/>
  <c r="B504" i="26" a="1"/>
  <c r="C504" i="26" a="1"/>
  <c r="D504" i="26" a="1"/>
  <c r="E504" i="26" a="1"/>
  <c r="F504" i="26" a="1"/>
  <c r="B505" i="26" a="1"/>
  <c r="C505" i="26" a="1"/>
  <c r="D505" i="26" a="1"/>
  <c r="E505" i="26" a="1"/>
  <c r="F505" i="26" a="1"/>
  <c r="B506" i="26" a="1"/>
  <c r="C506" i="26" a="1"/>
  <c r="D506" i="26" a="1"/>
  <c r="E506" i="26" a="1"/>
  <c r="F506" i="26" a="1"/>
  <c r="B507" i="26" a="1"/>
  <c r="C507" i="26" a="1"/>
  <c r="D507" i="26" a="1"/>
  <c r="E507" i="26" a="1"/>
  <c r="F507" i="26" a="1"/>
  <c r="B508" i="26" a="1"/>
  <c r="C508" i="26" a="1"/>
  <c r="D508" i="26" a="1"/>
  <c r="E508" i="26" a="1"/>
  <c r="F508" i="26" a="1"/>
  <c r="B509" i="26" a="1"/>
  <c r="C509" i="26" a="1"/>
  <c r="D509" i="26" a="1"/>
  <c r="E509" i="26" a="1"/>
  <c r="F509" i="26" a="1"/>
  <c r="B510" i="26" a="1"/>
  <c r="C510" i="26" a="1"/>
  <c r="D510" i="26" a="1"/>
  <c r="E510" i="26" a="1"/>
  <c r="F510" i="26" a="1"/>
  <c r="B511" i="26" a="1"/>
  <c r="C511" i="26" a="1"/>
  <c r="D511" i="26" a="1"/>
  <c r="E511" i="26" a="1"/>
  <c r="F511" i="26" a="1"/>
  <c r="B512" i="26" a="1"/>
  <c r="C512" i="26" a="1"/>
  <c r="D512" i="26" a="1"/>
  <c r="E512" i="26" a="1"/>
  <c r="F512" i="26" a="1"/>
  <c r="B513" i="26" a="1"/>
  <c r="C513" i="26" a="1"/>
  <c r="D513" i="26" a="1"/>
  <c r="E513" i="26" a="1"/>
  <c r="F513" i="26" a="1"/>
  <c r="B514" i="26" a="1"/>
  <c r="C514" i="26" a="1"/>
  <c r="D514" i="26" a="1"/>
  <c r="E514" i="26" a="1"/>
  <c r="F514" i="26" a="1"/>
  <c r="B515" i="26" a="1"/>
  <c r="C515" i="26" a="1"/>
  <c r="D515" i="26" a="1"/>
  <c r="E515" i="26" a="1"/>
  <c r="F515" i="26" a="1"/>
  <c r="B520" i="26"/>
  <c r="D520" i="26"/>
  <c r="B521" i="26"/>
  <c r="D521" i="26"/>
  <c r="B522" i="26"/>
  <c r="B527" i="26"/>
  <c r="C527" i="26"/>
  <c r="D527" i="26" s="1"/>
  <c r="A532" i="26" s="1"/>
  <c r="E527" i="26" a="1"/>
  <c r="F527" i="26" a="1"/>
  <c r="B528" i="26"/>
  <c r="C528" i="26"/>
  <c r="D528" i="26"/>
  <c r="E528" i="26" a="1"/>
  <c r="F528" i="26" a="1"/>
  <c r="B529" i="26"/>
  <c r="C529" i="26"/>
  <c r="D529" i="26"/>
  <c r="E529" i="26" a="1"/>
  <c r="F529" i="26" a="1"/>
  <c r="B530" i="26"/>
  <c r="C530" i="26"/>
  <c r="D530" i="26" s="1"/>
  <c r="E530" i="26" a="1"/>
  <c r="E531" i="26" s="1"/>
  <c r="F530" i="26" a="1"/>
  <c r="F531" i="26" s="1"/>
  <c r="B531" i="26"/>
  <c r="C531" i="26"/>
  <c r="D531" i="26"/>
  <c r="B375" i="26"/>
  <c r="C375" i="26"/>
  <c r="D375" i="26"/>
  <c r="F375" i="26"/>
  <c r="B376" i="26"/>
  <c r="C376" i="26"/>
  <c r="D376" i="26"/>
  <c r="F376" i="26"/>
  <c r="B377" i="26"/>
  <c r="C377" i="26"/>
  <c r="D377" i="26"/>
  <c r="F377" i="26"/>
  <c r="B378" i="26"/>
  <c r="C378" i="26"/>
  <c r="D378" i="26"/>
  <c r="F378" i="26"/>
  <c r="B379" i="26"/>
  <c r="C379" i="26"/>
  <c r="D379" i="26"/>
  <c r="F379" i="26"/>
  <c r="B380" i="26"/>
  <c r="C380" i="26"/>
  <c r="D380" i="26"/>
  <c r="F380" i="26"/>
  <c r="B381" i="26"/>
  <c r="C381" i="26"/>
  <c r="D381" i="26"/>
  <c r="F381" i="26"/>
  <c r="B382" i="26"/>
  <c r="C382" i="26"/>
  <c r="D382" i="26"/>
  <c r="F382" i="26"/>
  <c r="B383" i="26"/>
  <c r="C383" i="26"/>
  <c r="D383" i="26"/>
  <c r="F383" i="26"/>
  <c r="B384" i="26"/>
  <c r="C384" i="26"/>
  <c r="D384" i="26"/>
  <c r="F384" i="26"/>
  <c r="B385" i="26"/>
  <c r="C385" i="26"/>
  <c r="D385" i="26"/>
  <c r="E385" i="26"/>
  <c r="B387" i="26"/>
  <c r="C387" i="26"/>
  <c r="D387" i="26"/>
  <c r="E387" i="26"/>
  <c r="F387" i="26"/>
  <c r="B388" i="26"/>
  <c r="C388" i="26"/>
  <c r="D388" i="26"/>
  <c r="E388" i="26"/>
  <c r="F388" i="26"/>
  <c r="B389" i="26"/>
  <c r="C389" i="26"/>
  <c r="D389" i="26"/>
  <c r="E389" i="26"/>
  <c r="F389" i="26"/>
  <c r="B390" i="26"/>
  <c r="C390" i="26"/>
  <c r="D390" i="26"/>
  <c r="E390" i="26"/>
  <c r="F390" i="26"/>
  <c r="B391" i="26"/>
  <c r="C391" i="26"/>
  <c r="D391" i="26"/>
  <c r="E391" i="26"/>
  <c r="F391" i="26"/>
  <c r="B392" i="26"/>
  <c r="C392" i="26"/>
  <c r="D392" i="26"/>
  <c r="E392" i="26"/>
  <c r="F392" i="26"/>
  <c r="B393" i="26"/>
  <c r="C393" i="26"/>
  <c r="D393" i="26"/>
  <c r="E393" i="26"/>
  <c r="F393" i="26"/>
  <c r="B394" i="26"/>
  <c r="C394" i="26"/>
  <c r="D394" i="26"/>
  <c r="E394" i="26"/>
  <c r="F394" i="26"/>
  <c r="B395" i="26"/>
  <c r="C395" i="26"/>
  <c r="D395" i="26"/>
  <c r="E395" i="26"/>
  <c r="F395" i="26"/>
  <c r="B396" i="26"/>
  <c r="C396" i="26"/>
  <c r="D396" i="26"/>
  <c r="E396" i="26"/>
  <c r="F396" i="26"/>
  <c r="A397" i="26" a="1"/>
  <c r="B401" i="26"/>
  <c r="C401" i="26"/>
  <c r="D401" i="26"/>
  <c r="F401" i="26"/>
  <c r="B402" i="26"/>
  <c r="C402" i="26"/>
  <c r="D402" i="26"/>
  <c r="F402" i="26"/>
  <c r="B403" i="26"/>
  <c r="C403" i="26"/>
  <c r="D403" i="26"/>
  <c r="F403" i="26"/>
  <c r="B404" i="26"/>
  <c r="C404" i="26"/>
  <c r="D404" i="26"/>
  <c r="F404" i="26"/>
  <c r="B405" i="26"/>
  <c r="C405" i="26"/>
  <c r="D405" i="26"/>
  <c r="F405" i="26"/>
  <c r="B406" i="26"/>
  <c r="C406" i="26"/>
  <c r="D406" i="26"/>
  <c r="F406" i="26"/>
  <c r="B407" i="26"/>
  <c r="C407" i="26"/>
  <c r="D407" i="26"/>
  <c r="E407" i="26"/>
  <c r="F407" i="26"/>
  <c r="A408" i="26"/>
  <c r="B411" i="26"/>
  <c r="D411" i="26"/>
  <c r="F411" i="26"/>
  <c r="B413" i="26"/>
  <c r="C413" i="26"/>
  <c r="D413" i="26"/>
  <c r="E413" i="26"/>
  <c r="B414" i="26"/>
  <c r="C414" i="26"/>
  <c r="D414" i="26"/>
  <c r="E414" i="26"/>
  <c r="B415" i="26"/>
  <c r="C415" i="26"/>
  <c r="D415" i="26"/>
  <c r="E415" i="26"/>
  <c r="B416" i="26"/>
  <c r="C416" i="26"/>
  <c r="D416" i="26"/>
  <c r="E416" i="26"/>
  <c r="B417" i="26"/>
  <c r="C417" i="26"/>
  <c r="D417" i="26"/>
  <c r="E417" i="26"/>
  <c r="B418" i="26"/>
  <c r="C418" i="26"/>
  <c r="D418" i="26"/>
  <c r="E418" i="26"/>
  <c r="B419" i="26"/>
  <c r="C419" i="26"/>
  <c r="D419" i="26"/>
  <c r="E419" i="26"/>
  <c r="B420" i="26"/>
  <c r="C420" i="26"/>
  <c r="D420" i="26"/>
  <c r="E420" i="26"/>
  <c r="B421" i="26"/>
  <c r="C421" i="26"/>
  <c r="D421" i="26"/>
  <c r="E421" i="26"/>
  <c r="B422" i="26"/>
  <c r="C422" i="26"/>
  <c r="D422" i="26"/>
  <c r="E422" i="26"/>
  <c r="A423" i="26"/>
  <c r="A427" i="26"/>
  <c r="B427" i="26" a="1"/>
  <c r="C427" i="26" a="1"/>
  <c r="D427" i="26" a="1"/>
  <c r="E427" i="26" a="1"/>
  <c r="F427" i="26"/>
  <c r="A428" i="26"/>
  <c r="B428" i="26" a="1"/>
  <c r="C428" i="26" a="1"/>
  <c r="D428" i="26" a="1"/>
  <c r="E428" i="26" a="1"/>
  <c r="F428" i="26"/>
  <c r="A429" i="26"/>
  <c r="B429" i="26" a="1"/>
  <c r="C429" i="26" a="1"/>
  <c r="D429" i="26" a="1"/>
  <c r="E429" i="26" a="1"/>
  <c r="F429" i="26"/>
  <c r="A430" i="26"/>
  <c r="B430" i="26" a="1"/>
  <c r="C430" i="26" a="1"/>
  <c r="D430" i="26" a="1"/>
  <c r="E430" i="26" a="1"/>
  <c r="F430" i="26"/>
  <c r="A431" i="26"/>
  <c r="B431" i="26" a="1"/>
  <c r="C431" i="26" a="1"/>
  <c r="D431" i="26" a="1"/>
  <c r="E431" i="26" a="1"/>
  <c r="F431" i="26"/>
  <c r="A432" i="26"/>
  <c r="B432" i="26" a="1"/>
  <c r="C432" i="26" a="1"/>
  <c r="D432" i="26" a="1"/>
  <c r="E432" i="26" a="1"/>
  <c r="F432" i="26"/>
  <c r="A433" i="26"/>
  <c r="B433" i="26" a="1"/>
  <c r="C433" i="26" a="1"/>
  <c r="D433" i="26" a="1"/>
  <c r="E433" i="26" a="1"/>
  <c r="F433" i="26"/>
  <c r="A434" i="26"/>
  <c r="B434" i="26" a="1"/>
  <c r="C434" i="26" a="1"/>
  <c r="D434" i="26" a="1"/>
  <c r="E434" i="26" a="1"/>
  <c r="F434" i="26"/>
  <c r="A435" i="26"/>
  <c r="B435" i="26" a="1"/>
  <c r="C435" i="26" a="1"/>
  <c r="D435" i="26" a="1"/>
  <c r="E435" i="26" a="1"/>
  <c r="F435" i="26"/>
  <c r="A436" i="26"/>
  <c r="B436" i="26" a="1"/>
  <c r="C436" i="26" a="1"/>
  <c r="D436" i="26" a="1"/>
  <c r="E436" i="26" a="1"/>
  <c r="F436" i="26"/>
  <c r="A437" i="26"/>
  <c r="B437" i="26" a="1"/>
  <c r="C437" i="26" a="1"/>
  <c r="D437" i="26" a="1"/>
  <c r="E437" i="26" a="1"/>
  <c r="F437" i="26"/>
  <c r="A438" i="26"/>
  <c r="B438" i="26" a="1"/>
  <c r="C438" i="26" a="1"/>
  <c r="D438" i="26" a="1"/>
  <c r="E438" i="26" a="1"/>
  <c r="F438" i="26"/>
  <c r="A439" i="26"/>
  <c r="B443" i="26"/>
  <c r="C443" i="26"/>
  <c r="D443" i="26"/>
  <c r="E443" i="26"/>
  <c r="F443" i="26"/>
  <c r="B444" i="26"/>
  <c r="C444" i="26"/>
  <c r="D444" i="26"/>
  <c r="E444" i="26"/>
  <c r="F444" i="26"/>
  <c r="B445" i="26"/>
  <c r="C445" i="26"/>
  <c r="D445" i="26"/>
  <c r="E445" i="26"/>
  <c r="F445" i="26"/>
  <c r="B446" i="26"/>
  <c r="C446" i="26"/>
  <c r="D446" i="26"/>
  <c r="E446" i="26"/>
  <c r="F446" i="26"/>
  <c r="B447" i="26"/>
  <c r="C447" i="26"/>
  <c r="D447" i="26" s="1"/>
  <c r="E447" i="26"/>
  <c r="F447" i="26"/>
  <c r="B448" i="26"/>
  <c r="D448" i="26" s="1"/>
  <c r="C448" i="26"/>
  <c r="E448" i="26"/>
  <c r="F448" i="26"/>
  <c r="B449" i="26"/>
  <c r="C449" i="26"/>
  <c r="D449" i="26"/>
  <c r="E449" i="26"/>
  <c r="F449" i="26"/>
  <c r="B450" i="26"/>
  <c r="C450" i="26"/>
  <c r="D450" i="26"/>
  <c r="E450" i="26"/>
  <c r="F450" i="26"/>
  <c r="B451" i="26"/>
  <c r="C451" i="26"/>
  <c r="D451" i="26"/>
  <c r="E451" i="26"/>
  <c r="F451" i="26"/>
  <c r="B457" i="26"/>
  <c r="C457" i="26"/>
  <c r="D457" i="26"/>
  <c r="E457" i="26"/>
  <c r="F457" i="26" a="1"/>
  <c r="B458" i="26"/>
  <c r="C458" i="26"/>
  <c r="D458" i="26"/>
  <c r="E458" i="26"/>
  <c r="F458" i="26" a="1"/>
  <c r="B459" i="26"/>
  <c r="C459" i="26" s="1"/>
  <c r="D459" i="26"/>
  <c r="E459" i="26"/>
  <c r="F459" i="26" a="1"/>
  <c r="B460" i="26"/>
  <c r="D460" i="26"/>
  <c r="F460" i="26" a="1"/>
  <c r="B461" i="26"/>
  <c r="C461" i="26" s="1"/>
  <c r="D461" i="26"/>
  <c r="E461" i="26" s="1"/>
  <c r="F461" i="26" a="1"/>
  <c r="D462" i="26"/>
  <c r="B334" i="26"/>
  <c r="C334" i="26" a="1"/>
  <c r="D334" i="26"/>
  <c r="E334" i="26" a="1"/>
  <c r="F334" i="26"/>
  <c r="G334" i="26"/>
  <c r="H334" i="26"/>
  <c r="B335" i="26"/>
  <c r="C335" i="26" a="1"/>
  <c r="D335" i="26"/>
  <c r="F335" i="26"/>
  <c r="G335" i="26"/>
  <c r="B336" i="26"/>
  <c r="C336" i="26" a="1"/>
  <c r="D336" i="26"/>
  <c r="E336" i="26" a="1"/>
  <c r="F336" i="26"/>
  <c r="G336" i="26"/>
  <c r="H336" i="26"/>
  <c r="B337" i="26"/>
  <c r="C337" i="26" a="1"/>
  <c r="D337" i="26"/>
  <c r="E337" i="26" a="1"/>
  <c r="F337" i="26"/>
  <c r="G337" i="26"/>
  <c r="H337" i="26"/>
  <c r="B338" i="26"/>
  <c r="C338" i="26" a="1"/>
  <c r="D338" i="26"/>
  <c r="E338" i="26" a="1"/>
  <c r="F338" i="26"/>
  <c r="G338" i="26"/>
  <c r="H338" i="26"/>
  <c r="B339" i="26"/>
  <c r="C339" i="26" a="1"/>
  <c r="D339" i="26"/>
  <c r="E339" i="26" a="1"/>
  <c r="F339" i="26"/>
  <c r="G339" i="26"/>
  <c r="H339" i="26"/>
  <c r="B340" i="26"/>
  <c r="C340" i="26" a="1"/>
  <c r="D340" i="26"/>
  <c r="E340" i="26" a="1"/>
  <c r="F340" i="26"/>
  <c r="G340" i="26"/>
  <c r="H340" i="26"/>
  <c r="B341" i="26"/>
  <c r="C341" i="26" a="1"/>
  <c r="D341" i="26"/>
  <c r="E341" i="26" a="1"/>
  <c r="F341" i="26"/>
  <c r="G341" i="26"/>
  <c r="H341" i="26"/>
  <c r="B342" i="26"/>
  <c r="C342" i="26" a="1"/>
  <c r="D342" i="26"/>
  <c r="E342" i="26" a="1"/>
  <c r="F342" i="26"/>
  <c r="G342" i="26"/>
  <c r="H342" i="26"/>
  <c r="B343" i="26"/>
  <c r="C343" i="26" a="1"/>
  <c r="D343" i="26"/>
  <c r="E343" i="26" a="1"/>
  <c r="F343" i="26"/>
  <c r="G343" i="26"/>
  <c r="H343" i="26"/>
  <c r="B344" i="26"/>
  <c r="C344" i="26" a="1"/>
  <c r="D344" i="26"/>
  <c r="E344" i="26" a="1"/>
  <c r="F344" i="26"/>
  <c r="G344" i="26"/>
  <c r="H344" i="26"/>
  <c r="B345" i="26"/>
  <c r="C345" i="26" a="1"/>
  <c r="D345" i="26"/>
  <c r="E345" i="26" a="1"/>
  <c r="F345" i="26"/>
  <c r="G345" i="26"/>
  <c r="H345" i="26"/>
  <c r="B346" i="26"/>
  <c r="C346" i="26" a="1"/>
  <c r="D346" i="26"/>
  <c r="E346" i="26" a="1"/>
  <c r="F346" i="26"/>
  <c r="G346" i="26"/>
  <c r="H346" i="26"/>
  <c r="B350" i="26" a="1"/>
  <c r="D350" i="26"/>
  <c r="F350" i="26"/>
  <c r="H350" i="26"/>
  <c r="B352" i="26" a="1"/>
  <c r="C352" i="26" a="1"/>
  <c r="D352" i="26" a="1"/>
  <c r="E352" i="26" a="1"/>
  <c r="F352" i="26" a="1"/>
  <c r="G352" i="26" a="1"/>
  <c r="H352" i="26"/>
  <c r="B353" i="26" a="1"/>
  <c r="C353" i="26" a="1"/>
  <c r="D353" i="26" a="1"/>
  <c r="E353" i="26" a="1"/>
  <c r="F353" i="26" a="1"/>
  <c r="G353" i="26" a="1"/>
  <c r="H353" i="26"/>
  <c r="B354" i="26" a="1"/>
  <c r="C354" i="26" a="1"/>
  <c r="D354" i="26" a="1"/>
  <c r="E354" i="26" a="1"/>
  <c r="F354" i="26" a="1"/>
  <c r="G354" i="26" a="1"/>
  <c r="H354" i="26"/>
  <c r="B355" i="26" a="1"/>
  <c r="C355" i="26" a="1"/>
  <c r="D355" i="26" a="1"/>
  <c r="E355" i="26" a="1"/>
  <c r="F355" i="26" a="1"/>
  <c r="G355" i="26" a="1"/>
  <c r="H355" i="26"/>
  <c r="B356" i="26" a="1"/>
  <c r="C356" i="26" a="1"/>
  <c r="D356" i="26" a="1"/>
  <c r="E356" i="26" a="1"/>
  <c r="F356" i="26" a="1"/>
  <c r="G356" i="26" a="1"/>
  <c r="H356" i="26"/>
  <c r="B357" i="26" a="1"/>
  <c r="H357" i="26" s="1"/>
  <c r="C357" i="26" a="1"/>
  <c r="D357" i="26" a="1"/>
  <c r="E357" i="26" a="1"/>
  <c r="F357" i="26" a="1"/>
  <c r="G357" i="26" a="1"/>
  <c r="B358" i="26" a="1"/>
  <c r="C358" i="26" a="1"/>
  <c r="D358" i="26" a="1"/>
  <c r="E358" i="26" a="1"/>
  <c r="F358" i="26" a="1"/>
  <c r="G358" i="26" a="1"/>
  <c r="H358" i="26"/>
  <c r="B359" i="26" a="1"/>
  <c r="H359" i="26" s="1"/>
  <c r="C359" i="26" a="1"/>
  <c r="D359" i="26" a="1"/>
  <c r="E359" i="26" a="1"/>
  <c r="F359" i="26" a="1"/>
  <c r="G359" i="26" a="1"/>
  <c r="A360" i="26"/>
  <c r="B364" i="26"/>
  <c r="C364" i="26" s="1"/>
  <c r="D364" i="26" s="1"/>
  <c r="E364" i="26"/>
  <c r="A366" i="26" s="1"/>
  <c r="B365" i="26"/>
  <c r="C365" i="26" s="1"/>
  <c r="D365" i="26" s="1"/>
  <c r="E365" i="26"/>
  <c r="B369" i="26"/>
  <c r="A370" i="26" s="1"/>
  <c r="D369" i="26"/>
  <c r="F369" i="26"/>
  <c r="I279" i="26" a="1"/>
  <c r="I280" i="26" a="1"/>
  <c r="I281" i="26" a="1"/>
  <c r="I282" i="26" a="1"/>
  <c r="I283" i="26" a="1"/>
  <c r="C279" i="26"/>
  <c r="B279" i="26" s="1" a="1"/>
  <c r="H279" i="26"/>
  <c r="B280" i="26" a="1"/>
  <c r="C280" i="26"/>
  <c r="H280" i="26"/>
  <c r="C281" i="26"/>
  <c r="B281" i="26" s="1" a="1"/>
  <c r="H281" i="26"/>
  <c r="C282" i="26"/>
  <c r="B282" i="26" s="1" a="1"/>
  <c r="H282" i="26"/>
  <c r="C283" i="26"/>
  <c r="B283" i="26" s="1" a="1"/>
  <c r="H283" i="26"/>
  <c r="G288" i="26"/>
  <c r="A290" i="26"/>
  <c r="B290" i="26"/>
  <c r="C290" i="26"/>
  <c r="D290" i="26"/>
  <c r="E290" i="26"/>
  <c r="F290" i="26"/>
  <c r="G290" i="26"/>
  <c r="H290" i="26"/>
  <c r="I290" i="26"/>
  <c r="J290" i="26" s="1"/>
  <c r="A291" i="26"/>
  <c r="B291" i="26"/>
  <c r="C291" i="26"/>
  <c r="D291" i="26"/>
  <c r="E291" i="26"/>
  <c r="F291" i="26"/>
  <c r="G291" i="26"/>
  <c r="H291" i="26"/>
  <c r="J291" i="26" s="1"/>
  <c r="I291" i="26"/>
  <c r="A292" i="26"/>
  <c r="B292" i="26"/>
  <c r="C292" i="26"/>
  <c r="D292" i="26"/>
  <c r="E292" i="26"/>
  <c r="F292" i="26"/>
  <c r="G292" i="26"/>
  <c r="H292" i="26"/>
  <c r="J292" i="26" s="1"/>
  <c r="I292" i="26"/>
  <c r="A293" i="26"/>
  <c r="B293" i="26"/>
  <c r="C293" i="26"/>
  <c r="D293" i="26"/>
  <c r="E293" i="26"/>
  <c r="F293" i="26"/>
  <c r="G293" i="26"/>
  <c r="H293" i="26"/>
  <c r="I293" i="26"/>
  <c r="J293" i="26" s="1"/>
  <c r="A294" i="26"/>
  <c r="B294" i="26"/>
  <c r="C294" i="26"/>
  <c r="D294" i="26"/>
  <c r="E294" i="26"/>
  <c r="F294" i="26"/>
  <c r="G294" i="26"/>
  <c r="H294" i="26"/>
  <c r="I294" i="26"/>
  <c r="J294" i="26" s="1"/>
  <c r="A295" i="26"/>
  <c r="B295" i="26"/>
  <c r="C295" i="26"/>
  <c r="D295" i="26"/>
  <c r="E295" i="26"/>
  <c r="F295" i="26"/>
  <c r="G295" i="26"/>
  <c r="H295" i="26"/>
  <c r="I295" i="26"/>
  <c r="J295" i="26" s="1"/>
  <c r="A296" i="26"/>
  <c r="B296" i="26"/>
  <c r="C296" i="26"/>
  <c r="D296" i="26"/>
  <c r="E296" i="26"/>
  <c r="F296" i="26"/>
  <c r="G296" i="26"/>
  <c r="H296" i="26"/>
  <c r="I296" i="26"/>
  <c r="J296" i="26" s="1"/>
  <c r="A297" i="26"/>
  <c r="B297" i="26"/>
  <c r="C297" i="26"/>
  <c r="D297" i="26"/>
  <c r="E297" i="26"/>
  <c r="F297" i="26"/>
  <c r="G297" i="26"/>
  <c r="H297" i="26"/>
  <c r="I297" i="26"/>
  <c r="J297" i="26" s="1"/>
  <c r="A298" i="26"/>
  <c r="B298" i="26"/>
  <c r="C298" i="26"/>
  <c r="D298" i="26"/>
  <c r="E298" i="26"/>
  <c r="F298" i="26"/>
  <c r="G298" i="26"/>
  <c r="H298" i="26"/>
  <c r="I298" i="26"/>
  <c r="J298" i="26" s="1"/>
  <c r="A299" i="26"/>
  <c r="B299" i="26"/>
  <c r="C299" i="26"/>
  <c r="D299" i="26"/>
  <c r="E299" i="26"/>
  <c r="F299" i="26"/>
  <c r="G299" i="26"/>
  <c r="H299" i="26"/>
  <c r="I299" i="26"/>
  <c r="J299" i="26" s="1"/>
  <c r="A300" i="26"/>
  <c r="B300" i="26"/>
  <c r="C300" i="26"/>
  <c r="D300" i="26"/>
  <c r="E300" i="26"/>
  <c r="F300" i="26"/>
  <c r="G300" i="26"/>
  <c r="H300" i="26"/>
  <c r="I300" i="26"/>
  <c r="J300" i="26" s="1"/>
  <c r="A301" i="26"/>
  <c r="B301" i="26"/>
  <c r="C301" i="26"/>
  <c r="D301" i="26"/>
  <c r="E301" i="26"/>
  <c r="F301" i="26"/>
  <c r="G301" i="26"/>
  <c r="H301" i="26"/>
  <c r="I301" i="26"/>
  <c r="J301" i="26" s="1"/>
  <c r="A302" i="26"/>
  <c r="B302" i="26"/>
  <c r="C302" i="26"/>
  <c r="D302" i="26"/>
  <c r="E302" i="26"/>
  <c r="F302" i="26"/>
  <c r="G302" i="26"/>
  <c r="H302" i="26"/>
  <c r="I302" i="26"/>
  <c r="J302" i="26" s="1"/>
  <c r="A303" i="26"/>
  <c r="B303" i="26"/>
  <c r="C303" i="26"/>
  <c r="D303" i="26"/>
  <c r="E303" i="26"/>
  <c r="F303" i="26"/>
  <c r="G303" i="26"/>
  <c r="H303" i="26"/>
  <c r="I303" i="26"/>
  <c r="J303" i="26" s="1"/>
  <c r="A304" i="26"/>
  <c r="B304" i="26"/>
  <c r="C304" i="26"/>
  <c r="D304" i="26"/>
  <c r="E304" i="26"/>
  <c r="F304" i="26"/>
  <c r="G304" i="26"/>
  <c r="H304" i="26"/>
  <c r="I304" i="26"/>
  <c r="J304" i="26"/>
  <c r="A305" i="26"/>
  <c r="B305" i="26"/>
  <c r="C305" i="26"/>
  <c r="D305" i="26"/>
  <c r="E305" i="26"/>
  <c r="F305" i="26"/>
  <c r="G305" i="26"/>
  <c r="H305" i="26"/>
  <c r="I305" i="26"/>
  <c r="J305" i="26" s="1"/>
  <c r="A306" i="26"/>
  <c r="B306" i="26"/>
  <c r="C306" i="26"/>
  <c r="D306" i="26"/>
  <c r="E306" i="26"/>
  <c r="F306" i="26"/>
  <c r="G306" i="26"/>
  <c r="H306" i="26"/>
  <c r="I306" i="26"/>
  <c r="J306" i="26" s="1"/>
  <c r="A307" i="26"/>
  <c r="B307" i="26"/>
  <c r="C307" i="26"/>
  <c r="D307" i="26"/>
  <c r="E307" i="26"/>
  <c r="F307" i="26"/>
  <c r="G307" i="26"/>
  <c r="H307" i="26"/>
  <c r="I307" i="26"/>
  <c r="J307" i="26" s="1"/>
  <c r="A308" i="26"/>
  <c r="B308" i="26"/>
  <c r="C308" i="26"/>
  <c r="D308" i="26"/>
  <c r="E308" i="26"/>
  <c r="F308" i="26"/>
  <c r="G308" i="26"/>
  <c r="H308" i="26"/>
  <c r="I308" i="26"/>
  <c r="J308" i="26"/>
  <c r="A309" i="26"/>
  <c r="B309" i="26"/>
  <c r="C309" i="26"/>
  <c r="D309" i="26"/>
  <c r="E309" i="26"/>
  <c r="F309" i="26"/>
  <c r="G309" i="26"/>
  <c r="H309" i="26"/>
  <c r="I309" i="26"/>
  <c r="J309" i="26" s="1"/>
  <c r="A310" i="26"/>
  <c r="B310" i="26"/>
  <c r="C310" i="26"/>
  <c r="D310" i="26"/>
  <c r="E310" i="26"/>
  <c r="F310" i="26"/>
  <c r="G310" i="26"/>
  <c r="H310" i="26"/>
  <c r="I310" i="26"/>
  <c r="J310" i="26"/>
  <c r="A311" i="26"/>
  <c r="B311" i="26"/>
  <c r="C311" i="26"/>
  <c r="D311" i="26"/>
  <c r="E311" i="26"/>
  <c r="F311" i="26"/>
  <c r="G311" i="26"/>
  <c r="H311" i="26"/>
  <c r="I311" i="26"/>
  <c r="J311" i="26" s="1"/>
  <c r="A312" i="26"/>
  <c r="B312" i="26"/>
  <c r="C312" i="26"/>
  <c r="D312" i="26"/>
  <c r="E312" i="26"/>
  <c r="F312" i="26"/>
  <c r="G312" i="26"/>
  <c r="H312" i="26"/>
  <c r="I312" i="26"/>
  <c r="J312" i="26"/>
  <c r="A313" i="26"/>
  <c r="B313" i="26"/>
  <c r="C313" i="26"/>
  <c r="D313" i="26"/>
  <c r="E313" i="26"/>
  <c r="F313" i="26"/>
  <c r="G313" i="26"/>
  <c r="H313" i="26"/>
  <c r="I313" i="26"/>
  <c r="J313" i="26" s="1"/>
  <c r="A314" i="26"/>
  <c r="B314" i="26"/>
  <c r="C314" i="26"/>
  <c r="D314" i="26"/>
  <c r="E314" i="26"/>
  <c r="F314" i="26"/>
  <c r="G314" i="26"/>
  <c r="H314" i="26"/>
  <c r="I314" i="26"/>
  <c r="J314" i="26" s="1"/>
  <c r="A315" i="26"/>
  <c r="B315" i="26"/>
  <c r="C315" i="26"/>
  <c r="D315" i="26"/>
  <c r="A316" i="26"/>
  <c r="B316" i="26"/>
  <c r="C316" i="26"/>
  <c r="D316" i="26"/>
  <c r="E316" i="26"/>
  <c r="F316" i="26"/>
  <c r="J316" i="26" s="1"/>
  <c r="G316" i="26"/>
  <c r="H316" i="26"/>
  <c r="I316" i="26"/>
  <c r="A317" i="26"/>
  <c r="B317" i="26"/>
  <c r="C317" i="26"/>
  <c r="D317" i="26"/>
  <c r="E317" i="26"/>
  <c r="F317" i="26"/>
  <c r="G317" i="26"/>
  <c r="H317" i="26"/>
  <c r="I317" i="26"/>
  <c r="J317" i="26" s="1"/>
  <c r="A318" i="26"/>
  <c r="B318" i="26"/>
  <c r="C318" i="26"/>
  <c r="D318" i="26"/>
  <c r="E318" i="26"/>
  <c r="F318" i="26"/>
  <c r="G318" i="26"/>
  <c r="H318" i="26"/>
  <c r="I318" i="26"/>
  <c r="J318" i="26" s="1"/>
  <c r="A319" i="26"/>
  <c r="B319" i="26"/>
  <c r="C319" i="26"/>
  <c r="D319" i="26"/>
  <c r="E319" i="26"/>
  <c r="F319" i="26"/>
  <c r="G319" i="26"/>
  <c r="J319" i="26" s="1"/>
  <c r="H319" i="26"/>
  <c r="I319" i="26"/>
  <c r="A320" i="26"/>
  <c r="B320" i="26"/>
  <c r="C320" i="26"/>
  <c r="D320" i="26"/>
  <c r="E320" i="26"/>
  <c r="F320" i="26"/>
  <c r="G320" i="26"/>
  <c r="H320" i="26"/>
  <c r="J320" i="26" s="1"/>
  <c r="I320" i="26"/>
  <c r="A321" i="26"/>
  <c r="B321" i="26"/>
  <c r="C321" i="26"/>
  <c r="D321" i="26"/>
  <c r="E321" i="26"/>
  <c r="F321" i="26"/>
  <c r="G321" i="26"/>
  <c r="H321" i="26"/>
  <c r="J321" i="26" s="1"/>
  <c r="I321" i="26"/>
  <c r="A322" i="26"/>
  <c r="B322" i="26"/>
  <c r="C322" i="26"/>
  <c r="D322" i="26"/>
  <c r="E322" i="26"/>
  <c r="F322" i="26"/>
  <c r="G322" i="26"/>
  <c r="J322" i="26" s="1"/>
  <c r="H322" i="26"/>
  <c r="I322" i="26"/>
  <c r="A323" i="26"/>
  <c r="B323" i="26"/>
  <c r="C323" i="26"/>
  <c r="D323" i="26"/>
  <c r="E323" i="26"/>
  <c r="F323" i="26"/>
  <c r="G323" i="26"/>
  <c r="H323" i="26"/>
  <c r="J323" i="26" s="1"/>
  <c r="I323" i="26"/>
  <c r="A324" i="26"/>
  <c r="B324" i="26"/>
  <c r="C324" i="26"/>
  <c r="D324" i="26"/>
  <c r="E324" i="26"/>
  <c r="F324" i="26"/>
  <c r="G324" i="26"/>
  <c r="J324" i="26" s="1"/>
  <c r="H324" i="26"/>
  <c r="I324" i="26"/>
  <c r="A325" i="26"/>
  <c r="B325" i="26"/>
  <c r="C325" i="26"/>
  <c r="D325" i="26"/>
  <c r="E325" i="26"/>
  <c r="F325" i="26"/>
  <c r="G325" i="26"/>
  <c r="H325" i="26"/>
  <c r="J325" i="26" s="1"/>
  <c r="I325" i="26"/>
  <c r="A326" i="26"/>
  <c r="B326" i="26"/>
  <c r="C326" i="26"/>
  <c r="D326" i="26"/>
  <c r="E326" i="26"/>
  <c r="F326" i="26"/>
  <c r="G326" i="26"/>
  <c r="J326" i="26" s="1"/>
  <c r="H326" i="26"/>
  <c r="I326" i="26"/>
  <c r="A327" i="26"/>
  <c r="B327" i="26"/>
  <c r="C327" i="26"/>
  <c r="D327" i="26"/>
  <c r="E327" i="26"/>
  <c r="F327" i="26"/>
  <c r="G327" i="26"/>
  <c r="H327" i="26"/>
  <c r="I327" i="26"/>
  <c r="J327" i="26" s="1"/>
  <c r="A328" i="26"/>
  <c r="B328" i="26"/>
  <c r="C328" i="26"/>
  <c r="D328" i="26"/>
  <c r="E328" i="26"/>
  <c r="F328" i="26"/>
  <c r="G328" i="26"/>
  <c r="H328" i="26"/>
  <c r="I328" i="26"/>
  <c r="J328" i="26"/>
  <c r="A329" i="26"/>
  <c r="B329" i="26"/>
  <c r="C329" i="26"/>
  <c r="D329" i="26"/>
  <c r="E329" i="26"/>
  <c r="F329" i="26"/>
  <c r="G329" i="26"/>
  <c r="H329" i="26"/>
  <c r="I329" i="26"/>
  <c r="J329" i="26"/>
  <c r="E258" i="26" a="1"/>
  <c r="F258" i="26"/>
  <c r="B259" i="26"/>
  <c r="C259" i="26"/>
  <c r="D259" i="26"/>
  <c r="E259" i="26" a="1"/>
  <c r="F259" i="26"/>
  <c r="B260" i="26"/>
  <c r="C260" i="26"/>
  <c r="D260" i="26"/>
  <c r="E260" i="26" a="1"/>
  <c r="F260" i="26"/>
  <c r="B261" i="26"/>
  <c r="C261" i="26"/>
  <c r="D261" i="26"/>
  <c r="E261" i="26" a="1"/>
  <c r="F261" i="26"/>
  <c r="A262" i="26"/>
  <c r="B271" i="26" a="1"/>
  <c r="B272" i="26" a="1"/>
  <c r="B273" i="26" a="1"/>
  <c r="B274" i="26" a="1"/>
  <c r="B215" i="26"/>
  <c r="C215" i="26"/>
  <c r="D215" i="26" a="1"/>
  <c r="F215" i="26" s="1"/>
  <c r="E215" i="26"/>
  <c r="B216" i="26"/>
  <c r="C216" i="26"/>
  <c r="D216" i="26" a="1"/>
  <c r="E216" i="26"/>
  <c r="F216" i="26" s="1"/>
  <c r="B217" i="26"/>
  <c r="C217" i="26"/>
  <c r="D217" i="26" a="1"/>
  <c r="F217" i="26" s="1"/>
  <c r="E217" i="26"/>
  <c r="B218" i="26"/>
  <c r="C218" i="26"/>
  <c r="D218" i="26" a="1"/>
  <c r="E218" i="26"/>
  <c r="F218" i="26" s="1"/>
  <c r="B219" i="26"/>
  <c r="C219" i="26"/>
  <c r="D219" i="26" a="1"/>
  <c r="F219" i="26" s="1"/>
  <c r="E219" i="26"/>
  <c r="B220" i="26"/>
  <c r="C220" i="26"/>
  <c r="D220" i="26" a="1"/>
  <c r="E220" i="26"/>
  <c r="F220" i="26" s="1"/>
  <c r="A221" i="26"/>
  <c r="C225" i="26"/>
  <c r="D225" i="26" a="1"/>
  <c r="E225" i="26" a="1"/>
  <c r="F225" i="26"/>
  <c r="C226" i="26"/>
  <c r="D226" i="26"/>
  <c r="E226" i="26" a="1"/>
  <c r="F226" i="26"/>
  <c r="C227" i="26"/>
  <c r="D227" i="26"/>
  <c r="E227" i="26" a="1"/>
  <c r="F227" i="26"/>
  <c r="B228" i="26"/>
  <c r="D228" i="26"/>
  <c r="A229" i="26"/>
  <c r="B233" i="26"/>
  <c r="C233" i="26" a="1"/>
  <c r="D233" i="26"/>
  <c r="E233" i="26" a="1"/>
  <c r="F233" i="26" s="1"/>
  <c r="B234" i="26"/>
  <c r="C234" i="26" a="1"/>
  <c r="D234" i="26"/>
  <c r="E234" i="26" a="1"/>
  <c r="F234" i="26" s="1"/>
  <c r="B235" i="26"/>
  <c r="C235" i="26" a="1"/>
  <c r="D235" i="26"/>
  <c r="E235" i="26" a="1"/>
  <c r="F235" i="26" s="1"/>
  <c r="B236" i="26"/>
  <c r="C236" i="26" a="1"/>
  <c r="D236" i="26"/>
  <c r="E236" i="26" a="1"/>
  <c r="F236" i="26" s="1"/>
  <c r="B237" i="26"/>
  <c r="C237" i="26" a="1"/>
  <c r="D237" i="26"/>
  <c r="E237" i="26" a="1"/>
  <c r="B238" i="26"/>
  <c r="C238" i="26" a="1"/>
  <c r="D238" i="26"/>
  <c r="E238" i="26" a="1"/>
  <c r="F238" i="26" s="1"/>
  <c r="B242" i="26"/>
  <c r="F242" i="26"/>
  <c r="E244" i="26"/>
  <c r="E245" i="26"/>
  <c r="E246" i="26"/>
  <c r="F246" i="26"/>
  <c r="E247" i="26"/>
  <c r="F247" i="26"/>
  <c r="E248" i="26"/>
  <c r="F248" i="26"/>
  <c r="E249" i="26"/>
  <c r="F249" i="26"/>
  <c r="E250" i="26"/>
  <c r="F250" i="26"/>
  <c r="E251" i="26"/>
  <c r="F251" i="26"/>
  <c r="E252" i="26"/>
  <c r="F252" i="26"/>
  <c r="E253" i="26"/>
  <c r="F253" i="26"/>
  <c r="B258" i="26"/>
  <c r="C258" i="26"/>
  <c r="D258" i="26"/>
  <c r="B206" i="26"/>
  <c r="D206" i="26"/>
  <c r="B207" i="26" a="1"/>
  <c r="D207" i="26" s="1"/>
  <c r="D208" i="26" a="1"/>
  <c r="B188" i="26" a="1"/>
  <c r="C188" i="26" a="1"/>
  <c r="D188" i="26" s="1"/>
  <c r="E188" i="26" a="1"/>
  <c r="F188" i="26" a="1"/>
  <c r="B189" i="26" a="1"/>
  <c r="C189" i="26" a="1"/>
  <c r="D189" i="26" s="1"/>
  <c r="E189" i="26" a="1"/>
  <c r="F189" i="26" a="1"/>
  <c r="B190" i="26" a="1"/>
  <c r="C190" i="26" a="1"/>
  <c r="D190" i="26" s="1"/>
  <c r="E190" i="26" a="1"/>
  <c r="F190" i="26" a="1"/>
  <c r="B162" i="26"/>
  <c r="C162" i="26"/>
  <c r="D162" i="26"/>
  <c r="E162" i="26"/>
  <c r="F162" i="26"/>
  <c r="B163" i="26"/>
  <c r="C163" i="26"/>
  <c r="D163" i="26"/>
  <c r="E163" i="26"/>
  <c r="F163" i="26"/>
  <c r="B164" i="26"/>
  <c r="C164" i="26"/>
  <c r="D164" i="26"/>
  <c r="E164" i="26"/>
  <c r="F164" i="26"/>
  <c r="B165" i="26"/>
  <c r="C165" i="26"/>
  <c r="D165" i="26"/>
  <c r="E165" i="26"/>
  <c r="F165" i="26"/>
  <c r="A166" i="26"/>
  <c r="B170" i="26"/>
  <c r="C170" i="26"/>
  <c r="D170" i="26"/>
  <c r="E170" i="26"/>
  <c r="F170" i="26"/>
  <c r="B171" i="26"/>
  <c r="C171" i="26"/>
  <c r="D171" i="26"/>
  <c r="E171" i="26"/>
  <c r="F171" i="26"/>
  <c r="B172" i="26"/>
  <c r="C172" i="26"/>
  <c r="D172" i="26"/>
  <c r="E172" i="26"/>
  <c r="F172" i="26"/>
  <c r="B173" i="26"/>
  <c r="C173" i="26"/>
  <c r="D173" i="26"/>
  <c r="E173" i="26"/>
  <c r="F173" i="26"/>
  <c r="B174" i="26"/>
  <c r="C174" i="26"/>
  <c r="D174" i="26"/>
  <c r="E174" i="26"/>
  <c r="F174" i="26"/>
  <c r="A175" i="26"/>
  <c r="E179" i="26"/>
  <c r="F179" i="26"/>
  <c r="E180" i="26"/>
  <c r="F180" i="26"/>
  <c r="E181" i="26"/>
  <c r="E182" i="26"/>
  <c r="E183" i="26"/>
  <c r="B191" i="26"/>
  <c r="E191" i="26"/>
  <c r="F191" i="26"/>
  <c r="B196" i="26"/>
  <c r="C196" i="26"/>
  <c r="D196" i="26"/>
  <c r="E196" i="26"/>
  <c r="F196" i="26"/>
  <c r="B197" i="26"/>
  <c r="C197" i="26"/>
  <c r="D197" i="26"/>
  <c r="E197" i="26"/>
  <c r="F197" i="26"/>
  <c r="B198" i="26"/>
  <c r="C198" i="26"/>
  <c r="D198" i="26"/>
  <c r="E198" i="26"/>
  <c r="F198" i="26"/>
  <c r="B199" i="26"/>
  <c r="C199" i="26"/>
  <c r="D199" i="26"/>
  <c r="E199" i="26"/>
  <c r="F199" i="26"/>
  <c r="B200" i="26"/>
  <c r="C200" i="26"/>
  <c r="D200" i="26"/>
  <c r="E200" i="26"/>
  <c r="F200" i="26"/>
  <c r="B201" i="26"/>
  <c r="C201" i="26"/>
  <c r="D201" i="26"/>
  <c r="E201" i="26"/>
  <c r="F201" i="26"/>
  <c r="A202" i="26"/>
  <c r="A126" i="26" a="1"/>
  <c r="I86" i="28" s="1"/>
  <c r="B108" i="26"/>
  <c r="C108" i="26"/>
  <c r="B109" i="26"/>
  <c r="C109" i="26"/>
  <c r="B110" i="26"/>
  <c r="C110" i="26"/>
  <c r="B111" i="26"/>
  <c r="C111" i="26"/>
  <c r="B112" i="26"/>
  <c r="C112" i="26"/>
  <c r="B113" i="26"/>
  <c r="C113" i="26"/>
  <c r="B114" i="26"/>
  <c r="C114" i="26"/>
  <c r="B115" i="26"/>
  <c r="C115" i="26"/>
  <c r="B116" i="26"/>
  <c r="C116" i="26"/>
  <c r="B117" i="26"/>
  <c r="C117" i="26"/>
  <c r="B118" i="26"/>
  <c r="C118" i="26"/>
  <c r="B119" i="26"/>
  <c r="C119" i="26"/>
  <c r="B120" i="26"/>
  <c r="C120" i="26"/>
  <c r="B121" i="26"/>
  <c r="C121" i="26"/>
  <c r="B122" i="26"/>
  <c r="C122" i="26"/>
  <c r="B123" i="26"/>
  <c r="C123" i="26"/>
  <c r="B124" i="26"/>
  <c r="C124" i="26"/>
  <c r="B125" i="26"/>
  <c r="C125" i="26"/>
  <c r="B8" i="26"/>
  <c r="C8" i="26"/>
  <c r="D8" i="26"/>
  <c r="E8" i="26"/>
  <c r="F8" i="26"/>
  <c r="B9" i="26"/>
  <c r="C9" i="26"/>
  <c r="D9" i="26"/>
  <c r="E9" i="26"/>
  <c r="F9" i="26"/>
  <c r="B10" i="26"/>
  <c r="C10" i="26"/>
  <c r="D10" i="26"/>
  <c r="E10" i="26"/>
  <c r="F10" i="26"/>
  <c r="A11" i="26"/>
  <c r="B15" i="26"/>
  <c r="C15" i="26"/>
  <c r="D15" i="26"/>
  <c r="E15" i="26"/>
  <c r="F15" i="26"/>
  <c r="B16" i="26"/>
  <c r="C16" i="26"/>
  <c r="D16" i="26"/>
  <c r="E16" i="26"/>
  <c r="F16" i="26"/>
  <c r="B17" i="26"/>
  <c r="C17" i="26"/>
  <c r="D17" i="26"/>
  <c r="E17" i="26"/>
  <c r="F17" i="26"/>
  <c r="B18" i="26"/>
  <c r="C18" i="26"/>
  <c r="D18" i="26"/>
  <c r="E18" i="26"/>
  <c r="F18" i="26"/>
  <c r="B19" i="26"/>
  <c r="C19" i="26"/>
  <c r="D19" i="26"/>
  <c r="E19" i="26"/>
  <c r="F19" i="26"/>
  <c r="B20" i="26"/>
  <c r="C20" i="26"/>
  <c r="D20" i="26"/>
  <c r="E20" i="26"/>
  <c r="F20" i="26"/>
  <c r="B21" i="26"/>
  <c r="C21" i="26"/>
  <c r="D21" i="26"/>
  <c r="E21" i="26"/>
  <c r="F21" i="26"/>
  <c r="B22" i="26"/>
  <c r="C22" i="26"/>
  <c r="D22" i="26"/>
  <c r="E22" i="26"/>
  <c r="F22" i="26"/>
  <c r="B23" i="26"/>
  <c r="C23" i="26"/>
  <c r="D23" i="26"/>
  <c r="E23" i="26"/>
  <c r="F23" i="26"/>
  <c r="B24" i="26"/>
  <c r="C24" i="26"/>
  <c r="D24" i="26"/>
  <c r="E24" i="26"/>
  <c r="F24" i="26"/>
  <c r="B25" i="26"/>
  <c r="C25" i="26"/>
  <c r="D25" i="26"/>
  <c r="E25" i="26"/>
  <c r="F25" i="26"/>
  <c r="A26" i="26"/>
  <c r="E30" i="26"/>
  <c r="F30" i="26"/>
  <c r="E31" i="26"/>
  <c r="E32" i="26"/>
  <c r="F32" i="26"/>
  <c r="E33" i="26"/>
  <c r="F33" i="26"/>
  <c r="E34" i="26"/>
  <c r="F34" i="26"/>
  <c r="B38" i="26"/>
  <c r="A39" i="26"/>
  <c r="B43" i="26"/>
  <c r="C43" i="26"/>
  <c r="D43" i="26"/>
  <c r="E43" i="26"/>
  <c r="F43" i="26"/>
  <c r="B44" i="26"/>
  <c r="C44" i="26"/>
  <c r="D44" i="26"/>
  <c r="E44" i="26"/>
  <c r="F44" i="26"/>
  <c r="B45" i="26"/>
  <c r="C45" i="26"/>
  <c r="D45" i="26"/>
  <c r="E45" i="26"/>
  <c r="F45" i="26"/>
  <c r="B46" i="26"/>
  <c r="C46" i="26"/>
  <c r="D46" i="26"/>
  <c r="E46" i="26"/>
  <c r="F46" i="26"/>
  <c r="B47" i="26"/>
  <c r="C47" i="26"/>
  <c r="D47" i="26"/>
  <c r="E47" i="26"/>
  <c r="F47" i="26"/>
  <c r="B48" i="26"/>
  <c r="C48" i="26"/>
  <c r="D48" i="26"/>
  <c r="E48" i="26"/>
  <c r="F48" i="26"/>
  <c r="B49" i="26"/>
  <c r="C49" i="26"/>
  <c r="D49" i="26"/>
  <c r="E49" i="26"/>
  <c r="F49" i="26"/>
  <c r="B50" i="26"/>
  <c r="C50" i="26"/>
  <c r="D50" i="26"/>
  <c r="E50" i="26"/>
  <c r="F50" i="26"/>
  <c r="B51" i="26"/>
  <c r="C51" i="26"/>
  <c r="D51" i="26"/>
  <c r="E51" i="26"/>
  <c r="F51" i="26"/>
  <c r="F53" i="26" s="1"/>
  <c r="B52" i="26"/>
  <c r="C52" i="26"/>
  <c r="D52" i="26"/>
  <c r="E52" i="26"/>
  <c r="F52" i="26"/>
  <c r="B53" i="26"/>
  <c r="C53" i="26"/>
  <c r="D53" i="26"/>
  <c r="E53" i="26"/>
  <c r="B54" i="26" a="1"/>
  <c r="C54" i="26" a="1"/>
  <c r="A55" i="26" a="1"/>
  <c r="B59" i="26"/>
  <c r="B60" i="26"/>
  <c r="B61" i="26"/>
  <c r="B66" i="26"/>
  <c r="A84" i="26" s="1"/>
  <c r="C66" i="26"/>
  <c r="D66" i="26"/>
  <c r="E66" i="26"/>
  <c r="F66" i="26"/>
  <c r="B67" i="26"/>
  <c r="C67" i="26"/>
  <c r="D67" i="26"/>
  <c r="E67" i="26"/>
  <c r="F67" i="26"/>
  <c r="B68" i="26"/>
  <c r="C68" i="26"/>
  <c r="D68" i="26"/>
  <c r="E68" i="26"/>
  <c r="F68" i="26"/>
  <c r="B69" i="26"/>
  <c r="C69" i="26"/>
  <c r="D69" i="26"/>
  <c r="E69" i="26"/>
  <c r="F69" i="26"/>
  <c r="B70" i="26"/>
  <c r="C70" i="26"/>
  <c r="D70" i="26"/>
  <c r="E70" i="26"/>
  <c r="F70" i="26"/>
  <c r="B71" i="26"/>
  <c r="C71" i="26"/>
  <c r="D71" i="26"/>
  <c r="E71" i="26"/>
  <c r="F71" i="26"/>
  <c r="B72" i="26"/>
  <c r="C72" i="26"/>
  <c r="D72" i="26"/>
  <c r="E72" i="26"/>
  <c r="F72" i="26"/>
  <c r="B73" i="26"/>
  <c r="C73" i="26"/>
  <c r="D73" i="26"/>
  <c r="E73" i="26"/>
  <c r="F73" i="26"/>
  <c r="B74" i="26"/>
  <c r="C74" i="26"/>
  <c r="D74" i="26"/>
  <c r="E74" i="26"/>
  <c r="F74" i="26"/>
  <c r="B75" i="26"/>
  <c r="C75" i="26"/>
  <c r="D75" i="26"/>
  <c r="E75" i="26"/>
  <c r="F75" i="26"/>
  <c r="B76" i="26"/>
  <c r="C76" i="26"/>
  <c r="D76" i="26"/>
  <c r="E76" i="26"/>
  <c r="F76" i="26"/>
  <c r="B77" i="26"/>
  <c r="C77" i="26"/>
  <c r="D77" i="26"/>
  <c r="E77" i="26"/>
  <c r="F77" i="26"/>
  <c r="B78" i="26"/>
  <c r="C78" i="26"/>
  <c r="D78" i="26"/>
  <c r="E78" i="26"/>
  <c r="F78" i="26"/>
  <c r="B79" i="26"/>
  <c r="C79" i="26"/>
  <c r="D79" i="26"/>
  <c r="E79" i="26"/>
  <c r="F79" i="26"/>
  <c r="B80" i="26"/>
  <c r="C80" i="26"/>
  <c r="D80" i="26"/>
  <c r="E80" i="26"/>
  <c r="F80" i="26"/>
  <c r="B81" i="26"/>
  <c r="C81" i="26"/>
  <c r="D81" i="26"/>
  <c r="E81" i="26"/>
  <c r="F81" i="26" s="1"/>
  <c r="B82" i="26"/>
  <c r="C82" i="26"/>
  <c r="D82" i="26"/>
  <c r="E82" i="26"/>
  <c r="F82" i="26"/>
  <c r="B83" i="26"/>
  <c r="C83" i="26"/>
  <c r="D83" i="26"/>
  <c r="E83" i="26"/>
  <c r="F83" i="26"/>
  <c r="B89" i="26"/>
  <c r="C89" i="26"/>
  <c r="BB65" i="28" s="1"/>
  <c r="D89" i="26"/>
  <c r="E89" i="26"/>
  <c r="F89" i="26"/>
  <c r="B90" i="26"/>
  <c r="C90" i="26"/>
  <c r="BB66" i="28" s="1"/>
  <c r="D90" i="26"/>
  <c r="E90" i="26"/>
  <c r="F90" i="26"/>
  <c r="B91" i="26"/>
  <c r="C91" i="26"/>
  <c r="BB67" i="28" s="1"/>
  <c r="D91" i="26"/>
  <c r="E91" i="26"/>
  <c r="F91" i="26"/>
  <c r="B92" i="26"/>
  <c r="C92" i="26"/>
  <c r="BB68" i="28" s="1"/>
  <c r="D92" i="26"/>
  <c r="E92" i="26"/>
  <c r="F92" i="26"/>
  <c r="B93" i="26"/>
  <c r="C93" i="26"/>
  <c r="BB69" i="28" s="1"/>
  <c r="D93" i="26"/>
  <c r="E93" i="26"/>
  <c r="F93" i="26"/>
  <c r="B94" i="26"/>
  <c r="C94" i="26"/>
  <c r="BB70" i="28" s="1"/>
  <c r="D94" i="26"/>
  <c r="E94" i="26"/>
  <c r="F94" i="26"/>
  <c r="B95" i="26"/>
  <c r="C95" i="26"/>
  <c r="BB71" i="28" s="1"/>
  <c r="D95" i="26"/>
  <c r="E95" i="26"/>
  <c r="F95" i="26"/>
  <c r="B96" i="26"/>
  <c r="C96" i="26"/>
  <c r="BB72" i="28" s="1"/>
  <c r="D96" i="26"/>
  <c r="E96" i="26"/>
  <c r="F96" i="26"/>
  <c r="B97" i="26"/>
  <c r="C97" i="26"/>
  <c r="BB73" i="28" s="1"/>
  <c r="D97" i="26"/>
  <c r="E97" i="26"/>
  <c r="F97" i="26"/>
  <c r="B98" i="26"/>
  <c r="C98" i="26"/>
  <c r="BB74" i="28" s="1"/>
  <c r="D98" i="26"/>
  <c r="E98" i="26"/>
  <c r="F98" i="26"/>
  <c r="B99" i="26"/>
  <c r="C99" i="26"/>
  <c r="BB75" i="28" s="1"/>
  <c r="D99" i="26"/>
  <c r="E99" i="26"/>
  <c r="F99" i="26"/>
  <c r="B100" i="26"/>
  <c r="C100" i="26"/>
  <c r="BB76" i="28" s="1"/>
  <c r="D100" i="26"/>
  <c r="E100" i="26"/>
  <c r="F100" i="26"/>
  <c r="B101" i="26"/>
  <c r="C101" i="26"/>
  <c r="BB77" i="28" s="1"/>
  <c r="D101" i="26"/>
  <c r="E101" i="26"/>
  <c r="F101" i="26"/>
  <c r="B102" i="26"/>
  <c r="C102" i="26"/>
  <c r="BB78" i="28" s="1"/>
  <c r="D102" i="26"/>
  <c r="E102" i="26"/>
  <c r="F102" i="26"/>
  <c r="B103" i="26"/>
  <c r="C103" i="26"/>
  <c r="BB79" i="28" s="1"/>
  <c r="D103" i="26"/>
  <c r="E103" i="26"/>
  <c r="F103" i="26"/>
  <c r="A104" i="26"/>
  <c r="B86" i="28" s="1"/>
  <c r="B130" i="26" a="1"/>
  <c r="C130" i="26"/>
  <c r="D130" i="26"/>
  <c r="E130" i="26"/>
  <c r="F130" i="26"/>
  <c r="B131" i="26" a="1"/>
  <c r="C131" i="26"/>
  <c r="D131" i="26"/>
  <c r="E131" i="26"/>
  <c r="F131" i="26"/>
  <c r="B132" i="26" a="1"/>
  <c r="A133" i="26" s="1"/>
  <c r="P86" i="28" s="1"/>
  <c r="C132" i="26"/>
  <c r="D132" i="26"/>
  <c r="E132" i="26"/>
  <c r="F132" i="26"/>
  <c r="C137" i="26"/>
  <c r="C138" i="26"/>
  <c r="C139" i="26"/>
  <c r="B144" i="26"/>
  <c r="D144" i="26"/>
  <c r="A145" i="26" s="1"/>
  <c r="I108" i="28" s="1"/>
  <c r="F144" i="26"/>
  <c r="C149" i="26" a="1"/>
  <c r="C150" i="26" a="1"/>
  <c r="C151" i="26" a="1"/>
  <c r="C152" i="26" a="1"/>
  <c r="G62" i="24"/>
  <c r="G61" i="24"/>
  <c r="G57" i="24"/>
  <c r="G58" i="24"/>
  <c r="G59" i="24"/>
  <c r="G60" i="24"/>
  <c r="G56" i="24"/>
  <c r="F61" i="24"/>
  <c r="F62" i="24"/>
  <c r="F59" i="24"/>
  <c r="F60" i="24"/>
  <c r="F57" i="24"/>
  <c r="F58" i="24"/>
  <c r="F56" i="24"/>
  <c r="B62" i="24"/>
  <c r="D61" i="24"/>
  <c r="D99" i="4" s="1"/>
  <c r="A56" i="24" a="1"/>
  <c r="L54" i="4"/>
  <c r="L28" i="4"/>
  <c r="L16" i="4"/>
  <c r="L38" i="4"/>
  <c r="L64" i="4"/>
  <c r="L68" i="4"/>
  <c r="L30" i="4"/>
  <c r="L47" i="4"/>
  <c r="L56" i="4"/>
  <c r="L12" i="4"/>
  <c r="L76" i="4"/>
  <c r="L48" i="4"/>
  <c r="L49" i="4"/>
  <c r="L57" i="4"/>
  <c r="L15" i="4"/>
  <c r="L75" i="4"/>
  <c r="L70" i="4"/>
  <c r="L73" i="4"/>
  <c r="L59" i="4"/>
  <c r="L26" i="4"/>
  <c r="L52" i="4"/>
  <c r="L65" i="4"/>
  <c r="L27" i="4"/>
  <c r="L40" i="4"/>
  <c r="L44" i="4"/>
  <c r="L25" i="4"/>
  <c r="L23" i="4"/>
  <c r="L42" i="4"/>
  <c r="L55" i="4"/>
  <c r="L33" i="4"/>
  <c r="L14" i="4"/>
  <c r="L22" i="4"/>
  <c r="L72" i="4"/>
  <c r="L18" i="4"/>
  <c r="L29" i="4"/>
  <c r="L6" i="4"/>
  <c r="L53" i="4"/>
  <c r="L60" i="4"/>
  <c r="L10" i="4"/>
  <c r="L41" i="4"/>
  <c r="L13" i="4"/>
  <c r="L20" i="4"/>
  <c r="L46" i="4"/>
  <c r="L63" i="4"/>
  <c r="L34" i="4"/>
  <c r="L21" i="4"/>
  <c r="L32" i="4"/>
  <c r="L50" i="4"/>
  <c r="L58" i="4"/>
  <c r="L62" i="4"/>
  <c r="L69" i="4"/>
  <c r="L66" i="4"/>
  <c r="L5" i="4"/>
  <c r="L17" i="4"/>
  <c r="L61" i="4"/>
  <c r="L74" i="4"/>
  <c r="L36" i="4"/>
  <c r="L43" i="4"/>
  <c r="L67" i="4"/>
  <c r="L19" i="4"/>
  <c r="L37" i="4"/>
  <c r="L8" i="4"/>
  <c r="L45" i="4"/>
  <c r="L24" i="4"/>
  <c r="L11" i="4"/>
  <c r="L39" i="4"/>
  <c r="L9" i="4"/>
  <c r="L35" i="4"/>
  <c r="L71" i="4"/>
  <c r="L51" i="4"/>
  <c r="L31" i="4"/>
  <c r="L7" i="4"/>
  <c r="D9" i="24"/>
  <c r="D10" i="24"/>
  <c r="D11" i="24"/>
  <c r="D8" i="24"/>
  <c r="B124" i="23"/>
  <c r="B125" i="23"/>
  <c r="C125" i="23" s="1"/>
  <c r="B126" i="23"/>
  <c r="B127" i="23"/>
  <c r="C127" i="23" s="1"/>
  <c r="B128" i="23"/>
  <c r="C128" i="23" s="1"/>
  <c r="B129" i="23"/>
  <c r="C129" i="23" s="1"/>
  <c r="B130" i="23"/>
  <c r="B131" i="23"/>
  <c r="B132" i="23"/>
  <c r="B133" i="23"/>
  <c r="B134" i="23"/>
  <c r="B135" i="23"/>
  <c r="B136" i="23"/>
  <c r="B137" i="23"/>
  <c r="B138" i="23"/>
  <c r="B139" i="23"/>
  <c r="B140" i="23"/>
  <c r="B141" i="23"/>
  <c r="C124" i="23"/>
  <c r="C126" i="23"/>
  <c r="C130" i="23"/>
  <c r="C131" i="23"/>
  <c r="C132" i="23"/>
  <c r="C133" i="23"/>
  <c r="C134" i="23"/>
  <c r="C135" i="23"/>
  <c r="C136" i="23"/>
  <c r="C137" i="23"/>
  <c r="C138" i="23"/>
  <c r="C139" i="23"/>
  <c r="C140" i="23"/>
  <c r="C141" i="23"/>
  <c r="I64" i="3"/>
  <c r="A69" i="22"/>
  <c r="L29" i="21"/>
  <c r="L28" i="21"/>
  <c r="L27" i="21"/>
  <c r="L26" i="21"/>
  <c r="L25" i="21"/>
  <c r="L24" i="21"/>
  <c r="L23" i="21"/>
  <c r="L22" i="21"/>
  <c r="L21" i="21"/>
  <c r="L20" i="21"/>
  <c r="L19" i="21"/>
  <c r="L18" i="21"/>
  <c r="L17" i="21"/>
  <c r="L16" i="21"/>
  <c r="L15" i="21"/>
  <c r="L14" i="21"/>
  <c r="L13" i="21"/>
  <c r="L12" i="21"/>
  <c r="L11" i="21"/>
  <c r="L10" i="21"/>
  <c r="L9" i="21"/>
  <c r="L8" i="21"/>
  <c r="L7" i="21"/>
  <c r="L6" i="21"/>
  <c r="L5" i="21"/>
  <c r="I44" i="20"/>
  <c r="I43" i="20"/>
  <c r="I42" i="20"/>
  <c r="I41" i="20"/>
  <c r="I40" i="20"/>
  <c r="I39" i="20"/>
  <c r="I38" i="20"/>
  <c r="I37" i="20"/>
  <c r="I36" i="20"/>
  <c r="I35" i="20"/>
  <c r="I34" i="20"/>
  <c r="I33" i="20"/>
  <c r="I32" i="20"/>
  <c r="I31" i="20"/>
  <c r="I30" i="20"/>
  <c r="I29" i="20"/>
  <c r="I28" i="20"/>
  <c r="I27" i="20"/>
  <c r="I26" i="20"/>
  <c r="I25" i="20"/>
  <c r="I24" i="20"/>
  <c r="I23" i="20"/>
  <c r="I22" i="20"/>
  <c r="I21" i="20"/>
  <c r="I20" i="20"/>
  <c r="I19" i="20"/>
  <c r="I18" i="20"/>
  <c r="I17" i="20"/>
  <c r="I16" i="20"/>
  <c r="I15" i="20"/>
  <c r="I14" i="20"/>
  <c r="I13" i="20"/>
  <c r="I12" i="20"/>
  <c r="I11" i="20"/>
  <c r="I10" i="20"/>
  <c r="I9" i="20"/>
  <c r="I8" i="20"/>
  <c r="I7" i="20"/>
  <c r="I6" i="20"/>
  <c r="I5" i="20"/>
  <c r="I40" i="13"/>
  <c r="H40" i="13"/>
  <c r="G40" i="13"/>
  <c r="F40" i="13"/>
  <c r="I39" i="13"/>
  <c r="H39" i="13"/>
  <c r="G39" i="13"/>
  <c r="F39" i="13"/>
  <c r="J38" i="13"/>
  <c r="I38" i="13"/>
  <c r="K38" i="13" s="1"/>
  <c r="H38" i="13"/>
  <c r="G38" i="13"/>
  <c r="F38" i="13"/>
  <c r="I37" i="13"/>
  <c r="H37" i="13"/>
  <c r="G37" i="13"/>
  <c r="F37" i="13"/>
  <c r="I36" i="13"/>
  <c r="H36" i="13"/>
  <c r="G36" i="13"/>
  <c r="F36" i="13"/>
  <c r="I35" i="13"/>
  <c r="H35" i="13"/>
  <c r="G35" i="13"/>
  <c r="F35" i="13"/>
  <c r="I34" i="13"/>
  <c r="H34" i="13"/>
  <c r="G34" i="13"/>
  <c r="F34" i="13"/>
  <c r="I33" i="13"/>
  <c r="H33" i="13"/>
  <c r="G33" i="13"/>
  <c r="F33" i="13"/>
  <c r="I32" i="13"/>
  <c r="H32" i="13"/>
  <c r="G32" i="13"/>
  <c r="F32" i="13"/>
  <c r="K31" i="13"/>
  <c r="J31" i="13"/>
  <c r="I31" i="13"/>
  <c r="H31" i="13"/>
  <c r="G31" i="13"/>
  <c r="F31" i="13"/>
  <c r="I30" i="13"/>
  <c r="H30" i="13"/>
  <c r="G30" i="13"/>
  <c r="F30" i="13"/>
  <c r="I29" i="13"/>
  <c r="H29" i="13"/>
  <c r="G29" i="13"/>
  <c r="F29" i="13"/>
  <c r="I28" i="13"/>
  <c r="H28" i="13"/>
  <c r="G28" i="13"/>
  <c r="F28" i="13"/>
  <c r="I27" i="13"/>
  <c r="H27" i="13"/>
  <c r="G27" i="13"/>
  <c r="F27" i="13"/>
  <c r="I26" i="13"/>
  <c r="H26" i="13"/>
  <c r="G26" i="13"/>
  <c r="F26" i="13"/>
  <c r="K25" i="13"/>
  <c r="I25" i="13"/>
  <c r="J25" i="13" s="1"/>
  <c r="H25" i="13"/>
  <c r="G25" i="13"/>
  <c r="F25" i="13"/>
  <c r="I24" i="13"/>
  <c r="H24" i="13"/>
  <c r="G24" i="13"/>
  <c r="F24" i="13"/>
  <c r="I23" i="13"/>
  <c r="H23" i="13"/>
  <c r="G23" i="13"/>
  <c r="F23" i="13"/>
  <c r="I22" i="13"/>
  <c r="H22" i="13"/>
  <c r="G22" i="13"/>
  <c r="F22" i="13"/>
  <c r="I21" i="13"/>
  <c r="H21" i="13"/>
  <c r="G21" i="13"/>
  <c r="F21" i="13"/>
  <c r="I20" i="13"/>
  <c r="H20" i="13"/>
  <c r="G20" i="13"/>
  <c r="F20" i="13"/>
  <c r="I19" i="13"/>
  <c r="H19" i="13"/>
  <c r="G19" i="13"/>
  <c r="F19" i="13"/>
  <c r="I18" i="13"/>
  <c r="H18" i="13"/>
  <c r="G18" i="13"/>
  <c r="F18" i="13"/>
  <c r="I17" i="13"/>
  <c r="H17" i="13"/>
  <c r="G17" i="13"/>
  <c r="F17" i="13"/>
  <c r="I16" i="13"/>
  <c r="H16" i="13"/>
  <c r="G16" i="13"/>
  <c r="F16" i="13"/>
  <c r="I15" i="13"/>
  <c r="H15" i="13"/>
  <c r="G15" i="13"/>
  <c r="F15" i="13"/>
  <c r="I14" i="13"/>
  <c r="H14" i="13"/>
  <c r="G14" i="13"/>
  <c r="F14" i="13"/>
  <c r="I13" i="13"/>
  <c r="H13" i="13"/>
  <c r="G13" i="13"/>
  <c r="F13" i="13"/>
  <c r="I12" i="13"/>
  <c r="H12" i="13"/>
  <c r="G12" i="13"/>
  <c r="F12" i="13"/>
  <c r="I11" i="13"/>
  <c r="H11" i="13"/>
  <c r="G11" i="13"/>
  <c r="F11" i="13"/>
  <c r="I10" i="13"/>
  <c r="H10" i="13"/>
  <c r="G10" i="13"/>
  <c r="F10" i="13"/>
  <c r="I9" i="13"/>
  <c r="H9" i="13"/>
  <c r="G9" i="13"/>
  <c r="F9" i="13"/>
  <c r="I8" i="13"/>
  <c r="H8" i="13"/>
  <c r="G8" i="13"/>
  <c r="F8" i="13"/>
  <c r="I7" i="13"/>
  <c r="H7" i="13"/>
  <c r="G7" i="13"/>
  <c r="F7" i="13"/>
  <c r="I6" i="13"/>
  <c r="H6" i="13"/>
  <c r="G6" i="13"/>
  <c r="F6" i="13"/>
  <c r="I5" i="13"/>
  <c r="H5" i="13"/>
  <c r="G5" i="13"/>
  <c r="F5" i="13"/>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J31" i="4"/>
  <c r="I31" i="4"/>
  <c r="J51" i="4"/>
  <c r="I51" i="4"/>
  <c r="J71" i="4"/>
  <c r="I71" i="4"/>
  <c r="J35" i="4"/>
  <c r="I35" i="4"/>
  <c r="J9" i="4"/>
  <c r="I9" i="4"/>
  <c r="J39" i="4"/>
  <c r="I39" i="4"/>
  <c r="J11" i="4"/>
  <c r="I11" i="4"/>
  <c r="J24" i="4"/>
  <c r="I24" i="4"/>
  <c r="J45" i="4"/>
  <c r="I45" i="4"/>
  <c r="J8" i="4"/>
  <c r="I8" i="4"/>
  <c r="J37" i="4"/>
  <c r="I37" i="4"/>
  <c r="J19" i="4"/>
  <c r="I19" i="4"/>
  <c r="J67" i="4"/>
  <c r="I67" i="4"/>
  <c r="J43" i="4"/>
  <c r="I43" i="4"/>
  <c r="J36" i="4"/>
  <c r="I36" i="4"/>
  <c r="J74" i="4"/>
  <c r="I74" i="4"/>
  <c r="J61" i="4"/>
  <c r="I61" i="4"/>
  <c r="J17" i="4"/>
  <c r="I17" i="4"/>
  <c r="J5" i="4"/>
  <c r="I5" i="4"/>
  <c r="J66" i="4"/>
  <c r="I66" i="4"/>
  <c r="J69" i="4"/>
  <c r="I69" i="4"/>
  <c r="J62" i="4"/>
  <c r="I62" i="4"/>
  <c r="J58" i="4"/>
  <c r="I58" i="4"/>
  <c r="J50" i="4"/>
  <c r="I50" i="4"/>
  <c r="J32" i="4"/>
  <c r="I32" i="4"/>
  <c r="J21" i="4"/>
  <c r="I21" i="4"/>
  <c r="J34" i="4"/>
  <c r="I34" i="4"/>
  <c r="J63" i="4"/>
  <c r="I63" i="4"/>
  <c r="J46" i="4"/>
  <c r="I46" i="4"/>
  <c r="J20" i="4"/>
  <c r="I20" i="4"/>
  <c r="J13" i="4"/>
  <c r="I13" i="4"/>
  <c r="J41" i="4"/>
  <c r="I41" i="4"/>
  <c r="J10" i="4"/>
  <c r="I10" i="4"/>
  <c r="J60" i="4"/>
  <c r="I60" i="4"/>
  <c r="J53" i="4"/>
  <c r="I53" i="4"/>
  <c r="J6" i="4"/>
  <c r="I6" i="4"/>
  <c r="J29" i="4"/>
  <c r="I29" i="4"/>
  <c r="J18" i="4"/>
  <c r="I18" i="4"/>
  <c r="J72" i="4"/>
  <c r="I72" i="4"/>
  <c r="J22" i="4"/>
  <c r="I22" i="4"/>
  <c r="J14" i="4"/>
  <c r="I14" i="4"/>
  <c r="J33" i="4"/>
  <c r="I33" i="4"/>
  <c r="J55" i="4"/>
  <c r="I55" i="4"/>
  <c r="J42" i="4"/>
  <c r="I42" i="4"/>
  <c r="J23" i="4"/>
  <c r="I23" i="4"/>
  <c r="J25" i="4"/>
  <c r="I25" i="4"/>
  <c r="J44" i="4"/>
  <c r="I44" i="4"/>
  <c r="J40" i="4"/>
  <c r="I40" i="4"/>
  <c r="J27" i="4"/>
  <c r="I27" i="4"/>
  <c r="J65" i="4"/>
  <c r="I65" i="4"/>
  <c r="J52" i="4"/>
  <c r="I52" i="4"/>
  <c r="J26" i="4"/>
  <c r="I26" i="4"/>
  <c r="J59" i="4"/>
  <c r="I59" i="4"/>
  <c r="J73" i="4"/>
  <c r="I73" i="4"/>
  <c r="J70" i="4"/>
  <c r="I70" i="4"/>
  <c r="J75" i="4"/>
  <c r="I75" i="4"/>
  <c r="J15" i="4"/>
  <c r="I15" i="4"/>
  <c r="J57" i="4"/>
  <c r="I57" i="4"/>
  <c r="J49" i="4"/>
  <c r="I49" i="4"/>
  <c r="J48" i="4"/>
  <c r="I48" i="4"/>
  <c r="J76" i="4"/>
  <c r="I76" i="4"/>
  <c r="J12" i="4"/>
  <c r="I12" i="4"/>
  <c r="J56" i="4"/>
  <c r="I56" i="4"/>
  <c r="J47" i="4"/>
  <c r="I47" i="4"/>
  <c r="J30" i="4"/>
  <c r="I30" i="4"/>
  <c r="J68" i="4"/>
  <c r="I68" i="4"/>
  <c r="J64" i="4"/>
  <c r="I64" i="4"/>
  <c r="J38" i="4"/>
  <c r="I38" i="4"/>
  <c r="J16" i="4"/>
  <c r="I16" i="4"/>
  <c r="J28" i="4"/>
  <c r="I28" i="4"/>
  <c r="J54" i="4"/>
  <c r="I54" i="4"/>
  <c r="J7" i="4"/>
  <c r="I7" i="4"/>
  <c r="H30" i="3"/>
  <c r="I30" i="3" s="1"/>
  <c r="H51" i="3"/>
  <c r="I51" i="3" s="1"/>
  <c r="H70" i="3"/>
  <c r="I70" i="3" s="1"/>
  <c r="H49" i="3"/>
  <c r="I49" i="3" s="1"/>
  <c r="H74" i="3"/>
  <c r="I74" i="3" s="1"/>
  <c r="H81" i="3"/>
  <c r="I81" i="3" s="1"/>
  <c r="H47" i="3"/>
  <c r="I47" i="3" s="1"/>
  <c r="H77" i="3"/>
  <c r="I77" i="3" s="1"/>
  <c r="H52" i="3"/>
  <c r="I52" i="3" s="1"/>
  <c r="H14" i="3"/>
  <c r="I14" i="3" s="1"/>
  <c r="H18" i="3"/>
  <c r="I18" i="3" s="1"/>
  <c r="H28" i="3"/>
  <c r="I28" i="3" s="1"/>
  <c r="H85" i="3"/>
  <c r="I85" i="3" s="1"/>
  <c r="H45" i="3"/>
  <c r="I45" i="3" s="1"/>
  <c r="H33" i="3"/>
  <c r="I33" i="3" s="1"/>
  <c r="H27" i="3"/>
  <c r="I27" i="3" s="1"/>
  <c r="H48" i="3"/>
  <c r="I48" i="3" s="1"/>
  <c r="H20" i="3"/>
  <c r="I20" i="3" s="1"/>
  <c r="H63" i="3"/>
  <c r="I63" i="3" s="1"/>
  <c r="H16" i="3"/>
  <c r="I16" i="3" s="1"/>
  <c r="H26" i="3"/>
  <c r="I26" i="3" s="1"/>
  <c r="H55" i="3"/>
  <c r="I55" i="3" s="1"/>
  <c r="H42" i="3"/>
  <c r="I42" i="3" s="1"/>
  <c r="H62" i="3"/>
  <c r="I62" i="3" s="1"/>
  <c r="H46" i="3"/>
  <c r="I46" i="3" s="1"/>
  <c r="H7" i="3"/>
  <c r="I7" i="3" s="1"/>
  <c r="H58" i="3"/>
  <c r="I58" i="3" s="1"/>
  <c r="H25" i="3"/>
  <c r="I25" i="3" s="1"/>
  <c r="H94" i="3"/>
  <c r="I94" i="3" s="1"/>
  <c r="H89" i="3"/>
  <c r="I89" i="3" s="1"/>
  <c r="H53" i="3"/>
  <c r="I53" i="3" s="1"/>
  <c r="H61" i="3"/>
  <c r="I61" i="3" s="1"/>
  <c r="H90" i="3"/>
  <c r="I90" i="3" s="1"/>
  <c r="H78" i="3"/>
  <c r="I78" i="3" s="1"/>
  <c r="H82" i="3"/>
  <c r="I82" i="3" s="1"/>
  <c r="H60" i="3"/>
  <c r="I60" i="3" s="1"/>
  <c r="H13" i="3"/>
  <c r="I13" i="3" s="1"/>
  <c r="H56" i="3"/>
  <c r="I56" i="3" s="1"/>
  <c r="H73" i="3"/>
  <c r="I73" i="3" s="1"/>
  <c r="H59" i="3"/>
  <c r="I59" i="3" s="1"/>
  <c r="H57" i="3"/>
  <c r="I57" i="3" s="1"/>
  <c r="H67" i="3"/>
  <c r="I67" i="3" s="1"/>
  <c r="H19" i="3"/>
  <c r="I19" i="3" s="1"/>
  <c r="H21" i="3"/>
  <c r="I21" i="3" s="1"/>
  <c r="H91" i="3"/>
  <c r="I91" i="3" s="1"/>
  <c r="H10" i="3"/>
  <c r="I10" i="3" s="1"/>
  <c r="H6" i="3"/>
  <c r="I6" i="3" s="1"/>
  <c r="H22" i="3"/>
  <c r="I22" i="3" s="1"/>
  <c r="H31" i="3"/>
  <c r="I31" i="3" s="1"/>
  <c r="H76" i="3"/>
  <c r="I76" i="3" s="1"/>
  <c r="H54" i="3"/>
  <c r="I54" i="3" s="1"/>
  <c r="H39" i="3"/>
  <c r="I39" i="3" s="1"/>
  <c r="H43" i="3"/>
  <c r="I43" i="3" s="1"/>
  <c r="H87" i="3"/>
  <c r="I87" i="3" s="1"/>
  <c r="H41" i="3"/>
  <c r="I41" i="3" s="1"/>
  <c r="H35" i="3"/>
  <c r="I35" i="3" s="1"/>
  <c r="H93" i="3"/>
  <c r="I93" i="3" s="1"/>
  <c r="H17" i="3"/>
  <c r="I17" i="3" s="1"/>
  <c r="H84" i="3"/>
  <c r="I84" i="3" s="1"/>
  <c r="H71" i="3"/>
  <c r="I71" i="3" s="1"/>
  <c r="H24" i="3"/>
  <c r="I24" i="3" s="1"/>
  <c r="H66" i="3"/>
  <c r="I66" i="3" s="1"/>
  <c r="H23" i="3"/>
  <c r="I23" i="3" s="1"/>
  <c r="H69" i="3"/>
  <c r="I69" i="3" s="1"/>
  <c r="H83" i="3"/>
  <c r="I83" i="3" s="1"/>
  <c r="H37" i="3"/>
  <c r="I37" i="3" s="1"/>
  <c r="H15" i="3"/>
  <c r="I15" i="3" s="1"/>
  <c r="H65" i="3"/>
  <c r="I65" i="3" s="1"/>
  <c r="H12" i="3"/>
  <c r="I12" i="3" s="1"/>
  <c r="H9" i="3"/>
  <c r="I9" i="3" s="1"/>
  <c r="H5" i="3"/>
  <c r="I5" i="3" s="1"/>
  <c r="H92" i="3"/>
  <c r="I92" i="3" s="1"/>
  <c r="H50" i="3"/>
  <c r="I50" i="3" s="1"/>
  <c r="H29" i="3"/>
  <c r="I29" i="3" s="1"/>
  <c r="H68" i="3"/>
  <c r="I68" i="3" s="1"/>
  <c r="H44" i="3"/>
  <c r="I44" i="3" s="1"/>
  <c r="H34" i="3"/>
  <c r="I34" i="3" s="1"/>
  <c r="H36" i="3"/>
  <c r="I36" i="3" s="1"/>
  <c r="H72" i="3"/>
  <c r="I72" i="3" s="1"/>
  <c r="H8" i="3"/>
  <c r="I8" i="3" s="1"/>
  <c r="H88" i="3"/>
  <c r="I88" i="3" s="1"/>
  <c r="H86" i="3"/>
  <c r="I86" i="3" s="1"/>
  <c r="H79" i="3"/>
  <c r="I79" i="3" s="1"/>
  <c r="H11" i="3"/>
  <c r="I11" i="3" s="1"/>
  <c r="H38" i="3"/>
  <c r="I38" i="3" s="1"/>
  <c r="H40" i="3"/>
  <c r="I40" i="3" s="1"/>
  <c r="H75" i="3"/>
  <c r="I75" i="3" s="1"/>
  <c r="H80" i="3"/>
  <c r="I80" i="3" s="1"/>
  <c r="H32" i="3"/>
  <c r="I32" i="3" s="1"/>
  <c r="H64" i="3"/>
  <c r="I13" i="2"/>
  <c r="I53" i="2"/>
  <c r="I54" i="2"/>
  <c r="I28" i="2"/>
  <c r="I32" i="2"/>
  <c r="I15" i="2"/>
  <c r="I9" i="2"/>
  <c r="I37" i="2"/>
  <c r="I24" i="2"/>
  <c r="I31" i="2"/>
  <c r="I41" i="2"/>
  <c r="I36" i="2"/>
  <c r="I47" i="2"/>
  <c r="I42" i="2"/>
  <c r="I22" i="2"/>
  <c r="I8" i="2"/>
  <c r="I7" i="2"/>
  <c r="I6" i="2"/>
  <c r="I10" i="2"/>
  <c r="I52" i="2"/>
  <c r="I26" i="2"/>
  <c r="I5" i="2"/>
  <c r="I14" i="2"/>
  <c r="I12" i="2"/>
  <c r="I29" i="2"/>
  <c r="I11" i="2"/>
  <c r="I20" i="2"/>
  <c r="I19" i="2"/>
  <c r="I35" i="2"/>
  <c r="I43" i="2"/>
  <c r="I23" i="2"/>
  <c r="I50" i="2"/>
  <c r="I46" i="2"/>
  <c r="I30" i="2"/>
  <c r="I16" i="2"/>
  <c r="I38" i="2"/>
  <c r="I33" i="2"/>
  <c r="I45" i="2"/>
  <c r="I17" i="2"/>
  <c r="I34" i="2"/>
  <c r="I27" i="2"/>
  <c r="I51" i="2"/>
  <c r="I21" i="2"/>
  <c r="I48" i="2"/>
  <c r="I39" i="2"/>
  <c r="I18" i="2"/>
  <c r="I25" i="2"/>
  <c r="I49" i="2"/>
  <c r="I40" i="2"/>
  <c r="I44" i="2"/>
  <c r="B137" i="26" l="1"/>
  <c r="D137" i="26"/>
  <c r="E137" i="26"/>
  <c r="F137" i="26"/>
  <c r="B150" i="26"/>
  <c r="BA84" i="28" s="1"/>
  <c r="D150" i="26" a="1"/>
  <c r="BB84" i="28" s="1"/>
  <c r="C921" i="26"/>
  <c r="C923" i="26"/>
  <c r="D990" i="26"/>
  <c r="A993" i="26" s="1"/>
  <c r="A998" i="26"/>
  <c r="D976" i="26"/>
  <c r="F863" i="26"/>
  <c r="A864" i="26"/>
  <c r="S849" i="26"/>
  <c r="E896" i="26"/>
  <c r="D897" i="26"/>
  <c r="E897" i="26" s="1"/>
  <c r="A898" i="26" s="1"/>
  <c r="E869" i="26"/>
  <c r="C870" i="26"/>
  <c r="B871" i="26"/>
  <c r="E871" i="26"/>
  <c r="C872" i="26"/>
  <c r="E872" i="26"/>
  <c r="E879" i="26"/>
  <c r="S850" i="26"/>
  <c r="C869" i="26"/>
  <c r="B869" i="26"/>
  <c r="B870" i="26"/>
  <c r="E870" i="26"/>
  <c r="C871" i="26"/>
  <c r="B872" i="26"/>
  <c r="E873" i="26"/>
  <c r="S852" i="26"/>
  <c r="E880" i="26"/>
  <c r="E881" i="26"/>
  <c r="S853" i="26"/>
  <c r="S862" i="26"/>
  <c r="T862" i="26" s="1"/>
  <c r="E882" i="26"/>
  <c r="S870" i="26"/>
  <c r="T870" i="26" s="1"/>
  <c r="E885" i="26"/>
  <c r="S872" i="26"/>
  <c r="T872" i="26" s="1"/>
  <c r="E886" i="26"/>
  <c r="S874" i="26"/>
  <c r="T874" i="26" s="1"/>
  <c r="E887" i="26"/>
  <c r="B828" i="26"/>
  <c r="A830" i="26" s="1"/>
  <c r="D828" i="26"/>
  <c r="F828" i="26"/>
  <c r="B829" i="26"/>
  <c r="D829" i="26"/>
  <c r="F829" i="26"/>
  <c r="A818" i="26"/>
  <c r="A813" i="26"/>
  <c r="E704" i="26" a="1"/>
  <c r="G703" i="26" a="1"/>
  <c r="D703" i="26" a="1"/>
  <c r="E702" i="26" a="1"/>
  <c r="G701" i="26" a="1"/>
  <c r="D701" i="26" a="1"/>
  <c r="G700" i="26" a="1"/>
  <c r="D700" i="26" a="1"/>
  <c r="G699" i="26" a="1"/>
  <c r="B699" i="26" a="1"/>
  <c r="D704" i="26" a="1"/>
  <c r="F703" i="26" a="1"/>
  <c r="G702" i="26" a="1"/>
  <c r="C702" i="26" a="1"/>
  <c r="F701" i="26" a="1"/>
  <c r="B701" i="26" a="1"/>
  <c r="F700" i="26" a="1"/>
  <c r="F699" i="26" a="1"/>
  <c r="C699" i="26" a="1"/>
  <c r="B703" i="26" a="1"/>
  <c r="F704" i="26" a="1"/>
  <c r="C704" i="26" a="1"/>
  <c r="E703" i="26" a="1"/>
  <c r="F702" i="26" a="1"/>
  <c r="B702" i="26" a="1"/>
  <c r="E701" i="26" a="1"/>
  <c r="C701" i="26" a="1"/>
  <c r="E700" i="26" a="1"/>
  <c r="B700" i="26" a="1"/>
  <c r="D699" i="26" a="1"/>
  <c r="G704" i="26" a="1"/>
  <c r="B704" i="26" a="1"/>
  <c r="C703" i="26" a="1"/>
  <c r="D702" i="26" a="1"/>
  <c r="C700" i="26" a="1"/>
  <c r="E699" i="26" a="1"/>
  <c r="D697" i="26"/>
  <c r="A705" i="26" s="1"/>
  <c r="A679" i="26"/>
  <c r="F710" i="26"/>
  <c r="B711" i="26"/>
  <c r="A712" i="26"/>
  <c r="C587" i="26"/>
  <c r="D621" i="26" s="1"/>
  <c r="B587" i="26"/>
  <c r="D588" i="26"/>
  <c r="E588" i="26"/>
  <c r="F588" i="26"/>
  <c r="D589" i="26"/>
  <c r="E589" i="26"/>
  <c r="F589" i="26"/>
  <c r="D590" i="26"/>
  <c r="E590" i="26"/>
  <c r="F590" i="26"/>
  <c r="E591" i="26"/>
  <c r="D591" i="26"/>
  <c r="F591" i="26"/>
  <c r="D592" i="26"/>
  <c r="E592" i="26"/>
  <c r="F592" i="26"/>
  <c r="D593" i="26"/>
  <c r="E593" i="26"/>
  <c r="F593" i="26"/>
  <c r="E594" i="26"/>
  <c r="F594" i="26"/>
  <c r="D594" i="26"/>
  <c r="F595" i="26"/>
  <c r="E595" i="26"/>
  <c r="D595" i="26"/>
  <c r="D596" i="26"/>
  <c r="E596" i="26"/>
  <c r="F596" i="26"/>
  <c r="D597" i="26"/>
  <c r="E597" i="26"/>
  <c r="F597" i="26"/>
  <c r="B550" i="26"/>
  <c r="C548" i="26"/>
  <c r="D559" i="26"/>
  <c r="E555" i="26" s="1"/>
  <c r="B559" i="26"/>
  <c r="C557" i="26"/>
  <c r="B560" i="26"/>
  <c r="D581" i="26"/>
  <c r="F579" i="26"/>
  <c r="F581" i="26" s="1"/>
  <c r="A573" i="26"/>
  <c r="D522" i="26"/>
  <c r="A523" i="26" s="1"/>
  <c r="A481" i="26"/>
  <c r="A497" i="26"/>
  <c r="E375" i="26"/>
  <c r="E376" i="26"/>
  <c r="E377" i="26"/>
  <c r="E378" i="26"/>
  <c r="E379" i="26"/>
  <c r="E380" i="26"/>
  <c r="E381" i="26"/>
  <c r="E382" i="26"/>
  <c r="E383" i="26"/>
  <c r="E384" i="26"/>
  <c r="E401" i="26"/>
  <c r="E402" i="26"/>
  <c r="E403" i="26"/>
  <c r="E404" i="26"/>
  <c r="E405" i="26"/>
  <c r="E406" i="26"/>
  <c r="E460" i="26"/>
  <c r="C460" i="26"/>
  <c r="C462" i="26" s="1"/>
  <c r="B462" i="26"/>
  <c r="A452" i="26"/>
  <c r="E335" i="26" a="1"/>
  <c r="A347" i="26" s="1"/>
  <c r="H335" i="26"/>
  <c r="E279" i="26"/>
  <c r="E280" i="26"/>
  <c r="E281" i="26"/>
  <c r="E283" i="26"/>
  <c r="F315" i="26"/>
  <c r="I315" i="26"/>
  <c r="E315" i="26"/>
  <c r="G315" i="26"/>
  <c r="H315" i="26"/>
  <c r="B246" i="26"/>
  <c r="C246" i="26"/>
  <c r="D246" i="26"/>
  <c r="C266" i="26"/>
  <c r="B266" i="26" s="1"/>
  <c r="C267" i="26"/>
  <c r="B267" i="26" s="1"/>
  <c r="C268" i="26"/>
  <c r="B268" i="26" s="1"/>
  <c r="C269" i="26"/>
  <c r="B269" i="26" s="1"/>
  <c r="F237" i="26"/>
  <c r="A239" i="26"/>
  <c r="D242" i="26"/>
  <c r="F244" i="26"/>
  <c r="D244" i="26"/>
  <c r="C244" i="26"/>
  <c r="B244" i="26"/>
  <c r="C245" i="26"/>
  <c r="B245" i="26"/>
  <c r="D245" i="26"/>
  <c r="F245" i="26"/>
  <c r="C247" i="26"/>
  <c r="D247" i="26"/>
  <c r="B247" i="26"/>
  <c r="D248" i="26"/>
  <c r="C248" i="26"/>
  <c r="B248" i="26"/>
  <c r="D249" i="26"/>
  <c r="C249" i="26"/>
  <c r="B249" i="26"/>
  <c r="D250" i="26"/>
  <c r="C250" i="26"/>
  <c r="B250" i="26"/>
  <c r="D251" i="26"/>
  <c r="C251" i="26"/>
  <c r="B251" i="26"/>
  <c r="C252" i="26"/>
  <c r="D252" i="26"/>
  <c r="B252" i="26"/>
  <c r="B253" i="26"/>
  <c r="C253" i="26"/>
  <c r="D253" i="26"/>
  <c r="B209" i="26" a="1"/>
  <c r="C209" i="26" a="1"/>
  <c r="B208" i="26" a="1"/>
  <c r="A210" i="26" s="1"/>
  <c r="B179" i="26"/>
  <c r="C179" i="26"/>
  <c r="D179" i="26"/>
  <c r="A184" i="26" s="1"/>
  <c r="B180" i="26"/>
  <c r="C180" i="26"/>
  <c r="D180" i="26"/>
  <c r="B181" i="26"/>
  <c r="C181" i="26"/>
  <c r="D181" i="26"/>
  <c r="F181" i="26"/>
  <c r="F182" i="26"/>
  <c r="B182" i="26"/>
  <c r="C182" i="26"/>
  <c r="D182" i="26"/>
  <c r="B183" i="26"/>
  <c r="C183" i="26"/>
  <c r="D183" i="26"/>
  <c r="F183" i="26"/>
  <c r="C191" i="26"/>
  <c r="D191" i="26" s="1"/>
  <c r="A192" i="26" s="1"/>
  <c r="B30" i="26"/>
  <c r="C30" i="26"/>
  <c r="A35" i="26" s="1"/>
  <c r="D30" i="26"/>
  <c r="B31" i="26"/>
  <c r="C31" i="26"/>
  <c r="D31" i="26"/>
  <c r="F31" i="26"/>
  <c r="D32" i="26"/>
  <c r="B32" i="26"/>
  <c r="C32" i="26"/>
  <c r="B33" i="26"/>
  <c r="C33" i="26"/>
  <c r="D33" i="26"/>
  <c r="B34" i="26"/>
  <c r="C34" i="26"/>
  <c r="D34" i="26"/>
  <c r="C59" i="26"/>
  <c r="C60" i="26"/>
  <c r="C61" i="26"/>
  <c r="B138" i="26"/>
  <c r="D138" i="26"/>
  <c r="E138" i="26"/>
  <c r="F138" i="26"/>
  <c r="D139" i="26"/>
  <c r="E139" i="26"/>
  <c r="F139" i="26"/>
  <c r="B139" i="26"/>
  <c r="B149" i="26"/>
  <c r="BA83" i="28" s="1"/>
  <c r="D149" i="26" a="1"/>
  <c r="BB83" i="28" s="1"/>
  <c r="B151" i="26"/>
  <c r="BA85" i="28" s="1"/>
  <c r="D151" i="26" a="1"/>
  <c r="BB85" i="28" s="1"/>
  <c r="D152" i="26" a="1"/>
  <c r="BB86" i="28" s="1"/>
  <c r="B152" i="26"/>
  <c r="BA86" i="28" s="1"/>
  <c r="B154" i="26"/>
  <c r="D60" i="24"/>
  <c r="C60" i="24"/>
  <c r="B60" i="24"/>
  <c r="D59" i="24"/>
  <c r="B59" i="24"/>
  <c r="C59" i="24" s="1"/>
  <c r="D58" i="24"/>
  <c r="C58" i="24"/>
  <c r="B58" i="24"/>
  <c r="D57" i="24"/>
  <c r="B57" i="24"/>
  <c r="C57" i="24" s="1"/>
  <c r="D56" i="24"/>
  <c r="B56" i="24"/>
  <c r="C56" i="24" s="1"/>
  <c r="K31" i="4"/>
  <c r="M31" i="4"/>
  <c r="K51" i="4"/>
  <c r="M51" i="4"/>
  <c r="K71" i="4"/>
  <c r="M71" i="4"/>
  <c r="K35" i="4"/>
  <c r="M35" i="4"/>
  <c r="K9" i="4"/>
  <c r="M9" i="4"/>
  <c r="K39" i="4"/>
  <c r="M39" i="4"/>
  <c r="K11" i="4"/>
  <c r="M11" i="4"/>
  <c r="K24" i="4"/>
  <c r="M24" i="4"/>
  <c r="K45" i="4"/>
  <c r="M45" i="4"/>
  <c r="K8" i="4"/>
  <c r="M8" i="4"/>
  <c r="K37" i="4"/>
  <c r="M37" i="4"/>
  <c r="K19" i="4"/>
  <c r="M19" i="4"/>
  <c r="K67" i="4"/>
  <c r="M67" i="4"/>
  <c r="K43" i="4"/>
  <c r="M43" i="4"/>
  <c r="K36" i="4"/>
  <c r="M36" i="4"/>
  <c r="K74" i="4"/>
  <c r="M74" i="4"/>
  <c r="K61" i="4"/>
  <c r="M61" i="4"/>
  <c r="K17" i="4"/>
  <c r="M17" i="4"/>
  <c r="K5" i="4"/>
  <c r="M5" i="4"/>
  <c r="K66" i="4"/>
  <c r="M66" i="4"/>
  <c r="K69" i="4"/>
  <c r="M69" i="4"/>
  <c r="K62" i="4"/>
  <c r="M62" i="4"/>
  <c r="K58" i="4"/>
  <c r="M58" i="4"/>
  <c r="K50" i="4"/>
  <c r="M50" i="4"/>
  <c r="K32" i="4"/>
  <c r="M32" i="4"/>
  <c r="K21" i="4"/>
  <c r="M21" i="4"/>
  <c r="K34" i="4"/>
  <c r="M34" i="4"/>
  <c r="K63" i="4"/>
  <c r="M63" i="4"/>
  <c r="K46" i="4"/>
  <c r="M46" i="4"/>
  <c r="K20" i="4"/>
  <c r="M20" i="4"/>
  <c r="K13" i="4"/>
  <c r="M13" i="4"/>
  <c r="K41" i="4"/>
  <c r="M41" i="4"/>
  <c r="K10" i="4"/>
  <c r="M10" i="4"/>
  <c r="K60" i="4"/>
  <c r="M60" i="4"/>
  <c r="K53" i="4"/>
  <c r="M53" i="4"/>
  <c r="K6" i="4"/>
  <c r="M6" i="4"/>
  <c r="K29" i="4"/>
  <c r="M29" i="4"/>
  <c r="K18" i="4"/>
  <c r="M18" i="4"/>
  <c r="K72" i="4"/>
  <c r="M72" i="4"/>
  <c r="K22" i="4"/>
  <c r="M22" i="4"/>
  <c r="K14" i="4"/>
  <c r="M14" i="4"/>
  <c r="K33" i="4"/>
  <c r="M33" i="4"/>
  <c r="K55" i="4"/>
  <c r="M55" i="4"/>
  <c r="K42" i="4"/>
  <c r="M42" i="4"/>
  <c r="K23" i="4"/>
  <c r="M23" i="4"/>
  <c r="K25" i="4"/>
  <c r="M25" i="4"/>
  <c r="K44" i="4"/>
  <c r="M44" i="4"/>
  <c r="K40" i="4"/>
  <c r="M40" i="4"/>
  <c r="K27" i="4"/>
  <c r="M27" i="4"/>
  <c r="K65" i="4"/>
  <c r="M65" i="4"/>
  <c r="K52" i="4"/>
  <c r="M52" i="4"/>
  <c r="K26" i="4"/>
  <c r="M26" i="4"/>
  <c r="K59" i="4"/>
  <c r="M59" i="4"/>
  <c r="K73" i="4"/>
  <c r="M73" i="4"/>
  <c r="K70" i="4"/>
  <c r="M70" i="4"/>
  <c r="K75" i="4"/>
  <c r="M75" i="4"/>
  <c r="K15" i="4"/>
  <c r="M15" i="4"/>
  <c r="K57" i="4"/>
  <c r="M57" i="4"/>
  <c r="K49" i="4"/>
  <c r="M49" i="4"/>
  <c r="K48" i="4"/>
  <c r="M48" i="4"/>
  <c r="K76" i="4"/>
  <c r="M76" i="4"/>
  <c r="K12" i="4"/>
  <c r="M12" i="4"/>
  <c r="K56" i="4"/>
  <c r="M56" i="4"/>
  <c r="K47" i="4"/>
  <c r="M47" i="4"/>
  <c r="K30" i="4"/>
  <c r="M30" i="4"/>
  <c r="K68" i="4"/>
  <c r="M68" i="4"/>
  <c r="K64" i="4"/>
  <c r="M64" i="4"/>
  <c r="K38" i="4"/>
  <c r="M38" i="4"/>
  <c r="K16" i="4"/>
  <c r="M16" i="4"/>
  <c r="K28" i="4"/>
  <c r="M28" i="4"/>
  <c r="K54" i="4"/>
  <c r="M54" i="4"/>
  <c r="K7" i="4"/>
  <c r="M7" i="4"/>
  <c r="D124" i="23" a="1"/>
  <c r="E129" i="23" s="1"/>
  <c r="D125" i="23" a="1"/>
  <c r="D126" i="23" a="1"/>
  <c r="D69" i="22"/>
  <c r="C69" i="22"/>
  <c r="B69" i="22"/>
  <c r="J13" i="2"/>
  <c r="K13" i="2"/>
  <c r="J53" i="2"/>
  <c r="K53" i="2"/>
  <c r="J54" i="2"/>
  <c r="K54" i="2"/>
  <c r="J28" i="2"/>
  <c r="K28" i="2"/>
  <c r="J32" i="2"/>
  <c r="K32" i="2"/>
  <c r="J15" i="2"/>
  <c r="K15" i="2"/>
  <c r="J9" i="2"/>
  <c r="K9" i="2"/>
  <c r="J37" i="2"/>
  <c r="K37" i="2"/>
  <c r="J24" i="2"/>
  <c r="K24" i="2"/>
  <c r="J31" i="2"/>
  <c r="K31" i="2"/>
  <c r="J41" i="2"/>
  <c r="K41" i="2"/>
  <c r="J36" i="2"/>
  <c r="K36" i="2"/>
  <c r="J47" i="2"/>
  <c r="K47" i="2"/>
  <c r="J42" i="2"/>
  <c r="K42" i="2"/>
  <c r="J22" i="2"/>
  <c r="K22" i="2"/>
  <c r="J8" i="2"/>
  <c r="K8" i="2"/>
  <c r="J7" i="2"/>
  <c r="K7" i="2"/>
  <c r="J6" i="2"/>
  <c r="K6" i="2"/>
  <c r="J10" i="2"/>
  <c r="K10" i="2"/>
  <c r="J52" i="2"/>
  <c r="K52" i="2"/>
  <c r="J26" i="2"/>
  <c r="K26" i="2"/>
  <c r="J5" i="2"/>
  <c r="K5" i="2"/>
  <c r="J14" i="2"/>
  <c r="K14" i="2"/>
  <c r="J12" i="2"/>
  <c r="K12" i="2"/>
  <c r="J29" i="2"/>
  <c r="K29" i="2"/>
  <c r="J11" i="2"/>
  <c r="K11" i="2"/>
  <c r="J20" i="2"/>
  <c r="K20" i="2"/>
  <c r="J19" i="2"/>
  <c r="K19" i="2"/>
  <c r="J35" i="2"/>
  <c r="K35" i="2"/>
  <c r="J43" i="2"/>
  <c r="K43" i="2"/>
  <c r="J23" i="2"/>
  <c r="K23" i="2"/>
  <c r="J50" i="2"/>
  <c r="K50" i="2"/>
  <c r="J46" i="2"/>
  <c r="K46" i="2"/>
  <c r="J30" i="2"/>
  <c r="K30" i="2"/>
  <c r="J16" i="2"/>
  <c r="K16" i="2"/>
  <c r="J38" i="2"/>
  <c r="K38" i="2"/>
  <c r="J33" i="2"/>
  <c r="K33" i="2"/>
  <c r="J45" i="2"/>
  <c r="K45" i="2"/>
  <c r="J17" i="2"/>
  <c r="K17" i="2"/>
  <c r="J34" i="2"/>
  <c r="K34" i="2"/>
  <c r="J27" i="2"/>
  <c r="K27" i="2"/>
  <c r="J51" i="2"/>
  <c r="K51" i="2"/>
  <c r="J21" i="2"/>
  <c r="K21" i="2"/>
  <c r="J48" i="2"/>
  <c r="K48" i="2"/>
  <c r="J39" i="2"/>
  <c r="K39" i="2"/>
  <c r="J18" i="2"/>
  <c r="K18" i="2"/>
  <c r="J25" i="2"/>
  <c r="K25" i="2"/>
  <c r="J49" i="2"/>
  <c r="K49" i="2"/>
  <c r="J40" i="2"/>
  <c r="K40" i="2"/>
  <c r="J44" i="2"/>
  <c r="K44" i="2"/>
  <c r="K40" i="13"/>
  <c r="J40" i="13"/>
  <c r="J39" i="13"/>
  <c r="K39" i="13"/>
  <c r="K37" i="13"/>
  <c r="J37" i="13"/>
  <c r="J36" i="13"/>
  <c r="K36" i="13"/>
  <c r="J35" i="13"/>
  <c r="K35" i="13"/>
  <c r="J34" i="13"/>
  <c r="K34" i="13"/>
  <c r="J33" i="13"/>
  <c r="K33" i="13"/>
  <c r="J32" i="13"/>
  <c r="K32" i="13"/>
  <c r="J30" i="13"/>
  <c r="K30" i="13"/>
  <c r="J29" i="13"/>
  <c r="K29" i="13"/>
  <c r="K28" i="13"/>
  <c r="J28" i="13"/>
  <c r="K27" i="13"/>
  <c r="J27" i="13"/>
  <c r="K26" i="13"/>
  <c r="J26" i="13"/>
  <c r="K24" i="13"/>
  <c r="J24" i="13"/>
  <c r="J23" i="13"/>
  <c r="K23" i="13"/>
  <c r="J22" i="13"/>
  <c r="K22" i="13"/>
  <c r="J21" i="13"/>
  <c r="K21" i="13"/>
  <c r="K20" i="13"/>
  <c r="J20" i="13"/>
  <c r="K19" i="13"/>
  <c r="J19" i="13"/>
  <c r="K18" i="13"/>
  <c r="J18" i="13"/>
  <c r="K17" i="13"/>
  <c r="J17" i="13"/>
  <c r="J16" i="13"/>
  <c r="K16" i="13"/>
  <c r="J15" i="13"/>
  <c r="K15" i="13"/>
  <c r="K14" i="13"/>
  <c r="J14" i="13"/>
  <c r="J13" i="13"/>
  <c r="K13" i="13"/>
  <c r="K12" i="13"/>
  <c r="J12" i="13"/>
  <c r="J11" i="13"/>
  <c r="K11" i="13"/>
  <c r="K10" i="13"/>
  <c r="J10" i="13"/>
  <c r="K9" i="13"/>
  <c r="J9" i="13"/>
  <c r="K8" i="13"/>
  <c r="J8" i="13"/>
  <c r="J7" i="13"/>
  <c r="K7" i="13"/>
  <c r="J6" i="13"/>
  <c r="K6" i="13"/>
  <c r="K5" i="13"/>
  <c r="J5" i="13"/>
  <c r="C913" i="26" l="1"/>
  <c r="D901" i="26"/>
  <c r="B903" i="26"/>
  <c r="C903" i="26"/>
  <c r="F901" i="26"/>
  <c r="T849" i="26"/>
  <c r="D903" i="26" s="1"/>
  <c r="B904" i="26"/>
  <c r="C904" i="26"/>
  <c r="T850" i="26"/>
  <c r="D904" i="26" s="1"/>
  <c r="C873" i="26"/>
  <c r="D869" i="26"/>
  <c r="C905" i="26"/>
  <c r="B905" i="26"/>
  <c r="T852" i="26"/>
  <c r="D905" i="26" s="1"/>
  <c r="B906" i="26"/>
  <c r="C906" i="26"/>
  <c r="T853" i="26"/>
  <c r="D906" i="26" s="1"/>
  <c r="B873" i="26"/>
  <c r="E587" i="26"/>
  <c r="A600" i="26"/>
  <c r="F587" i="26"/>
  <c r="B621" i="26"/>
  <c r="D587" i="26"/>
  <c r="F621" i="26" s="1"/>
  <c r="F550" i="26"/>
  <c r="C549" i="26"/>
  <c r="C547" i="26"/>
  <c r="C546" i="26"/>
  <c r="C550" i="26" s="1"/>
  <c r="A551" i="26"/>
  <c r="E560" i="26"/>
  <c r="E558" i="26"/>
  <c r="E557" i="26"/>
  <c r="E556" i="26"/>
  <c r="E559" i="26" s="1"/>
  <c r="C558" i="26"/>
  <c r="C556" i="26"/>
  <c r="C555" i="26"/>
  <c r="C559" i="26" s="1"/>
  <c r="A561" i="26"/>
  <c r="C560" i="26"/>
  <c r="A582" i="26"/>
  <c r="A463" i="26"/>
  <c r="E462" i="26"/>
  <c r="J315" i="26"/>
  <c r="F279" i="26" a="1"/>
  <c r="G279" i="26" s="1"/>
  <c r="D279" i="26" a="1"/>
  <c r="F281" i="26" a="1"/>
  <c r="G281" i="26" s="1"/>
  <c r="D281" i="26" a="1"/>
  <c r="F283" i="26" a="1"/>
  <c r="G283" i="26" s="1"/>
  <c r="D283" i="26" a="1"/>
  <c r="A270" i="26"/>
  <c r="F266" i="26"/>
  <c r="E266" i="26"/>
  <c r="D266" i="26"/>
  <c r="F267" i="26"/>
  <c r="E267" i="26"/>
  <c r="D267" i="26"/>
  <c r="F268" i="26"/>
  <c r="E268" i="26"/>
  <c r="D268" i="26"/>
  <c r="F269" i="26"/>
  <c r="E269" i="26"/>
  <c r="D269" i="26"/>
  <c r="A254" i="26"/>
  <c r="D153" i="26"/>
  <c r="B153" i="26"/>
  <c r="D156" i="26"/>
  <c r="D154" i="26"/>
  <c r="A62" i="26"/>
  <c r="A140" i="26"/>
  <c r="A46" i="22"/>
  <c r="E21" i="29" l="1"/>
  <c r="B108" i="28"/>
  <c r="D871" i="26"/>
  <c r="D872" i="26"/>
  <c r="D870" i="26"/>
  <c r="D873" i="26" s="1"/>
  <c r="D913" i="26"/>
  <c r="B913" i="26"/>
  <c r="A914" i="26" s="1"/>
  <c r="B624" i="26"/>
  <c r="B625" i="26"/>
  <c r="B627" i="26"/>
  <c r="B626" i="26"/>
  <c r="B623" i="26"/>
  <c r="A628" i="26" s="1"/>
  <c r="K321" i="26" a="1"/>
  <c r="K316" i="26" a="1"/>
  <c r="K324" i="26" a="1"/>
  <c r="K327" i="26" a="1"/>
  <c r="K314" i="26" a="1"/>
  <c r="K317" i="26" a="1"/>
  <c r="K319" i="26" a="1"/>
  <c r="K323" i="26" a="1"/>
  <c r="K326" i="26" a="1"/>
  <c r="K313" i="26" a="1"/>
  <c r="K318" i="26" a="1"/>
  <c r="K320" i="26" a="1"/>
  <c r="K322" i="26" a="1"/>
  <c r="K325" i="26" a="1"/>
  <c r="K329" i="26" a="1"/>
  <c r="K308" i="26" a="1"/>
  <c r="K312" i="26" a="1"/>
  <c r="K293" i="26" a="1"/>
  <c r="K295" i="26" a="1"/>
  <c r="K297" i="26" a="1"/>
  <c r="K300" i="26" a="1"/>
  <c r="K303" i="26" a="1"/>
  <c r="A330" i="26"/>
  <c r="F280" i="26" a="1"/>
  <c r="G280" i="26" s="1"/>
  <c r="K306" i="26" a="1"/>
  <c r="K304" i="26" a="1"/>
  <c r="K307" i="26" a="1"/>
  <c r="K292" i="26" a="1"/>
  <c r="K299" i="26" a="1"/>
  <c r="K302" i="26" a="1"/>
  <c r="K311" i="26" a="1"/>
  <c r="K315" i="26" a="1"/>
  <c r="K290" i="26" a="1"/>
  <c r="K310" i="26" a="1"/>
  <c r="K291" i="26" a="1"/>
  <c r="K294" i="26" a="1"/>
  <c r="K296" i="26" a="1"/>
  <c r="K298" i="26" a="1"/>
  <c r="K301" i="26" a="1"/>
  <c r="K328" i="26" a="1"/>
  <c r="E282" i="26"/>
  <c r="D280" i="26" a="1"/>
  <c r="K309" i="26" a="1"/>
  <c r="K305" i="26" a="1"/>
  <c r="A157" i="26"/>
  <c r="P108" i="28" s="1"/>
  <c r="B155" i="26"/>
  <c r="B156" i="26" l="1"/>
  <c r="BB87" i="28"/>
  <c r="F282" i="26" a="1"/>
  <c r="G282" i="26" s="1"/>
  <c r="D282" i="26" a="1"/>
  <c r="A284" i="26"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<sst xmlns="http://schemas.openxmlformats.org/spreadsheetml/2006/main" count="5457" uniqueCount="2057">
  <si>
    <t>20 CONSTRUCTION DATA ANALYSIS PROBLEMS — FOR WT PARTNERSHIP</t>
  </si>
  <si>
    <t>Prepared by Gulzar | Data Analyst | Construction-Tech Domain</t>
  </si>
  <si>
    <t>#</t>
  </si>
  <si>
    <t>Problem Title</t>
  </si>
  <si>
    <t>Domain</t>
  </si>
  <si>
    <t>Sheet Name</t>
  </si>
  <si>
    <t>Rows in Dataset</t>
  </si>
  <si>
    <t>Project Cost Overrun Analysis</t>
  </si>
  <si>
    <t>Cost Management</t>
  </si>
  <si>
    <t>P01-CostOverrun</t>
  </si>
  <si>
    <t>Material Price Fluctuation Tracker</t>
  </si>
  <si>
    <t>Procurement</t>
  </si>
  <si>
    <t>P02-MaterialPrice</t>
  </si>
  <si>
    <t>BOQ Variance Analysis</t>
  </si>
  <si>
    <t>Quantity Surveying</t>
  </si>
  <si>
    <t>P03-BOQVariance</t>
  </si>
  <si>
    <t>Labour Productivity by Trade</t>
  </si>
  <si>
    <t>Resource Management</t>
  </si>
  <si>
    <t>P04-LabourProd</t>
  </si>
  <si>
    <t>Tender Bid Comparison</t>
  </si>
  <si>
    <t>Commercial</t>
  </si>
  <si>
    <t>P05-TenderBid</t>
  </si>
  <si>
    <t>Project Delay Root Cause</t>
  </si>
  <si>
    <t>Project Management</t>
  </si>
  <si>
    <t>P06-DelayRCA</t>
  </si>
  <si>
    <t>Monthly Cash Flow Tracking</t>
  </si>
  <si>
    <t>Financial Management</t>
  </si>
  <si>
    <t>P07-CashFlow</t>
  </si>
  <si>
    <t>Change Order Impact Analysis</t>
  </si>
  <si>
    <t>Contract Management</t>
  </si>
  <si>
    <t>P08-ChangeOrder</t>
  </si>
  <si>
    <t>Subcontractor Performance Scorecard</t>
  </si>
  <si>
    <t>Vendor Management</t>
  </si>
  <si>
    <t>P09-SubconScore</t>
  </si>
  <si>
    <t>Construction Cost Benchmarking</t>
  </si>
  <si>
    <t>Cost Intelligence</t>
  </si>
  <si>
    <t>P10-Benchmark</t>
  </si>
  <si>
    <t>Risk Register &amp; Probability Matrix</t>
  </si>
  <si>
    <t>Risk Management</t>
  </si>
  <si>
    <t>P11-RiskRegister</t>
  </si>
  <si>
    <t>Earned Value Management (EVM)</t>
  </si>
  <si>
    <t>Project Controls</t>
  </si>
  <si>
    <t>P12-EVM</t>
  </si>
  <si>
    <t>Material Wastage Analysis</t>
  </si>
  <si>
    <t>Sustainability</t>
  </si>
  <si>
    <t>P13-Wastage</t>
  </si>
  <si>
    <t>Site Safety Incident Tracker</t>
  </si>
  <si>
    <t>HSE</t>
  </si>
  <si>
    <t>P14-Safety</t>
  </si>
  <si>
    <t>Equipment Utilization Analysis</t>
  </si>
  <si>
    <t>Asset Management</t>
  </si>
  <si>
    <t>P15-Equipment</t>
  </si>
  <si>
    <t>Procurement Lead Time Analysis</t>
  </si>
  <si>
    <t>Supply Chain</t>
  </si>
  <si>
    <t>P16-LeadTime</t>
  </si>
  <si>
    <t>Defect &amp; Snag List Analysis</t>
  </si>
  <si>
    <t>Quality Management</t>
  </si>
  <si>
    <t>P17-Defects</t>
  </si>
  <si>
    <t>Carbon Footprint per Project</t>
  </si>
  <si>
    <t>ESG / Sustainability</t>
  </si>
  <si>
    <t>P18-Carbon</t>
  </si>
  <si>
    <t>Client Payment Aging Tracker</t>
  </si>
  <si>
    <t>Accounts Receivable</t>
  </si>
  <si>
    <t>P19-PaymentAging</t>
  </si>
  <si>
    <t>Multi-Project Portfolio Dashboard Data</t>
  </si>
  <si>
    <t>Portfolio Management</t>
  </si>
  <si>
    <t>P20-Portfolio</t>
  </si>
  <si>
    <t>Scenario: WT manages 50 projects across India, Australia &amp; NZ. Analyse which projects exceeded budget and why.</t>
  </si>
  <si>
    <t>Project_ID</t>
  </si>
  <si>
    <t>Project_Name</t>
  </si>
  <si>
    <t>City</t>
  </si>
  <si>
    <t>Country</t>
  </si>
  <si>
    <t>Type</t>
  </si>
  <si>
    <t>Budgeted_Cost_USD</t>
  </si>
  <si>
    <t>Actual_Cost_USD</t>
  </si>
  <si>
    <t>Duration_Months</t>
  </si>
  <si>
    <t>Variance_USD</t>
  </si>
  <si>
    <t>Variance_%</t>
  </si>
  <si>
    <t>WT-1000</t>
  </si>
  <si>
    <t>Commercial Office Che-1</t>
  </si>
  <si>
    <t>Chennai</t>
  </si>
  <si>
    <t>India</t>
  </si>
  <si>
    <t>Commercial Office</t>
  </si>
  <si>
    <t>WT-1001</t>
  </si>
  <si>
    <t>IT Park Che-2</t>
  </si>
  <si>
    <t>IT Park</t>
  </si>
  <si>
    <t>WT-1002</t>
  </si>
  <si>
    <t>Data Centre Mum-3</t>
  </si>
  <si>
    <t>Mumbai</t>
  </si>
  <si>
    <t>Data Centre</t>
  </si>
  <si>
    <t>WT-1003</t>
  </si>
  <si>
    <t>IT Park Mum-4</t>
  </si>
  <si>
    <t>WT-1004</t>
  </si>
  <si>
    <t>Hospital Can-5</t>
  </si>
  <si>
    <t>Canberra</t>
  </si>
  <si>
    <t>Australia</t>
  </si>
  <si>
    <t>Hospital</t>
  </si>
  <si>
    <t>WT-1005</t>
  </si>
  <si>
    <t>Industrial Warehouse Pun-6</t>
  </si>
  <si>
    <t>Pune</t>
  </si>
  <si>
    <t>Industrial Warehouse</t>
  </si>
  <si>
    <t>WT-1006</t>
  </si>
  <si>
    <t>Data Centre Bri-7</t>
  </si>
  <si>
    <t>Brisbane</t>
  </si>
  <si>
    <t>WT-1007</t>
  </si>
  <si>
    <t>Hotel Per-8</t>
  </si>
  <si>
    <t>Perth</t>
  </si>
  <si>
    <t>Hotel</t>
  </si>
  <si>
    <t>WT-1008</t>
  </si>
  <si>
    <t>Data Centre Chr-9</t>
  </si>
  <si>
    <t>Christchurch</t>
  </si>
  <si>
    <t>New Zealand</t>
  </si>
  <si>
    <t>WT-1009</t>
  </si>
  <si>
    <t>Hotel Per-10</t>
  </si>
  <si>
    <t>WT-1010</t>
  </si>
  <si>
    <t>University Campus Ahm-11</t>
  </si>
  <si>
    <t>Ahmedabad</t>
  </si>
  <si>
    <t>University Campus</t>
  </si>
  <si>
    <t>WT-1011</t>
  </si>
  <si>
    <t>University Campus Ade-12</t>
  </si>
  <si>
    <t>Adelaide</t>
  </si>
  <si>
    <t>WT-1012</t>
  </si>
  <si>
    <t>Shopping Mall Pun-13</t>
  </si>
  <si>
    <t>Shopping Mall</t>
  </si>
  <si>
    <t>WT-1013</t>
  </si>
  <si>
    <t>Hotel Del-14</t>
  </si>
  <si>
    <t>Delhi</t>
  </si>
  <si>
    <t>WT-1014</t>
  </si>
  <si>
    <t>Metro Station Pun-15</t>
  </si>
  <si>
    <t>Metro Station</t>
  </si>
  <si>
    <t>WT-1015</t>
  </si>
  <si>
    <t>Hospital Chr-16</t>
  </si>
  <si>
    <t>WT-1016</t>
  </si>
  <si>
    <t>Commercial Office Ahm-17</t>
  </si>
  <si>
    <t>WT-1017</t>
  </si>
  <si>
    <t>Hotel Kol-18</t>
  </si>
  <si>
    <t>Kolkata</t>
  </si>
  <si>
    <t>WT-1018</t>
  </si>
  <si>
    <t>Metro Station Ade-19</t>
  </si>
  <si>
    <t>WT-1019</t>
  </si>
  <si>
    <t>IT Park Chr-20</t>
  </si>
  <si>
    <t>WT-1020</t>
  </si>
  <si>
    <t>Industrial Warehouse Ham-21</t>
  </si>
  <si>
    <t>Hamilton</t>
  </si>
  <si>
    <t>WT-1021</t>
  </si>
  <si>
    <t>Metro Station Wel-22</t>
  </si>
  <si>
    <t>Wellington</t>
  </si>
  <si>
    <t>WT-1022</t>
  </si>
  <si>
    <t>Residential Tower Hyd-23</t>
  </si>
  <si>
    <t>Hyderabad</t>
  </si>
  <si>
    <t>Residential Tower</t>
  </si>
  <si>
    <t>WT-1023</t>
  </si>
  <si>
    <t>Hotel Ade-24</t>
  </si>
  <si>
    <t>WT-1024</t>
  </si>
  <si>
    <t>Data Centre Mum-25</t>
  </si>
  <si>
    <t>WT-1025</t>
  </si>
  <si>
    <t>Data Centre Bri-26</t>
  </si>
  <si>
    <t>WT-1026</t>
  </si>
  <si>
    <t>University Campus Mum-27</t>
  </si>
  <si>
    <t>WT-1027</t>
  </si>
  <si>
    <t>University Campus Che-28</t>
  </si>
  <si>
    <t>WT-1028</t>
  </si>
  <si>
    <t>Residential Tower Per-29</t>
  </si>
  <si>
    <t>WT-1029</t>
  </si>
  <si>
    <t>Hotel Mum-30</t>
  </si>
  <si>
    <t>WT-1030</t>
  </si>
  <si>
    <t>University Campus Per-31</t>
  </si>
  <si>
    <t>WT-1031</t>
  </si>
  <si>
    <t>Data Centre Del-32</t>
  </si>
  <si>
    <t>WT-1032</t>
  </si>
  <si>
    <t>Residential Tower Hyd-33</t>
  </si>
  <si>
    <t>WT-1033</t>
  </si>
  <si>
    <t>IT Park Syd-34</t>
  </si>
  <si>
    <t>Sydney</t>
  </si>
  <si>
    <t>WT-1034</t>
  </si>
  <si>
    <t>University Campus Kol-35</t>
  </si>
  <si>
    <t>WT-1035</t>
  </si>
  <si>
    <t>Metro Station Per-36</t>
  </si>
  <si>
    <t>WT-1036</t>
  </si>
  <si>
    <t>Data Centre Ahm-37</t>
  </si>
  <si>
    <t>WT-1037</t>
  </si>
  <si>
    <t>Hotel Ahm-38</t>
  </si>
  <si>
    <t>WT-1038</t>
  </si>
  <si>
    <t>Hospital Ban-39</t>
  </si>
  <si>
    <t>Bangalore</t>
  </si>
  <si>
    <t>WT-1039</t>
  </si>
  <si>
    <t>IT Park Del-40</t>
  </si>
  <si>
    <t>WT-1040</t>
  </si>
  <si>
    <t>IT Park Kol-41</t>
  </si>
  <si>
    <t>WT-1041</t>
  </si>
  <si>
    <t>Metro Station Ham-42</t>
  </si>
  <si>
    <t>WT-1042</t>
  </si>
  <si>
    <t>Data Centre Kol-43</t>
  </si>
  <si>
    <t>WT-1043</t>
  </si>
  <si>
    <t>Industrial Warehouse Can-44</t>
  </si>
  <si>
    <t>WT-1044</t>
  </si>
  <si>
    <t>Commercial Office Che-45</t>
  </si>
  <si>
    <t>WT-1045</t>
  </si>
  <si>
    <t>Hospital Ahm-46</t>
  </si>
  <si>
    <t>WT-1046</t>
  </si>
  <si>
    <t>Residential Tower Can-47</t>
  </si>
  <si>
    <t>WT-1047</t>
  </si>
  <si>
    <t>IT Park Gol-48</t>
  </si>
  <si>
    <t>Gold Coast</t>
  </si>
  <si>
    <t>WT-1048</t>
  </si>
  <si>
    <t>Data Centre Mum-49</t>
  </si>
  <si>
    <t>WT-1049</t>
  </si>
  <si>
    <t>Hospital Auc-50</t>
  </si>
  <si>
    <t>Auckland</t>
  </si>
  <si>
    <t>ANALYSIS QUESTIONS</t>
  </si>
  <si>
    <t>Q1. Which country has the highest average cost overrun percentage?</t>
  </si>
  <si>
    <t>Q2. What is the total budget vs actual cost for each project type? Which type has the worst variance?</t>
  </si>
  <si>
    <t>Q3. Identify the Top 5 projects with the highest absolute cost overrun (in USD).</t>
  </si>
  <si>
    <t>Q4. Is there a correlation between project duration and cost overrun percentage?</t>
  </si>
  <si>
    <t>Q5. Create a pivot table showing average overrun % by Country × Project Type.</t>
  </si>
  <si>
    <t>Q6. What percentage of projects came in under budget vs over budget?</t>
  </si>
  <si>
    <t>Q7. Which city has the most cost-efficient project delivery?</t>
  </si>
  <si>
    <t>PROBLEM 2: Material Price Fluctuation Tracker</t>
  </si>
  <si>
    <t>Scenario: Track monthly prices of 15 key construction materials over 18 months to forecast procurement budgets.</t>
  </si>
  <si>
    <t>Month</t>
  </si>
  <si>
    <t>Material</t>
  </si>
  <si>
    <t>Unit</t>
  </si>
  <si>
    <t>Base_Price_USD</t>
  </si>
  <si>
    <t>Current_Price_USD</t>
  </si>
  <si>
    <t>Supplier_City</t>
  </si>
  <si>
    <t>Price_Change_%</t>
  </si>
  <si>
    <t>2024-01</t>
  </si>
  <si>
    <t>Glass (DGU)</t>
  </si>
  <si>
    <t>sqm</t>
  </si>
  <si>
    <t>Cement (OPC 53)</t>
  </si>
  <si>
    <t>MT</t>
  </si>
  <si>
    <t>Waterproofing Membrane</t>
  </si>
  <si>
    <t>Melbourne</t>
  </si>
  <si>
    <t>Aluminium Facade</t>
  </si>
  <si>
    <t>Plywood (Marine)</t>
  </si>
  <si>
    <t>sheet</t>
  </si>
  <si>
    <t>2024-02</t>
  </si>
  <si>
    <t>Sand (River)</t>
  </si>
  <si>
    <t>cum</t>
  </si>
  <si>
    <t>Copper Wiring</t>
  </si>
  <si>
    <t>m</t>
  </si>
  <si>
    <t>PVC Conduits</t>
  </si>
  <si>
    <t>2024-03</t>
  </si>
  <si>
    <t>Bricks (AAC)</t>
  </si>
  <si>
    <t>1000 nos</t>
  </si>
  <si>
    <t>Structural Steel</t>
  </si>
  <si>
    <t>TMT Steel (Fe500)</t>
  </si>
  <si>
    <t>2024-04</t>
  </si>
  <si>
    <t>2024-05</t>
  </si>
  <si>
    <t>Tiles (Vitrified)</t>
  </si>
  <si>
    <t>RMC M30</t>
  </si>
  <si>
    <t>2024-06</t>
  </si>
  <si>
    <t>2024-07</t>
  </si>
  <si>
    <t>2024-08</t>
  </si>
  <si>
    <t>2024-09</t>
  </si>
  <si>
    <t>Aggregate (20mm)</t>
  </si>
  <si>
    <t>2024-10</t>
  </si>
  <si>
    <t>2024-11</t>
  </si>
  <si>
    <t>2024-12</t>
  </si>
  <si>
    <t>2025-01</t>
  </si>
  <si>
    <t>MS Pipes</t>
  </si>
  <si>
    <t>2025-02</t>
  </si>
  <si>
    <t>2025-03</t>
  </si>
  <si>
    <t>2025-04</t>
  </si>
  <si>
    <t>2025-05</t>
  </si>
  <si>
    <t>2025-06</t>
  </si>
  <si>
    <t>Q1. Which material has shown the highest average price increase over 18 months?</t>
  </si>
  <si>
    <t>Q2. Create a line chart showing monthly price trend for TMT Steel and Cement.</t>
  </si>
  <si>
    <t>Q3. Which country has the most volatile material pricing? (Use standard deviation)</t>
  </si>
  <si>
    <t>Q4. Identify the top 3 materials with price increase &gt; 15% — flag them as procurement risk.</t>
  </si>
  <si>
    <t>Q5. What is the average price change % by material across all months?</t>
  </si>
  <si>
    <t>Q6. If WT needs 500 MT of steel next quarter, what is the projected cost based on the trend?</t>
  </si>
  <si>
    <t>PROBLEM 3: BOQ (Bill of Quantities) Variance Analysis</t>
  </si>
  <si>
    <t>Scenario: Compare original BOQ quantities vs actual measured quantities for 3 projects across 20 trade items each.</t>
  </si>
  <si>
    <t>Trade</t>
  </si>
  <si>
    <t>BOQ_Item</t>
  </si>
  <si>
    <t>BOQ_Qty</t>
  </si>
  <si>
    <t>Actual_Qty</t>
  </si>
  <si>
    <t>Rate_USD</t>
  </si>
  <si>
    <t>BOQ_Amount_USD</t>
  </si>
  <si>
    <t>Actual_Amount_USD</t>
  </si>
  <si>
    <t>Qty_Variance</t>
  </si>
  <si>
    <t>Qty_Variance_%</t>
  </si>
  <si>
    <t>WT-DC-MUM-01</t>
  </si>
  <si>
    <t>Civil &amp; Structure</t>
  </si>
  <si>
    <t>Excavation</t>
  </si>
  <si>
    <t>kg</t>
  </si>
  <si>
    <t>PCC</t>
  </si>
  <si>
    <t>RCC Columns</t>
  </si>
  <si>
    <t>nos</t>
  </si>
  <si>
    <t>RCC Slabs</t>
  </si>
  <si>
    <t>rmt</t>
  </si>
  <si>
    <t>Brickwork</t>
  </si>
  <si>
    <t>Plastering</t>
  </si>
  <si>
    <t>MEP - HVAC</t>
  </si>
  <si>
    <t>AHU Supply</t>
  </si>
  <si>
    <t>Ductwork</t>
  </si>
  <si>
    <t>set</t>
  </si>
  <si>
    <t>Chilled Water Piping</t>
  </si>
  <si>
    <t>Insulation</t>
  </si>
  <si>
    <t>MEP - Electrical</t>
  </si>
  <si>
    <t>Cable Trays</t>
  </si>
  <si>
    <t>HT Cables</t>
  </si>
  <si>
    <t>LT Panels</t>
  </si>
  <si>
    <t>DB Boards</t>
  </si>
  <si>
    <t>Conduit Laying</t>
  </si>
  <si>
    <t>MEP - Plumbing</t>
  </si>
  <si>
    <t>CPVC Piping</t>
  </si>
  <si>
    <t>GI Piping</t>
  </si>
  <si>
    <t>Sanitary Fixtures</t>
  </si>
  <si>
    <t>Drainage Piping</t>
  </si>
  <si>
    <t>Interior Fit-out</t>
  </si>
  <si>
    <t>False Ceiling</t>
  </si>
  <si>
    <t>Partition Walls</t>
  </si>
  <si>
    <t>Flooring</t>
  </si>
  <si>
    <t>Painting</t>
  </si>
  <si>
    <t>Joinery Work</t>
  </si>
  <si>
    <t>WT-OFF-SYD-02</t>
  </si>
  <si>
    <t>WT-HOS-AKL-03</t>
  </si>
  <si>
    <t>Q1. Which project has the highest total BOQ variance (in USD)?</t>
  </si>
  <si>
    <t>Q2. Which trade consistently exceeds BOQ quantities across all 3 projects?</t>
  </si>
  <si>
    <t>Q3. Identify the top 5 BOQ items with the highest quantity variance %.</t>
  </si>
  <si>
    <t>Q4. What is the total financial impact of quantity overruns per project?</t>
  </si>
  <si>
    <t>Q5. Create a waterfall chart showing BOQ Amount vs Actual Amount per trade for Project WT-DC-MUM-01.</t>
  </si>
  <si>
    <t>Q6. Which items have negative variance (came under BOQ)? What's the saving?</t>
  </si>
  <si>
    <t>PROBLEM 4: Labour Productivity by Trade</t>
  </si>
  <si>
    <t>Scenario: Track daily output of workers across trades to identify low-productivity areas.</t>
  </si>
  <si>
    <t>Date</t>
  </si>
  <si>
    <t>Workers_Count</t>
  </si>
  <si>
    <t>Hours_Worked</t>
  </si>
  <si>
    <t>Output_Qty</t>
  </si>
  <si>
    <t>Output_Unit</t>
  </si>
  <si>
    <t>Productivity_per_ManHour</t>
  </si>
  <si>
    <t>2025-03-01</t>
  </si>
  <si>
    <t>Facade &amp; Cladding</t>
  </si>
  <si>
    <t>2025-02-06</t>
  </si>
  <si>
    <t>2025-02-01</t>
  </si>
  <si>
    <t>WT-ITP-BLR-04</t>
  </si>
  <si>
    <t>2025-01-21</t>
  </si>
  <si>
    <t>2025-03-10</t>
  </si>
  <si>
    <t>2025-05-30</t>
  </si>
  <si>
    <t>2025-03-24</t>
  </si>
  <si>
    <t>2025-04-27</t>
  </si>
  <si>
    <t>2025-05-19</t>
  </si>
  <si>
    <t>2025-01-14</t>
  </si>
  <si>
    <t>2025-01-08</t>
  </si>
  <si>
    <t>2025-02-27</t>
  </si>
  <si>
    <t>2025-04-17</t>
  </si>
  <si>
    <t>2025-01-18</t>
  </si>
  <si>
    <t>2025-03-18</t>
  </si>
  <si>
    <t>2025-03-23</t>
  </si>
  <si>
    <t>2025-01-10</t>
  </si>
  <si>
    <t>2025-05-15</t>
  </si>
  <si>
    <t>2025-05-01</t>
  </si>
  <si>
    <t>2025-05-05</t>
  </si>
  <si>
    <t>2025-01-24</t>
  </si>
  <si>
    <t>2025-03-25</t>
  </si>
  <si>
    <t>2025-02-13</t>
  </si>
  <si>
    <t>2025-04-29</t>
  </si>
  <si>
    <t>2025-05-20</t>
  </si>
  <si>
    <t>2025-03-06</t>
  </si>
  <si>
    <t>2025-04-08</t>
  </si>
  <si>
    <t>2025-01-03</t>
  </si>
  <si>
    <t>2025-02-26</t>
  </si>
  <si>
    <t>2025-01-11</t>
  </si>
  <si>
    <t>2025-02-12</t>
  </si>
  <si>
    <t>2025-01-20</t>
  </si>
  <si>
    <t>2025-04-12</t>
  </si>
  <si>
    <t>2025-04-06</t>
  </si>
  <si>
    <t>2025-01-17</t>
  </si>
  <si>
    <t>2025-03-19</t>
  </si>
  <si>
    <t>2025-04-05</t>
  </si>
  <si>
    <t>2025-03-13</t>
  </si>
  <si>
    <t>2025-01-26</t>
  </si>
  <si>
    <t>2025-03-12</t>
  </si>
  <si>
    <t>2025-01-04</t>
  </si>
  <si>
    <t>2025-05-09</t>
  </si>
  <si>
    <t>2025-05-16</t>
  </si>
  <si>
    <t>2025-04-21</t>
  </si>
  <si>
    <t>2025-03-22</t>
  </si>
  <si>
    <t>2025-05-31</t>
  </si>
  <si>
    <t>2025-03-15</t>
  </si>
  <si>
    <t>2025-01-28</t>
  </si>
  <si>
    <t>2025-05-24</t>
  </si>
  <si>
    <t>2025-03-31</t>
  </si>
  <si>
    <t>2025-05-26</t>
  </si>
  <si>
    <t>2025-04-24</t>
  </si>
  <si>
    <t>2025-01-15</t>
  </si>
  <si>
    <t>2025-01-30</t>
  </si>
  <si>
    <t>2025-01-23</t>
  </si>
  <si>
    <t>2025-03-21</t>
  </si>
  <si>
    <t>2025-02-09</t>
  </si>
  <si>
    <t>2025-04-01</t>
  </si>
  <si>
    <t>2025-05-27</t>
  </si>
  <si>
    <t>2025-03-29</t>
  </si>
  <si>
    <t>2025-04-04</t>
  </si>
  <si>
    <t>2025-01-22</t>
  </si>
  <si>
    <t>Q1. Which trade has the highest average productivity per man-hour?</t>
  </si>
  <si>
    <t>Q2. Is there a productivity difference between projects in India vs Australia?</t>
  </si>
  <si>
    <t>Q3. Create a box plot (or summary stats) of productivity by trade — which has the most variance?</t>
  </si>
  <si>
    <t>Q4. On which dates did productivity drop below the 25th percentile? What was the trade?</t>
  </si>
  <si>
    <t>Q5. What is the optimal crew size (workers count) that maximises productivity for Civil &amp; Structure?</t>
  </si>
  <si>
    <t>Q6. Calculate total man-hours consumed per project and rank them.</t>
  </si>
  <si>
    <t>PROBLEM 5: Tender Bid Comparison Analysis</t>
  </si>
  <si>
    <t>Scenario: WT received bids from multiple contractors for 5 trade packages. Evaluate and rank.</t>
  </si>
  <si>
    <t>Tender_Package</t>
  </si>
  <si>
    <t>Contractor</t>
  </si>
  <si>
    <t>Bid_Amount_USD</t>
  </si>
  <si>
    <t>Completion_Days</t>
  </si>
  <si>
    <t>Experience_Years</t>
  </si>
  <si>
    <t>Safety_Rating</t>
  </si>
  <si>
    <t>Past_Defect_Rate_%</t>
  </si>
  <si>
    <t>Financial_Score</t>
  </si>
  <si>
    <t>Structural Works</t>
  </si>
  <si>
    <t>Contractor-K</t>
  </si>
  <si>
    <t>Contractor-D</t>
  </si>
  <si>
    <t>Contractor-N</t>
  </si>
  <si>
    <t>Contractor-A</t>
  </si>
  <si>
    <t>Contractor-M</t>
  </si>
  <si>
    <t>Contractor-H</t>
  </si>
  <si>
    <t>MEP Package</t>
  </si>
  <si>
    <t>Contractor-O</t>
  </si>
  <si>
    <t>Contractor-B</t>
  </si>
  <si>
    <t>Contractor-F</t>
  </si>
  <si>
    <t>Facade &amp; Glazing</t>
  </si>
  <si>
    <t>Contractor-J</t>
  </si>
  <si>
    <t>Contractor-I</t>
  </si>
  <si>
    <t>Contractor-E</t>
  </si>
  <si>
    <t>Landscaping</t>
  </si>
  <si>
    <t>Contractor-L</t>
  </si>
  <si>
    <t>Q1. For each tender package, which contractor offers the lowest bid? Is the lowest bid always the best choice?</t>
  </si>
  <si>
    <t>Q2. Create a weighted scoring model: 40% Price, 20% Time, 15% Experience, 15% Safety, 10% Defects. Rank contractors.</t>
  </si>
  <si>
    <t>Q3. Which contractors appear in multiple packages? What is their average bid competitiveness?</t>
  </si>
  <si>
    <t>Q4. Identify any contractor with Safety Rating &lt; 3.5 AND Defect Rate &gt; 8% — flag as HIGH RISK.</t>
  </si>
  <si>
    <t>Q5. What is the total project cost if WT selects the lowest bidder for each package vs the highest-scored bidder?</t>
  </si>
  <si>
    <t>Q6. Create a scatter plot of Bid Amount vs Completion Days — are cheaper bids slower?</t>
  </si>
  <si>
    <t>PROBLEM 6: Project Delay Root Cause Analysis</t>
  </si>
  <si>
    <t>Scenario: Analyse delay events across projects to find systemic causes.</t>
  </si>
  <si>
    <t>Delay_ID</t>
  </si>
  <si>
    <t>Activity</t>
  </si>
  <si>
    <t>Planned_Start</t>
  </si>
  <si>
    <t>Actual_Start</t>
  </si>
  <si>
    <t>Delay_Days</t>
  </si>
  <si>
    <t>Cause_Category</t>
  </si>
  <si>
    <t>Responsible_Party</t>
  </si>
  <si>
    <t>DLY-100</t>
  </si>
  <si>
    <t>WT-RES-MEL-05</t>
  </si>
  <si>
    <t>Superstructure</t>
  </si>
  <si>
    <t>2024-08-11</t>
  </si>
  <si>
    <t>2024-09-23</t>
  </si>
  <si>
    <t>Permit Delay</t>
  </si>
  <si>
    <t>Force Majeure</t>
  </si>
  <si>
    <t>DLY-101</t>
  </si>
  <si>
    <t>Handover Prep</t>
  </si>
  <si>
    <t>2024-12-03</t>
  </si>
  <si>
    <t>2024-12-22</t>
  </si>
  <si>
    <t>Client Decision Pending</t>
  </si>
  <si>
    <t>DLY-102</t>
  </si>
  <si>
    <t>Testing &amp; Commissioning</t>
  </si>
  <si>
    <t>2024-11-16</t>
  </si>
  <si>
    <t>2024-12-01</t>
  </si>
  <si>
    <t>Material Delay</t>
  </si>
  <si>
    <t>DLY-103</t>
  </si>
  <si>
    <t>Facade Installation</t>
  </si>
  <si>
    <t>2024-11-08</t>
  </si>
  <si>
    <t>2024-11-10</t>
  </si>
  <si>
    <t>Authority</t>
  </si>
  <si>
    <t>DLY-104</t>
  </si>
  <si>
    <t>WT-MAL-DEL-06</t>
  </si>
  <si>
    <t>2024-10-26</t>
  </si>
  <si>
    <t>Labour Shortage</t>
  </si>
  <si>
    <t>DLY-105</t>
  </si>
  <si>
    <t>2024-08-06</t>
  </si>
  <si>
    <t>2024-09-01</t>
  </si>
  <si>
    <t>Equipment Breakdown</t>
  </si>
  <si>
    <t>DLY-106</t>
  </si>
  <si>
    <t>Landscape</t>
  </si>
  <si>
    <t>2024-12-20</t>
  </si>
  <si>
    <t>2024-12-25</t>
  </si>
  <si>
    <t>Consultant</t>
  </si>
  <si>
    <t>DLY-107</t>
  </si>
  <si>
    <t>External Works</t>
  </si>
  <si>
    <t>2024-10-25</t>
  </si>
  <si>
    <t>2024-12-08</t>
  </si>
  <si>
    <t>RFI Response Delay</t>
  </si>
  <si>
    <t>DLY-108</t>
  </si>
  <si>
    <t>2024-12-26</t>
  </si>
  <si>
    <t>2025-01-07</t>
  </si>
  <si>
    <t>Subcontractor</t>
  </si>
  <si>
    <t>DLY-109</t>
  </si>
  <si>
    <t>Foundation</t>
  </si>
  <si>
    <t>2024-05-03</t>
  </si>
  <si>
    <t>2024-06-06</t>
  </si>
  <si>
    <t>DLY-110</t>
  </si>
  <si>
    <t>MEP Rough-In</t>
  </si>
  <si>
    <t>2024-08-13</t>
  </si>
  <si>
    <t>2024-08-28</t>
  </si>
  <si>
    <t>DLY-111</t>
  </si>
  <si>
    <t>2024-07-07</t>
  </si>
  <si>
    <t>2024-07-20</t>
  </si>
  <si>
    <t>DLY-112</t>
  </si>
  <si>
    <t>Interior Works</t>
  </si>
  <si>
    <t>2024-11-29</t>
  </si>
  <si>
    <t>2024-12-05</t>
  </si>
  <si>
    <t>DLY-113</t>
  </si>
  <si>
    <t>2024-05-27</t>
  </si>
  <si>
    <t>2024-07-09</t>
  </si>
  <si>
    <t>Rework</t>
  </si>
  <si>
    <t>DLY-114</t>
  </si>
  <si>
    <t>2024-12-14</t>
  </si>
  <si>
    <t>2024-12-17</t>
  </si>
  <si>
    <t>Design Change</t>
  </si>
  <si>
    <t>Client</t>
  </si>
  <si>
    <t>DLY-115</t>
  </si>
  <si>
    <t>2024-06-16</t>
  </si>
  <si>
    <t>2024-07-23</t>
  </si>
  <si>
    <t>Subcontractor Default</t>
  </si>
  <si>
    <t>DLY-116</t>
  </si>
  <si>
    <t>2024-12-24</t>
  </si>
  <si>
    <t>DLY-117</t>
  </si>
  <si>
    <t>2024-07-31</t>
  </si>
  <si>
    <t>2024-08-30</t>
  </si>
  <si>
    <t>DLY-118</t>
  </si>
  <si>
    <t>2024-10-12</t>
  </si>
  <si>
    <t>DLY-119</t>
  </si>
  <si>
    <t>2024-05-13</t>
  </si>
  <si>
    <t>2024-06-03</t>
  </si>
  <si>
    <t>DLY-120</t>
  </si>
  <si>
    <t>2024-05-06</t>
  </si>
  <si>
    <t>2024-05-30</t>
  </si>
  <si>
    <t>DLY-121</t>
  </si>
  <si>
    <t>2024-07-02</t>
  </si>
  <si>
    <t>2024-08-01</t>
  </si>
  <si>
    <t>DLY-122</t>
  </si>
  <si>
    <t>2024-05-12</t>
  </si>
  <si>
    <t>2024-05-19</t>
  </si>
  <si>
    <t>DLY-123</t>
  </si>
  <si>
    <t>2024-07-06</t>
  </si>
  <si>
    <t>2024-07-17</t>
  </si>
  <si>
    <t>DLY-124</t>
  </si>
  <si>
    <t>2024-05-21</t>
  </si>
  <si>
    <t>2024-06-22</t>
  </si>
  <si>
    <t>DLY-125</t>
  </si>
  <si>
    <t>2024-11-12</t>
  </si>
  <si>
    <t>DLY-126</t>
  </si>
  <si>
    <t>2024-07-16</t>
  </si>
  <si>
    <t>DLY-127</t>
  </si>
  <si>
    <t>2024-08-24</t>
  </si>
  <si>
    <t>DLY-128</t>
  </si>
  <si>
    <t>2024-11-30</t>
  </si>
  <si>
    <t>DLY-129</t>
  </si>
  <si>
    <t>2024-09-04</t>
  </si>
  <si>
    <t>2024-09-30</t>
  </si>
  <si>
    <t>DLY-130</t>
  </si>
  <si>
    <t>Weather</t>
  </si>
  <si>
    <t>DLY-131</t>
  </si>
  <si>
    <t>2024-04-07</t>
  </si>
  <si>
    <t>2024-05-02</t>
  </si>
  <si>
    <t>DLY-132</t>
  </si>
  <si>
    <t>2024-04-30</t>
  </si>
  <si>
    <t>2024-05-09</t>
  </si>
  <si>
    <t>DLY-133</t>
  </si>
  <si>
    <t>2024-12-11</t>
  </si>
  <si>
    <t>DLY-134</t>
  </si>
  <si>
    <t>2024-09-22</t>
  </si>
  <si>
    <t>DLY-135</t>
  </si>
  <si>
    <t>2024-08-18</t>
  </si>
  <si>
    <t>2024-09-18</t>
  </si>
  <si>
    <t>DLY-136</t>
  </si>
  <si>
    <t>2024-05-11</t>
  </si>
  <si>
    <t>2024-06-01</t>
  </si>
  <si>
    <t>DLY-137</t>
  </si>
  <si>
    <t>2024-09-08</t>
  </si>
  <si>
    <t>DLY-138</t>
  </si>
  <si>
    <t>2024-11-06</t>
  </si>
  <si>
    <t>2024-12-13</t>
  </si>
  <si>
    <t>DLY-139</t>
  </si>
  <si>
    <t>2024-08-17</t>
  </si>
  <si>
    <t>DLY-140</t>
  </si>
  <si>
    <t>2024-03-14</t>
  </si>
  <si>
    <t>2024-04-22</t>
  </si>
  <si>
    <t>DLY-141</t>
  </si>
  <si>
    <t>2024-03-27</t>
  </si>
  <si>
    <t>2024-05-04</t>
  </si>
  <si>
    <t>DLY-142</t>
  </si>
  <si>
    <t>2024-05-15</t>
  </si>
  <si>
    <t>2024-06-28</t>
  </si>
  <si>
    <t>DLY-143</t>
  </si>
  <si>
    <t>2024-06-08</t>
  </si>
  <si>
    <t>DLY-144</t>
  </si>
  <si>
    <t>2024-09-28</t>
  </si>
  <si>
    <t>DLY-145</t>
  </si>
  <si>
    <t>2024-04-01</t>
  </si>
  <si>
    <t>2024-04-10</t>
  </si>
  <si>
    <t>DLY-146</t>
  </si>
  <si>
    <t>2024-10-31</t>
  </si>
  <si>
    <t>2024-12-04</t>
  </si>
  <si>
    <t>DLY-147</t>
  </si>
  <si>
    <t>2024-11-28</t>
  </si>
  <si>
    <t>DLY-148</t>
  </si>
  <si>
    <t>2024-06-07</t>
  </si>
  <si>
    <t>2024-06-23</t>
  </si>
  <si>
    <t>DLY-149</t>
  </si>
  <si>
    <t>2024-08-19</t>
  </si>
  <si>
    <t>DLY-150</t>
  </si>
  <si>
    <t>2024-11-01</t>
  </si>
  <si>
    <t>2024-11-24</t>
  </si>
  <si>
    <t>DLY-151</t>
  </si>
  <si>
    <t>DLY-152</t>
  </si>
  <si>
    <t>2024-05-14</t>
  </si>
  <si>
    <t>2024-06-02</t>
  </si>
  <si>
    <t>DLY-153</t>
  </si>
  <si>
    <t>2024-10-13</t>
  </si>
  <si>
    <t>DLY-154</t>
  </si>
  <si>
    <t>2024-06-12</t>
  </si>
  <si>
    <t>DLY-155</t>
  </si>
  <si>
    <t>2024-04-25</t>
  </si>
  <si>
    <t>2024-06-04</t>
  </si>
  <si>
    <t>DLY-156</t>
  </si>
  <si>
    <t>2024-11-27</t>
  </si>
  <si>
    <t>2024-12-12</t>
  </si>
  <si>
    <t>DLY-157</t>
  </si>
  <si>
    <t>2024-09-17</t>
  </si>
  <si>
    <t>DLY-158</t>
  </si>
  <si>
    <t>2024-12-07</t>
  </si>
  <si>
    <t>2024-12-18</t>
  </si>
  <si>
    <t>DLY-159</t>
  </si>
  <si>
    <t>2024-06-11</t>
  </si>
  <si>
    <t>2024-06-30</t>
  </si>
  <si>
    <t>Q1. What is the most frequent delay cause category? Create a Pareto chart.</t>
  </si>
  <si>
    <t>Q2. Which responsible party causes the most total delay days?</t>
  </si>
  <si>
    <t>Q3. For Project WT-DC-MUM-01, what is the cumulative delay and the dominant cause?</t>
  </si>
  <si>
    <t>Q4. Is there a seasonal pattern in delays? (Hint: check Weather delays by month)</t>
  </si>
  <si>
    <t>Q5. Which activity is most delay-prone across all projects?</t>
  </si>
  <si>
    <t>Q6. Calculate the estimated cost of delay per project if the daily burn rate is $15,000.</t>
  </si>
  <si>
    <t>PROBLEM 7: Monthly Cash Flow Tracking</t>
  </si>
  <si>
    <t>Scenario: Track planned vs actual cash inflow/outflow for 4 projects over 12 months.</t>
  </si>
  <si>
    <t>Planned_Inflow_USD</t>
  </si>
  <si>
    <t>Actual_Inflow_USD</t>
  </si>
  <si>
    <t>Planned_Outflow_USD</t>
  </si>
  <si>
    <t>Actual_Outflow_USD</t>
  </si>
  <si>
    <t>Net_CashFlow_USD</t>
  </si>
  <si>
    <t>Q1. Which project had negative net cash flow for the most months?</t>
  </si>
  <si>
    <t>Q2. What is the cumulative cash position for each project at end of December 2024?</t>
  </si>
  <si>
    <t>Q3. Create a line chart of monthly net cash flow for all 4 projects.</t>
  </si>
  <si>
    <t>Q4. In which months did actual inflow fall below 70% of planned? Flag as collection risk.</t>
  </si>
  <si>
    <t>Q5. What is the total cash surplus/deficit across all projects?</t>
  </si>
  <si>
    <t>Q6. Calculate the cash flow forecast accuracy: (Actual Inflow / Planned Inflow) × 100.</t>
  </si>
  <si>
    <t>PROBLEM 8: Change Order Impact Analysis</t>
  </si>
  <si>
    <t>Scenario: Evaluate cost and time impact of change orders (VOs) on ongoing projects.</t>
  </si>
  <si>
    <t>VO_Number</t>
  </si>
  <si>
    <t>Description</t>
  </si>
  <si>
    <t>Initiated_By</t>
  </si>
  <si>
    <t>Cost_Impact_USD</t>
  </si>
  <si>
    <t>Time_Impact_Days</t>
  </si>
  <si>
    <t>Status</t>
  </si>
  <si>
    <t>Date_Raised</t>
  </si>
  <si>
    <t>VO-200</t>
  </si>
  <si>
    <t>Additional MEP riser</t>
  </si>
  <si>
    <t>Architect</t>
  </si>
  <si>
    <t>Pending</t>
  </si>
  <si>
    <t>2024-04-15</t>
  </si>
  <si>
    <t>VO-201</t>
  </si>
  <si>
    <t>Design revision - column grid</t>
  </si>
  <si>
    <t>VO-202</t>
  </si>
  <si>
    <t>Upgraded HVAC system</t>
  </si>
  <si>
    <t>VO-203</t>
  </si>
  <si>
    <t>Client-requested floor upgrade</t>
  </si>
  <si>
    <t>Rejected</t>
  </si>
  <si>
    <t>2024-05-01</t>
  </si>
  <si>
    <t>VO-204</t>
  </si>
  <si>
    <t>Basement depth increase</t>
  </si>
  <si>
    <t>2024-07-30</t>
  </si>
  <si>
    <t>VO-205</t>
  </si>
  <si>
    <t>Scope reduction - parking level</t>
  </si>
  <si>
    <t>Under Review</t>
  </si>
  <si>
    <t>2024-10-11</t>
  </si>
  <si>
    <t>VO-206</t>
  </si>
  <si>
    <t>VO-207</t>
  </si>
  <si>
    <t>VO-208</t>
  </si>
  <si>
    <t>Regulatory compliance addition</t>
  </si>
  <si>
    <t>2024-01-30</t>
  </si>
  <si>
    <t>VO-209</t>
  </si>
  <si>
    <t>2024-04-14</t>
  </si>
  <si>
    <t>VO-210</t>
  </si>
  <si>
    <t>Revised electrical layout</t>
  </si>
  <si>
    <t>2024-02-17</t>
  </si>
  <si>
    <t>VO-211</t>
  </si>
  <si>
    <t>Approved</t>
  </si>
  <si>
    <t>2024-04-06</t>
  </si>
  <si>
    <t>VO-212</t>
  </si>
  <si>
    <t>Extra waterproofing layer</t>
  </si>
  <si>
    <t>2024-01-08</t>
  </si>
  <si>
    <t>VO-213</t>
  </si>
  <si>
    <t>VO-214</t>
  </si>
  <si>
    <t>2024-07-13</t>
  </si>
  <si>
    <t>VO-215</t>
  </si>
  <si>
    <t>Facade material change</t>
  </si>
  <si>
    <t>2024-09-19</t>
  </si>
  <si>
    <t>VO-216</t>
  </si>
  <si>
    <t>VO-217</t>
  </si>
  <si>
    <t>Added fire escape staircase</t>
  </si>
  <si>
    <t>2024-01-09</t>
  </si>
  <si>
    <t>VO-218</t>
  </si>
  <si>
    <t>2024-06-17</t>
  </si>
  <si>
    <t>VO-219</t>
  </si>
  <si>
    <t>VO-220</t>
  </si>
  <si>
    <t>Green roof addition</t>
  </si>
  <si>
    <t>VO-221</t>
  </si>
  <si>
    <t>2024-09-25</t>
  </si>
  <si>
    <t>VO-222</t>
  </si>
  <si>
    <t>Solar panel installation</t>
  </si>
  <si>
    <t>VO-223</t>
  </si>
  <si>
    <t>2024-04-21</t>
  </si>
  <si>
    <t>VO-224</t>
  </si>
  <si>
    <t>VO-225</t>
  </si>
  <si>
    <t>2024-10-01</t>
  </si>
  <si>
    <t>VO-226</t>
  </si>
  <si>
    <t>2024-02-19</t>
  </si>
  <si>
    <t>VO-227</t>
  </si>
  <si>
    <t>VO-228</t>
  </si>
  <si>
    <t>Extra server room cooling</t>
  </si>
  <si>
    <t>2024-08-23</t>
  </si>
  <si>
    <t>VO-229</t>
  </si>
  <si>
    <t>VO-230</t>
  </si>
  <si>
    <t>2024-11-22</t>
  </si>
  <si>
    <t>VO-231</t>
  </si>
  <si>
    <t>2024-11-26</t>
  </si>
  <si>
    <t>VO-232</t>
  </si>
  <si>
    <t>Additional lift shaft</t>
  </si>
  <si>
    <t>2024-04-27</t>
  </si>
  <si>
    <t>VO-233</t>
  </si>
  <si>
    <t>2024-12-16</t>
  </si>
  <si>
    <t>VO-234</t>
  </si>
  <si>
    <t>2024-04-16</t>
  </si>
  <si>
    <t>VO-235</t>
  </si>
  <si>
    <t>2024-03-24</t>
  </si>
  <si>
    <t>VO-236</t>
  </si>
  <si>
    <t>2024-07-15</t>
  </si>
  <si>
    <t>VO-237</t>
  </si>
  <si>
    <t>2024-02-20</t>
  </si>
  <si>
    <t>VO-238</t>
  </si>
  <si>
    <t>2024-01-16</t>
  </si>
  <si>
    <t>VO-239</t>
  </si>
  <si>
    <t>2024-10-10</t>
  </si>
  <si>
    <t>VO-240</t>
  </si>
  <si>
    <t>VO-241</t>
  </si>
  <si>
    <t>2024-05-17</t>
  </si>
  <si>
    <t>VO-242</t>
  </si>
  <si>
    <t>2024-07-03</t>
  </si>
  <si>
    <t>VO-243</t>
  </si>
  <si>
    <t>VO-244</t>
  </si>
  <si>
    <t>Q1. What is the total approved cost impact of all change orders per project?</t>
  </si>
  <si>
    <t>Q2. Who initiates the most change orders — Client, Consultant, or Contractor?</t>
  </si>
  <si>
    <t>Q3. What % of change orders are still Pending or Under Review? What is the potential cost exposure?</t>
  </si>
  <si>
    <t>Q4. Is there a correlation between cost impact and time impact of VOs?</t>
  </si>
  <si>
    <t>Q5. Which project has the highest change order frequency per month?</t>
  </si>
  <si>
    <t>Q6. Create a stacked bar chart: Approved vs Pending vs Rejected VO costs per project.</t>
  </si>
  <si>
    <t>PROBLEM 9: Subcontractor Performance Scorecard</t>
  </si>
  <si>
    <t>Scenario: Rate subcontractors on Quality, Time, Safety, Cost, and Communication for vendor management.</t>
  </si>
  <si>
    <t>Quality_Score</t>
  </si>
  <si>
    <t>Time_Score</t>
  </si>
  <si>
    <t>Safety_Score</t>
  </si>
  <si>
    <t>Cost_Score</t>
  </si>
  <si>
    <t>Communication_Score</t>
  </si>
  <si>
    <t>Defect_Count</t>
  </si>
  <si>
    <t>Weighted_Score</t>
  </si>
  <si>
    <t>Elevator Installation</t>
  </si>
  <si>
    <t>Contractor-G</t>
  </si>
  <si>
    <t>IT &amp; Low Current</t>
  </si>
  <si>
    <t>Fire Safety</t>
  </si>
  <si>
    <t>Contractor-C</t>
  </si>
  <si>
    <t>Q1. Rank all subcontractors by their weighted score. Who are the top 3 and bottom 3?</t>
  </si>
  <si>
    <t>Q2. Which trade has the lowest average quality score?</t>
  </si>
  <si>
    <t>Q3. Is there a negative correlation between defect count and quality score?</t>
  </si>
  <si>
    <t>Q4. Create a radar chart for the top-performing subcontractor showing all 5 dimensions.</t>
  </si>
  <si>
    <t>Q5. Which subcontractors should be blacklisted (weighted score &lt; 3.0 AND defects &gt; 15)?</t>
  </si>
  <si>
    <t>Q6. Compare subcontractor performance across the 3 projects — is any project a consistent outlier?</t>
  </si>
  <si>
    <t>PROBLEM 10: Construction Cost Benchmarking</t>
  </si>
  <si>
    <t>Scenario: Compare cost per sqm across project types, cities, and countries for WT's portfolio.</t>
  </si>
  <si>
    <t>Project_Type</t>
  </si>
  <si>
    <t>GFA_sqm</t>
  </si>
  <si>
    <t>Total_Cost_USD</t>
  </si>
  <si>
    <t>Cost_per_sqm_USD</t>
  </si>
  <si>
    <t>Year</t>
  </si>
  <si>
    <t>WT-BM-100</t>
  </si>
  <si>
    <t>WT-BM-101</t>
  </si>
  <si>
    <t>WT-BM-102</t>
  </si>
  <si>
    <t>WT-BM-103</t>
  </si>
  <si>
    <t>WT-BM-104</t>
  </si>
  <si>
    <t>WT-BM-105</t>
  </si>
  <si>
    <t>WT-BM-106</t>
  </si>
  <si>
    <t>WT-BM-107</t>
  </si>
  <si>
    <t>WT-BM-108</t>
  </si>
  <si>
    <t>WT-BM-109</t>
  </si>
  <si>
    <t>WT-BM-110</t>
  </si>
  <si>
    <t>WT-BM-111</t>
  </si>
  <si>
    <t>WT-BM-112</t>
  </si>
  <si>
    <t>WT-BM-113</t>
  </si>
  <si>
    <t>WT-BM-114</t>
  </si>
  <si>
    <t>WT-BM-115</t>
  </si>
  <si>
    <t>WT-BM-116</t>
  </si>
  <si>
    <t>WT-BM-117</t>
  </si>
  <si>
    <t>WT-BM-118</t>
  </si>
  <si>
    <t>WT-BM-119</t>
  </si>
  <si>
    <t>WT-BM-120</t>
  </si>
  <si>
    <t>WT-BM-121</t>
  </si>
  <si>
    <t>WT-BM-122</t>
  </si>
  <si>
    <t>WT-BM-123</t>
  </si>
  <si>
    <t>WT-BM-124</t>
  </si>
  <si>
    <t>WT-BM-125</t>
  </si>
  <si>
    <t>WT-BM-126</t>
  </si>
  <si>
    <t>WT-BM-127</t>
  </si>
  <si>
    <t>WT-BM-128</t>
  </si>
  <si>
    <t>WT-BM-129</t>
  </si>
  <si>
    <t>WT-BM-130</t>
  </si>
  <si>
    <t>WT-BM-131</t>
  </si>
  <si>
    <t>WT-BM-132</t>
  </si>
  <si>
    <t>WT-BM-133</t>
  </si>
  <si>
    <t>WT-BM-134</t>
  </si>
  <si>
    <t>WT-BM-135</t>
  </si>
  <si>
    <t>WT-BM-136</t>
  </si>
  <si>
    <t>WT-BM-137</t>
  </si>
  <si>
    <t>WT-BM-138</t>
  </si>
  <si>
    <t>WT-BM-139</t>
  </si>
  <si>
    <t>Q1. What is the average cost per sqm by country? Visualise as a bar chart.</t>
  </si>
  <si>
    <t>Q2. Which project type has the highest and lowest cost per sqm globally?</t>
  </si>
  <si>
    <t>Q3. Has cost per sqm increased year-over-year? Show the trend by country.</t>
  </si>
  <si>
    <t>Q4. Create a benchmark table: Project Type × Country showing avg cost/sqm.</t>
  </si>
  <si>
    <t>Q5. Identify outliers — projects where cost/sqm is &gt;1.5× the country average for that type.</t>
  </si>
  <si>
    <t>Q6. If WT pitches a 50,000 sqm Data Centre in Mumbai, what should the budget estimate be based on this data?</t>
  </si>
  <si>
    <t>In Progress</t>
  </si>
  <si>
    <t>PROBLEM 12: Earned Value Management (EVM)</t>
  </si>
  <si>
    <t>Scenario: Track EVM metrics for a $25M data centre project over 36 months.</t>
  </si>
  <si>
    <t>BAC_USD</t>
  </si>
  <si>
    <t>PV_Planned_USD</t>
  </si>
  <si>
    <t>EV_Earned_USD</t>
  </si>
  <si>
    <t>AC_Actual_USD</t>
  </si>
  <si>
    <t>SV_USD</t>
  </si>
  <si>
    <t>CV_USD</t>
  </si>
  <si>
    <t>SPI</t>
  </si>
  <si>
    <t>CPI</t>
  </si>
  <si>
    <t>EAC_USD</t>
  </si>
  <si>
    <t>ETC_USD</t>
  </si>
  <si>
    <t>Month 1</t>
  </si>
  <si>
    <t>Month 2</t>
  </si>
  <si>
    <t>Month 3</t>
  </si>
  <si>
    <t>Month 4</t>
  </si>
  <si>
    <t>Month 5</t>
  </si>
  <si>
    <t>Month 6</t>
  </si>
  <si>
    <t>Month 7</t>
  </si>
  <si>
    <t>Month 8</t>
  </si>
  <si>
    <t>Month 9</t>
  </si>
  <si>
    <t>Month 10</t>
  </si>
  <si>
    <t>Month 11</t>
  </si>
  <si>
    <t>Month 12</t>
  </si>
  <si>
    <t>Month 13</t>
  </si>
  <si>
    <t>Month 14</t>
  </si>
  <si>
    <t>Month 15</t>
  </si>
  <si>
    <t>Month 16</t>
  </si>
  <si>
    <t>Month 17</t>
  </si>
  <si>
    <t>Month 18</t>
  </si>
  <si>
    <t>Month 19</t>
  </si>
  <si>
    <t>Month 20</t>
  </si>
  <si>
    <t>Month 21</t>
  </si>
  <si>
    <t>Month 22</t>
  </si>
  <si>
    <t>Month 23</t>
  </si>
  <si>
    <t>Month 24</t>
  </si>
  <si>
    <t>Month 25</t>
  </si>
  <si>
    <t>Month 26</t>
  </si>
  <si>
    <t>Month 27</t>
  </si>
  <si>
    <t>Month 28</t>
  </si>
  <si>
    <t>Month 29</t>
  </si>
  <si>
    <t>Month 30</t>
  </si>
  <si>
    <t>Month 31</t>
  </si>
  <si>
    <t>Month 32</t>
  </si>
  <si>
    <t>Month 33</t>
  </si>
  <si>
    <t>Month 34</t>
  </si>
  <si>
    <t>Month 35</t>
  </si>
  <si>
    <t>Month 36</t>
  </si>
  <si>
    <t>Q1. In which month does the project first show a negative Schedule Variance (SV)?</t>
  </si>
  <si>
    <t>Q2. What is the CPI trend? Is the project getting more or less cost-efficient over time?</t>
  </si>
  <si>
    <t>Q3. Based on EAC at Month 36, what is the projected cost overrun?</t>
  </si>
  <si>
    <t>Q4. Create a line chart with PV, EV, and AC — the classic S-curve.</t>
  </si>
  <si>
    <t>Q5. At what month does SPI drop below 0.90 (critical schedule delay)?</t>
  </si>
  <si>
    <t>Q6. If management wants CPI ≥ 1.0 by Month 24, how much cost needs to be recovered?</t>
  </si>
  <si>
    <t>Critical</t>
  </si>
  <si>
    <t>2024-11-23</t>
  </si>
  <si>
    <t>2024-06-10</t>
  </si>
  <si>
    <t>2024-10-22</t>
  </si>
  <si>
    <t>2024-11-20</t>
  </si>
  <si>
    <t>2024-01-20</t>
  </si>
  <si>
    <t>2024-03-25</t>
  </si>
  <si>
    <t>2024-04-18</t>
  </si>
  <si>
    <t>2024-08-02</t>
  </si>
  <si>
    <t>2024-03-23</t>
  </si>
  <si>
    <t>2024-06-18</t>
  </si>
  <si>
    <t>2025-01-05</t>
  </si>
  <si>
    <t>PROBLEM 16: Procurement Lead Time Analysis</t>
  </si>
  <si>
    <t>Scenario: Analyse procurement cycle times to reduce supply chain delays.</t>
  </si>
  <si>
    <t>PO_Number</t>
  </si>
  <si>
    <t>Supplier</t>
  </si>
  <si>
    <t>Order_Date</t>
  </si>
  <si>
    <t>Expected_Date</t>
  </si>
  <si>
    <t>Actual_Delivery</t>
  </si>
  <si>
    <t>PO-600</t>
  </si>
  <si>
    <t>Supplier-E</t>
  </si>
  <si>
    <t>2024-03-15</t>
  </si>
  <si>
    <t>2024-05-10</t>
  </si>
  <si>
    <t>PO-601</t>
  </si>
  <si>
    <t>Supplier-I</t>
  </si>
  <si>
    <t>2024-01-17</t>
  </si>
  <si>
    <t>2024-02-15</t>
  </si>
  <si>
    <t>2024-02-24</t>
  </si>
  <si>
    <t>PO-602</t>
  </si>
  <si>
    <t>Supplier-D</t>
  </si>
  <si>
    <t>PO-603</t>
  </si>
  <si>
    <t>2024-12-06</t>
  </si>
  <si>
    <t>2024-12-23</t>
  </si>
  <si>
    <t>PO-604</t>
  </si>
  <si>
    <t>Supplier-F</t>
  </si>
  <si>
    <t>2024-10-09</t>
  </si>
  <si>
    <t>2024-10-19</t>
  </si>
  <si>
    <t>2024-10-14</t>
  </si>
  <si>
    <t>PO-605</t>
  </si>
  <si>
    <t>Supplier-H</t>
  </si>
  <si>
    <t>PO-606</t>
  </si>
  <si>
    <t>Supplier-J</t>
  </si>
  <si>
    <t>2024-06-05</t>
  </si>
  <si>
    <t>PO-607</t>
  </si>
  <si>
    <t>Supplier-C</t>
  </si>
  <si>
    <t>2024-12-15</t>
  </si>
  <si>
    <t>PO-608</t>
  </si>
  <si>
    <t>Supplier-G</t>
  </si>
  <si>
    <t>2024-01-21</t>
  </si>
  <si>
    <t>2024-02-27</t>
  </si>
  <si>
    <t>PO-609</t>
  </si>
  <si>
    <t>2024-05-22</t>
  </si>
  <si>
    <t>PO-610</t>
  </si>
  <si>
    <t>2024-06-14</t>
  </si>
  <si>
    <t>2024-07-29</t>
  </si>
  <si>
    <t>2024-07-25</t>
  </si>
  <si>
    <t>PO-611</t>
  </si>
  <si>
    <t>2024-10-08</t>
  </si>
  <si>
    <t>2024-11-03</t>
  </si>
  <si>
    <t>PO-612</t>
  </si>
  <si>
    <t>2024-10-04</t>
  </si>
  <si>
    <t>2024-10-24</t>
  </si>
  <si>
    <t>PO-613</t>
  </si>
  <si>
    <t>2024-08-12</t>
  </si>
  <si>
    <t>PO-614</t>
  </si>
  <si>
    <t>2024-07-18</t>
  </si>
  <si>
    <t>2024-07-22</t>
  </si>
  <si>
    <t>PO-615</t>
  </si>
  <si>
    <t>PO-616</t>
  </si>
  <si>
    <t>2024-11-14</t>
  </si>
  <si>
    <t>2024-12-02</t>
  </si>
  <si>
    <t>PO-617</t>
  </si>
  <si>
    <t>Supplier-B</t>
  </si>
  <si>
    <t>2024-08-08</t>
  </si>
  <si>
    <t>2024-08-20</t>
  </si>
  <si>
    <t>PO-618</t>
  </si>
  <si>
    <t>2024-07-10</t>
  </si>
  <si>
    <t>2024-09-07</t>
  </si>
  <si>
    <t>PO-619</t>
  </si>
  <si>
    <t>PO-620</t>
  </si>
  <si>
    <t>2024-10-07</t>
  </si>
  <si>
    <t>PO-621</t>
  </si>
  <si>
    <t>2025-01-19</t>
  </si>
  <si>
    <t>PO-622</t>
  </si>
  <si>
    <t>2025-01-25</t>
  </si>
  <si>
    <t>PO-623</t>
  </si>
  <si>
    <t>2024-02-01</t>
  </si>
  <si>
    <t>2024-01-29</t>
  </si>
  <si>
    <t>PO-624</t>
  </si>
  <si>
    <t>2024-10-23</t>
  </si>
  <si>
    <t>2024-11-05</t>
  </si>
  <si>
    <t>PO-625</t>
  </si>
  <si>
    <t>PO-626</t>
  </si>
  <si>
    <t>2024-12-10</t>
  </si>
  <si>
    <t>PO-627</t>
  </si>
  <si>
    <t>2024-01-24</t>
  </si>
  <si>
    <t>2024-03-12</t>
  </si>
  <si>
    <t>PO-628</t>
  </si>
  <si>
    <t>PO-629</t>
  </si>
  <si>
    <t>PO-630</t>
  </si>
  <si>
    <t>2024-07-19</t>
  </si>
  <si>
    <t>2024-09-14</t>
  </si>
  <si>
    <t>PO-631</t>
  </si>
  <si>
    <t>2024-01-06</t>
  </si>
  <si>
    <t>2024-02-29</t>
  </si>
  <si>
    <t>PO-632</t>
  </si>
  <si>
    <t>Supplier-A</t>
  </si>
  <si>
    <t>2024-10-20</t>
  </si>
  <si>
    <t>PO-633</t>
  </si>
  <si>
    <t>PO-634</t>
  </si>
  <si>
    <t>2024-11-11</t>
  </si>
  <si>
    <t>2025-01-13</t>
  </si>
  <si>
    <t>PO-635</t>
  </si>
  <si>
    <t>2024-01-28</t>
  </si>
  <si>
    <t>2024-04-04</t>
  </si>
  <si>
    <t>PO-636</t>
  </si>
  <si>
    <t>2024-12-09</t>
  </si>
  <si>
    <t>PO-637</t>
  </si>
  <si>
    <t>2024-09-06</t>
  </si>
  <si>
    <t>PO-638</t>
  </si>
  <si>
    <t>2024-11-13</t>
  </si>
  <si>
    <t>2024-11-25</t>
  </si>
  <si>
    <t>PO-639</t>
  </si>
  <si>
    <t>2024-12-30</t>
  </si>
  <si>
    <t>PO-640</t>
  </si>
  <si>
    <t>2024-07-14</t>
  </si>
  <si>
    <t>PO-641</t>
  </si>
  <si>
    <t>2024-12-28</t>
  </si>
  <si>
    <t>2024-12-31</t>
  </si>
  <si>
    <t>PO-642</t>
  </si>
  <si>
    <t>2024-09-02</t>
  </si>
  <si>
    <t>2024-10-17</t>
  </si>
  <si>
    <t>PO-643</t>
  </si>
  <si>
    <t>2024-02-25</t>
  </si>
  <si>
    <t>2024-03-29</t>
  </si>
  <si>
    <t>PO-644</t>
  </si>
  <si>
    <t>2024-10-02</t>
  </si>
  <si>
    <t>2024-10-21</t>
  </si>
  <si>
    <t>PO-645</t>
  </si>
  <si>
    <t>2024-09-16</t>
  </si>
  <si>
    <t>2024-11-02</t>
  </si>
  <si>
    <t>2024-10-28</t>
  </si>
  <si>
    <t>PO-646</t>
  </si>
  <si>
    <t>PO-647</t>
  </si>
  <si>
    <t>2024-04-24</t>
  </si>
  <si>
    <t>2024-06-19</t>
  </si>
  <si>
    <t>PO-648</t>
  </si>
  <si>
    <t>PO-649</t>
  </si>
  <si>
    <t>Q1. What is the average lead time (order to delivery) by material?</t>
  </si>
  <si>
    <t>Q2. Which supplier has the worst on-time delivery rate?</t>
  </si>
  <si>
    <t>Q3. How many POs were delivered late? What is the average delay in days?</t>
  </si>
  <si>
    <t>Q4. Is there a country-level difference in procurement lead times?</t>
  </si>
  <si>
    <t>Q5. Which material has the longest and most unpredictable lead time (highest std deviation)?</t>
  </si>
  <si>
    <t>Q6. Create a supplier reliability scorecard based on on-time delivery %.</t>
  </si>
  <si>
    <t>2024-08-14</t>
  </si>
  <si>
    <t>2024-09-27</t>
  </si>
  <si>
    <t>2025-03-16</t>
  </si>
  <si>
    <t>2024-09-12</t>
  </si>
  <si>
    <t>2025-02-22</t>
  </si>
  <si>
    <t>2024-10-06</t>
  </si>
  <si>
    <t>2024-11-09</t>
  </si>
  <si>
    <t>2025-02-25</t>
  </si>
  <si>
    <t>PROBLEM 19: Client Payment Aging Tracker</t>
  </si>
  <si>
    <t>Scenario: Track client invoice payments to manage cash flow and flag overdue accounts.</t>
  </si>
  <si>
    <t>Invoice_No</t>
  </si>
  <si>
    <t>Client_Name</t>
  </si>
  <si>
    <t>Invoice_Date</t>
  </si>
  <si>
    <t>Due_Date</t>
  </si>
  <si>
    <t>Amount_USD</t>
  </si>
  <si>
    <t>Paid_Amount_USD</t>
  </si>
  <si>
    <t>Payment_Date</t>
  </si>
  <si>
    <t>Outstanding_USD</t>
  </si>
  <si>
    <t>INV-700</t>
  </si>
  <si>
    <t>GPT Group</t>
  </si>
  <si>
    <t>2024-07-08</t>
  </si>
  <si>
    <t>INV-701</t>
  </si>
  <si>
    <t>Ascendas REIT</t>
  </si>
  <si>
    <t>INV-702</t>
  </si>
  <si>
    <t>2024-02-06</t>
  </si>
  <si>
    <t>2024-03-07</t>
  </si>
  <si>
    <t>2024-03-20</t>
  </si>
  <si>
    <t>INV-703</t>
  </si>
  <si>
    <t>Goodman Group</t>
  </si>
  <si>
    <t>INV-704</t>
  </si>
  <si>
    <t>Tata Realty</t>
  </si>
  <si>
    <t>2024-08-15</t>
  </si>
  <si>
    <t>2024-09-05</t>
  </si>
  <si>
    <t>INV-705</t>
  </si>
  <si>
    <t>INV-706</t>
  </si>
  <si>
    <t>2024-09-29</t>
  </si>
  <si>
    <t>INV-707</t>
  </si>
  <si>
    <t>Brookfield</t>
  </si>
  <si>
    <t>2024-11-18</t>
  </si>
  <si>
    <t>INV-708</t>
  </si>
  <si>
    <t>Dexus</t>
  </si>
  <si>
    <t>2024-03-03</t>
  </si>
  <si>
    <t>2024-04-02</t>
  </si>
  <si>
    <t>INV-709</t>
  </si>
  <si>
    <t>Stockland</t>
  </si>
  <si>
    <t>2024-01-27</t>
  </si>
  <si>
    <t>2024-02-26</t>
  </si>
  <si>
    <t>INV-710</t>
  </si>
  <si>
    <t>INV-711</t>
  </si>
  <si>
    <t>INV-712</t>
  </si>
  <si>
    <t>2025-01-12</t>
  </si>
  <si>
    <t>INV-713</t>
  </si>
  <si>
    <t>INV-714</t>
  </si>
  <si>
    <t>INV-715</t>
  </si>
  <si>
    <t>2024-07-01</t>
  </si>
  <si>
    <t>INV-716</t>
  </si>
  <si>
    <t>INV-717</t>
  </si>
  <si>
    <t>2024-01-11</t>
  </si>
  <si>
    <t>2024-02-10</t>
  </si>
  <si>
    <t>2024-03-16</t>
  </si>
  <si>
    <t>INV-718</t>
  </si>
  <si>
    <t>INV-719</t>
  </si>
  <si>
    <t>2024-11-17</t>
  </si>
  <si>
    <t>INV-720</t>
  </si>
  <si>
    <t>2024-10-05</t>
  </si>
  <si>
    <t>2024-11-04</t>
  </si>
  <si>
    <t>INV-721</t>
  </si>
  <si>
    <t>Embassy Group</t>
  </si>
  <si>
    <t>2025-04-15</t>
  </si>
  <si>
    <t>2025-04-13</t>
  </si>
  <si>
    <t>INV-722</t>
  </si>
  <si>
    <t>2024-11-15</t>
  </si>
  <si>
    <t>INV-723</t>
  </si>
  <si>
    <t>Mirvac</t>
  </si>
  <si>
    <t>2024-01-01</t>
  </si>
  <si>
    <t>2024-01-31</t>
  </si>
  <si>
    <t>INV-724</t>
  </si>
  <si>
    <t>2024-01-10</t>
  </si>
  <si>
    <t>2024-02-09</t>
  </si>
  <si>
    <t>INV-725</t>
  </si>
  <si>
    <t>Lendlease</t>
  </si>
  <si>
    <t>2025-01-02</t>
  </si>
  <si>
    <t>2025-01-16</t>
  </si>
  <si>
    <t>INV-726</t>
  </si>
  <si>
    <t>2025-01-27</t>
  </si>
  <si>
    <t>INV-727</t>
  </si>
  <si>
    <t>INV-728</t>
  </si>
  <si>
    <t>INV-729</t>
  </si>
  <si>
    <t>2025-04-22</t>
  </si>
  <si>
    <t>2025-04-25</t>
  </si>
  <si>
    <t>INV-730</t>
  </si>
  <si>
    <t>2024-03-21</t>
  </si>
  <si>
    <t>2024-04-29</t>
  </si>
  <si>
    <t>INV-731</t>
  </si>
  <si>
    <t>2025-01-06</t>
  </si>
  <si>
    <t>INV-732</t>
  </si>
  <si>
    <t>2024-04-23</t>
  </si>
  <si>
    <t>2024-05-23</t>
  </si>
  <si>
    <t>INV-733</t>
  </si>
  <si>
    <t>INV-734</t>
  </si>
  <si>
    <t>INV-735</t>
  </si>
  <si>
    <t>2025-03-27</t>
  </si>
  <si>
    <t>2025-05-23</t>
  </si>
  <si>
    <t>INV-736</t>
  </si>
  <si>
    <t>2025-03-03</t>
  </si>
  <si>
    <t>2025-04-02</t>
  </si>
  <si>
    <t>INV-737</t>
  </si>
  <si>
    <t>2024-04-08</t>
  </si>
  <si>
    <t>INV-738</t>
  </si>
  <si>
    <t>2024-05-07</t>
  </si>
  <si>
    <t>2024-05-28</t>
  </si>
  <si>
    <t>INV-739</t>
  </si>
  <si>
    <t>Q1. What is the total outstanding amount across all projects?</t>
  </si>
  <si>
    <t>Q2. Which client has the highest overdue amount (paid after due date)?</t>
  </si>
  <si>
    <t>Q3. Create an aging bucket analysis: 0–30 days, 31–60 days, 61–90 days, 90+ days.</t>
  </si>
  <si>
    <t>Q4. What is the average days-to-pay by client?</t>
  </si>
  <si>
    <t>Q5. Which project has the worst collection rate (Paid / Invoiced)?</t>
  </si>
  <si>
    <t>Q6. If WT charges 1.5% monthly interest on overdue amounts, what is the total interest receivable?</t>
  </si>
  <si>
    <t>PROBLEM 20: Multi-Project Portfolio Dashboard Data</t>
  </si>
  <si>
    <t>Scenario: Build a portfolio-level dashboard summarising all WT projects for executive reporting.</t>
  </si>
  <si>
    <t>Budget_USD</t>
  </si>
  <si>
    <t>Spent_USD</t>
  </si>
  <si>
    <t>Completion_%</t>
  </si>
  <si>
    <t>Risk_Level</t>
  </si>
  <si>
    <t>Budget_Variance_USD</t>
  </si>
  <si>
    <t>WT-2000</t>
  </si>
  <si>
    <t>Hotel Chennai</t>
  </si>
  <si>
    <t>Completed</t>
  </si>
  <si>
    <t>Medium</t>
  </si>
  <si>
    <t>WT-2001</t>
  </si>
  <si>
    <t>Industrial Warehouse Christchurch</t>
  </si>
  <si>
    <t>High</t>
  </si>
  <si>
    <t>WT-2002</t>
  </si>
  <si>
    <t>Shopping Mall Christchurch</t>
  </si>
  <si>
    <t>WT-2003</t>
  </si>
  <si>
    <t>IT Park Adelaide</t>
  </si>
  <si>
    <t>WT-2004</t>
  </si>
  <si>
    <t>IT Park Mumbai</t>
  </si>
  <si>
    <t>On Hold</t>
  </si>
  <si>
    <t>Low</t>
  </si>
  <si>
    <t>WT-2005</t>
  </si>
  <si>
    <t>IT Park Sydney</t>
  </si>
  <si>
    <t>WT-2006</t>
  </si>
  <si>
    <t>University Campus Ahmedabad</t>
  </si>
  <si>
    <t>WT-2007</t>
  </si>
  <si>
    <t>Residential Tower Auckland</t>
  </si>
  <si>
    <t>Planning</t>
  </si>
  <si>
    <t>WT-2008</t>
  </si>
  <si>
    <t>Hotel Bangalore</t>
  </si>
  <si>
    <t>WT-2009</t>
  </si>
  <si>
    <t>Data Centre Canberra</t>
  </si>
  <si>
    <t>WT-2010</t>
  </si>
  <si>
    <t>IT Park Melbourne</t>
  </si>
  <si>
    <t>WT-2011</t>
  </si>
  <si>
    <t>Industrial Warehouse Bangalore</t>
  </si>
  <si>
    <t>WT-2012</t>
  </si>
  <si>
    <t>Residential Tower Hyderabad</t>
  </si>
  <si>
    <t>WT-2013</t>
  </si>
  <si>
    <t>WT-2014</t>
  </si>
  <si>
    <t>Hotel Adelaide</t>
  </si>
  <si>
    <t>WT-2015</t>
  </si>
  <si>
    <t>Shopping Mall Canberra</t>
  </si>
  <si>
    <t>WT-2016</t>
  </si>
  <si>
    <t>University Campus Mumbai</t>
  </si>
  <si>
    <t>WT-2017</t>
  </si>
  <si>
    <t>Hospital Bangalore</t>
  </si>
  <si>
    <t>WT-2018</t>
  </si>
  <si>
    <t>Hotel Ahmedabad</t>
  </si>
  <si>
    <t>WT-2019</t>
  </si>
  <si>
    <t>Shopping Mall Mumbai</t>
  </si>
  <si>
    <t>WT-2020</t>
  </si>
  <si>
    <t>Commercial Office Hyderabad</t>
  </si>
  <si>
    <t>WT-2021</t>
  </si>
  <si>
    <t>Hospital Melbourne</t>
  </si>
  <si>
    <t>WT-2022</t>
  </si>
  <si>
    <t>Data Centre Perth</t>
  </si>
  <si>
    <t>WT-2023</t>
  </si>
  <si>
    <t>Metro Station Brisbane</t>
  </si>
  <si>
    <t>WT-2024</t>
  </si>
  <si>
    <t>Q1. How many projects are In Progress, On Hold, Completed, and Planning? Show as a pie chart.</t>
  </si>
  <si>
    <t>Q2. What is the total portfolio budget and total spent? What is the overall budget variance?</t>
  </si>
  <si>
    <t>Q3. Which projects have CPI &lt; 0.90 AND SPI &lt; 0.90? These are 'red zone' — list them.</t>
  </si>
  <si>
    <t>Q4. Create a bubble chart: X = SPI, Y = CPI, Size = Budget. Which quadrant has the most projects?</t>
  </si>
  <si>
    <t>Q5. What is the average completion % by country?</t>
  </si>
  <si>
    <t>Q6. Build a traffic-light summary: Green (CPI≥1, SPI≥1), Amber (either &lt;1), Red (both &lt;0.9). Count per category.</t>
  </si>
  <si>
    <t>Q7. If WT's board asks 'how is our portfolio doing?' — write a 3-line executive summary using this data.</t>
  </si>
  <si>
    <t>c</t>
  </si>
  <si>
    <t>Row Labels</t>
  </si>
  <si>
    <t>Grand Total</t>
  </si>
  <si>
    <t>Average of Variance_%</t>
  </si>
  <si>
    <r>
      <t xml:space="preserve">The Country with the highest average cost overrun percentage is Newzealand, with an average overrun of </t>
    </r>
    <r>
      <rPr>
        <b/>
        <sz val="11"/>
        <color rgb="FFED0000"/>
        <rFont val="Calibri"/>
        <family val="2"/>
      </rPr>
      <t>19.75%</t>
    </r>
  </si>
  <si>
    <t>Cost Over Run Analysis</t>
  </si>
  <si>
    <t>Q1</t>
  </si>
  <si>
    <t>Q2</t>
  </si>
  <si>
    <t>Total Budget</t>
  </si>
  <si>
    <t>Actual Cost</t>
  </si>
  <si>
    <t>Total Variance</t>
  </si>
  <si>
    <t>Project Type</t>
  </si>
  <si>
    <t>Hospital has the worst variance percentage with an average cost overrun of 25.21%. But university campus has the highest total cost variance at USD 66,177,668.</t>
  </si>
  <si>
    <t>Q3</t>
  </si>
  <si>
    <t>Absolute_Variance_USD</t>
  </si>
  <si>
    <t>This Five project are having highest absolute cost over run variance in USD, this found by sorting and highlighted via conditional formatting of top 5.</t>
  </si>
  <si>
    <t>Q4</t>
  </si>
  <si>
    <t>There is a weak negative correlation (-0.156) between project duration and cost overrun percentage. This suggests that longer project durations are slightly associated with lower cost overrun percentages in this dataset. However, the relationship is very weak and does not establish causation.</t>
  </si>
  <si>
    <t>Column Labels</t>
  </si>
  <si>
    <t>Q5</t>
  </si>
  <si>
    <t>New Zealand has the highest overall average cost overrun (19.75%). Hospital projects in New Zealand show the highest country-type average (29.91%).</t>
  </si>
  <si>
    <t>Q6</t>
  </si>
  <si>
    <t xml:space="preserve">Total Project </t>
  </si>
  <si>
    <t>Over Budget</t>
  </si>
  <si>
    <t>Under Budget</t>
  </si>
  <si>
    <t>On Budget</t>
  </si>
  <si>
    <t>Out of 50 projects, 90% (45 projects) exceeded their budget, while 10% (5 projects) were completed under budget. No projects were completed exactly on budget.</t>
  </si>
  <si>
    <t>The city with the lowest average cost overrun percentage is Gold coast and Pune, with an average overrun of -2.98% and 5.10% respectively.</t>
  </si>
  <si>
    <t>Average of Price_Change_%</t>
  </si>
  <si>
    <t>Materials</t>
  </si>
  <si>
    <t>Material Price Fluctuation</t>
  </si>
  <si>
    <t>RMC M30 has shown the highest average price increase over the 18 month period, with an average price increase of 14.78%.</t>
  </si>
  <si>
    <t>Material Filter</t>
  </si>
  <si>
    <t>Month timeline</t>
  </si>
  <si>
    <t>Average of Current_Price_USD</t>
  </si>
  <si>
    <t>The line chart illustrates the monthly price trends of TMT Steel and Cement over the 18-month period. It helps identify price fluctuations and changes in procurement costs over time.</t>
  </si>
  <si>
    <t>StdDev of Price_Change_%</t>
  </si>
  <si>
    <t>India has the most volatile material prices, with a standard deviation of 9.79%, indicating greater fluctuations in price changes compared to other countries.</t>
  </si>
  <si>
    <t>Procurement Risk</t>
  </si>
  <si>
    <t>Max of Price_Change_%</t>
  </si>
  <si>
    <t>The top 3 materials with price increases exceeding 15% are Waterproffing, Cement, and Alluminium. These materials are flagged as procurement risks due to significant price increases.</t>
  </si>
  <si>
    <t>The average price change for each material was calculated across the 18-month period using the Average function in a Pivot Table. RMC M30 experienced the highest average price change, while Copper wiring experienced the lowest.</t>
  </si>
  <si>
    <t>TMT Steel Material</t>
  </si>
  <si>
    <t>Month Index</t>
  </si>
  <si>
    <t>forecast</t>
  </si>
  <si>
    <t xml:space="preserve">Month </t>
  </si>
  <si>
    <t>AVG TMT Price</t>
  </si>
  <si>
    <t>Based on the historical TMT Steel price trend, the projected average price for the next quarter is approximately $668.47 per MT. For a requirement of 500 MT, the estimated procurement cost is approximately $334,235.16.</t>
  </si>
  <si>
    <t>PCC in civil structure has the highest BOQ variance in USD</t>
  </si>
  <si>
    <t>Sum of BOQ_Amount_USD</t>
  </si>
  <si>
    <t>Sum of Actual_Amount_USD</t>
  </si>
  <si>
    <t>Project ID</t>
  </si>
  <si>
    <t>Total Variance (USD)</t>
  </si>
  <si>
    <t>Project ID WT-DC-MUM-01 has the highest BOQ Variance</t>
  </si>
  <si>
    <t>Qty_Status</t>
  </si>
  <si>
    <t>Sum of Qty_Variance</t>
  </si>
  <si>
    <t>Civil &amp; Structure, Interior Fit-Out, and MEP - HVAC consistently exceeded BOQ quantities across all three projects, recording positive quantity variances in each project.</t>
  </si>
  <si>
    <t>The top 5 BOQ items with the highest quantity variance percentages were identified by sorting the quantity variance percentage in descending order.</t>
  </si>
  <si>
    <t>Overrun_Imapact_USD</t>
  </si>
  <si>
    <t>Sum of Overrun_Imapact_USD</t>
  </si>
  <si>
    <t>The total financial impact of quantity overruns across all three projects is $1,828,491.49. WT-OFF-SYD-02 had the highest overrun impact at $768,547.75, followed by WT-HOS-AKL-03 at $557,911.04 and WT-DC-MUM-01 at $502,032.70.</t>
  </si>
  <si>
    <t>BOQ Amount</t>
  </si>
  <si>
    <t>variance</t>
  </si>
  <si>
    <t>Actual Amount</t>
  </si>
  <si>
    <t>BOQ baseline</t>
  </si>
  <si>
    <t>Actual Total</t>
  </si>
  <si>
    <t>Category</t>
  </si>
  <si>
    <t>Amount</t>
  </si>
  <si>
    <t>P13-LeadTime</t>
  </si>
  <si>
    <t>P14-PaymentAging</t>
  </si>
  <si>
    <t>P15-Portfolio</t>
  </si>
  <si>
    <t>ANALYSIS REPORT — WT PARTNERSHIP CONSTRUCTION DATA (20 PROBLEMS)</t>
  </si>
  <si>
    <t>Every figure below is a live formula referencing the source sheets. Update source data and answers refresh automatically.</t>
  </si>
  <si>
    <t>PROBLEM 01 — Project Cost Overrun Analysis    |    Source sheet: P01-CostOverrun (50 projects)</t>
  </si>
  <si>
    <t>Avg Overrun %</t>
  </si>
  <si>
    <t>No. of Projects</t>
  </si>
  <si>
    <t>Total Budget USD</t>
  </si>
  <si>
    <t>Total Actual USD</t>
  </si>
  <si>
    <t>Portfolio Overrun %</t>
  </si>
  <si>
    <t>Variance USD</t>
  </si>
  <si>
    <t>Variance %</t>
  </si>
  <si>
    <t>TOTAL</t>
  </si>
  <si>
    <t>Q3. Top 5 projects with the highest absolute cost overrun (USD)</t>
  </si>
  <si>
    <t>Rank</t>
  </si>
  <si>
    <t>Project Name</t>
  </si>
  <si>
    <t>Absolute Overrun USD</t>
  </si>
  <si>
    <t>Overrun %</t>
  </si>
  <si>
    <t>Correlation coefficient (Duration months vs Overrun %)</t>
  </si>
  <si>
    <t>Q5. Pivot — average overrun % by Country × Project Type</t>
  </si>
  <si>
    <t>Grand Average</t>
  </si>
  <si>
    <t>Projects</t>
  </si>
  <si>
    <t>Max-cell locator (row offset, col offset)</t>
  </si>
  <si>
    <t>% of Portfolio</t>
  </si>
  <si>
    <t>Over budget (variance &gt; 0)</t>
  </si>
  <si>
    <t>Under budget (variance &lt; 0)</t>
  </si>
  <si>
    <t>Total</t>
  </si>
  <si>
    <t>PROBLEM 02 — Material Price Fluctuation Tracker    |    Source sheet: P02-MaterialPrice (90 records, 15 materials, 18 months)</t>
  </si>
  <si>
    <t>Avg Price Change %</t>
  </si>
  <si>
    <t>Data Points</t>
  </si>
  <si>
    <t>Avg Base Price USD</t>
  </si>
  <si>
    <t>Avg Current Price USD</t>
  </si>
  <si>
    <t>Q2. Monthly price trend for TMT Steel and Cement (line chart placed to the right)</t>
  </si>
  <si>
    <t>TMT Steel (Fe500) USD/MT</t>
  </si>
  <si>
    <t>Cement (OPC 53) USD/MT</t>
  </si>
  <si>
    <t>Q3. Which country has the most volatile material pricing? (standard deviation)</t>
  </si>
  <si>
    <t>StDev of Price Change %</t>
  </si>
  <si>
    <t>Min Change %</t>
  </si>
  <si>
    <t>Max Change %</t>
  </si>
  <si>
    <t>Q4. Top 3 materials with price increase &gt; 15% — flag as procurement risk</t>
  </si>
  <si>
    <t>Flag</t>
  </si>
  <si>
    <t>Q5. Average price change % by material across all months</t>
  </si>
  <si>
    <t>See the table under Q1 (column C) — full 15-material list.</t>
  </si>
  <si>
    <t>Average across all materials &amp; months</t>
  </si>
  <si>
    <t>Median</t>
  </si>
  <si>
    <t>Materials above average</t>
  </si>
  <si>
    <t>Q6. Projected cost of 500 MT of TMT Steel next quarter (trend-based)</t>
  </si>
  <si>
    <t>Observed Month</t>
  </si>
  <si>
    <t>Price USD/MT</t>
  </si>
  <si>
    <t>Trend slope (USD/MT per month)</t>
  </si>
  <si>
    <t>Intercept</t>
  </si>
  <si>
    <t>Latest observed month index</t>
  </si>
  <si>
    <t>Forecast month index (+3 months)</t>
  </si>
  <si>
    <t>Projected price USD/MT</t>
  </si>
  <si>
    <t>Quantity required (MT)</t>
  </si>
  <si>
    <t>Projected procurement cost USD</t>
  </si>
  <si>
    <t>Cost at latest observed price</t>
  </si>
  <si>
    <t>PROBLEM 03 — BOQ Variance Analysis    |    Source sheet: P03-BOQVariance (72 BOQ line items, 3 projects)</t>
  </si>
  <si>
    <t>Total BOQ Amount USD</t>
  </si>
  <si>
    <t>Total Actual Amount USD</t>
  </si>
  <si>
    <t>BOQ Line Items</t>
  </si>
  <si>
    <t>Trade (avg qty variance %)</t>
  </si>
  <si>
    <t>Avg Qty Var % (all)</t>
  </si>
  <si>
    <t>Projects Over BOQ</t>
  </si>
  <si>
    <t>Q3. Top 5 BOQ items with the highest quantity variance %</t>
  </si>
  <si>
    <t>BOQ Item</t>
  </si>
  <si>
    <t>Qty Variance %</t>
  </si>
  <si>
    <t>Overrun Impact USD</t>
  </si>
  <si>
    <t>Q4. Total financial impact of quantity overruns per project</t>
  </si>
  <si>
    <t>Overrun Impact USD (items over BOQ)</t>
  </si>
  <si>
    <t>Savings USD (items under BOQ)</t>
  </si>
  <si>
    <t>Net Impact USD</t>
  </si>
  <si>
    <t>Items Over BOQ</t>
  </si>
  <si>
    <t>Items Under BOQ</t>
  </si>
  <si>
    <t>Q5. BOQ Amount vs Actual Amount per trade — Project WT-DC-MUM-01 (chart to the right)</t>
  </si>
  <si>
    <t>BOQ Amount USD</t>
  </si>
  <si>
    <t>Actual Amount USD</t>
  </si>
  <si>
    <t>Items</t>
  </si>
  <si>
    <t>Q6. Which items have negative variance (came under BOQ)? What is the saving?</t>
  </si>
  <si>
    <t>Metric</t>
  </si>
  <si>
    <t>Value</t>
  </si>
  <si>
    <t>Items under BOQ (qty variance &lt; 0)</t>
  </si>
  <si>
    <t>of total items</t>
  </si>
  <si>
    <t>Total saving USD (absolute)</t>
  </si>
  <si>
    <t>Avg saving per item</t>
  </si>
  <si>
    <t>Value USD</t>
  </si>
  <si>
    <t>Largest saving — project / trade</t>
  </si>
  <si>
    <t>Largest single saving — BOQ item</t>
  </si>
  <si>
    <t>PROBLEM 04 — Labour Productivity by Trade    |    Source sheet: P04-LabourProd (80 daily records, 4 projects)</t>
  </si>
  <si>
    <t>Avg Productivity / man-hour</t>
  </si>
  <si>
    <t>Records</t>
  </si>
  <si>
    <t>Total Man-hours</t>
  </si>
  <si>
    <t>Total Output Qty</t>
  </si>
  <si>
    <t>Aggregate Output / Man-hour</t>
  </si>
  <si>
    <t>Country (by project location)</t>
  </si>
  <si>
    <t>WT-DC-MUM-01, WT-ITP-BLR-04</t>
  </si>
  <si>
    <t>Difference India vs Australia</t>
  </si>
  <si>
    <t>% difference</t>
  </si>
  <si>
    <t>Q3. Summary statistics of productivity by trade — which has the most variance?</t>
  </si>
  <si>
    <t>Minimum</t>
  </si>
  <si>
    <t>Maximum</t>
  </si>
  <si>
    <t>Std Deviation</t>
  </si>
  <si>
    <t>Coefficient of Variation</t>
  </si>
  <si>
    <t>25th percentile of productivity</t>
  </si>
  <si>
    <t>Records below P25</t>
  </si>
  <si>
    <t>Total records</t>
  </si>
  <si>
    <t>Rank (lowest first)</t>
  </si>
  <si>
    <t>Productivity / man-hour</t>
  </si>
  <si>
    <t>Workers</t>
  </si>
  <si>
    <t>Q5. Optimal crew size (workers count) that maximises productivity for Civil &amp; Structure</t>
  </si>
  <si>
    <t>Crew size band</t>
  </si>
  <si>
    <t>Avg Output Qty</t>
  </si>
  <si>
    <t>Avg Workers</t>
  </si>
  <si>
    <t>Small crew (up to 10 workers)</t>
  </si>
  <si>
    <t>Medium crew (11 to 15)</t>
  </si>
  <si>
    <t>Large crew (16 to 20)</t>
  </si>
  <si>
    <t>Very large crew (21+)</t>
  </si>
  <si>
    <t>Q6. Total man-hours consumed per project, ranked</t>
  </si>
  <si>
    <t>helper — man-hours by project</t>
  </si>
  <si>
    <t>PROBLEM 05 — Tender Bid Comparison    |    Source sheet: P05-TenderBid (40 bids, 5 packages, 13 contractors)</t>
  </si>
  <si>
    <t>Q1. For each package, which contractor offers the lowest bid? Is the lowest bid always the best choice?</t>
  </si>
  <si>
    <t>Tender Package</t>
  </si>
  <si>
    <t>Lowest Bidder</t>
  </si>
  <si>
    <t>Lowest Bid USD</t>
  </si>
  <si>
    <t>Highest-Scored Bidder</t>
  </si>
  <si>
    <t>Weighted Score</t>
  </si>
  <si>
    <t>Bid of Highest-Scored USD</t>
  </si>
  <si>
    <t>Cost of choosing quality USD</t>
  </si>
  <si>
    <t>Bids Received</t>
  </si>
  <si>
    <t>Q2. Weighted scoring model — 40% Price, 20% Time, 15% Experience, 15% Safety, 10% Defects (scores normalised within each package)</t>
  </si>
  <si>
    <t>Scoring weights (editable inputs)</t>
  </si>
  <si>
    <t>Price</t>
  </si>
  <si>
    <t>Time</t>
  </si>
  <si>
    <t>Experience</t>
  </si>
  <si>
    <t>Safety</t>
  </si>
  <si>
    <t>Defects</t>
  </si>
  <si>
    <t>Weight</t>
  </si>
  <si>
    <t>Bid Amount USD</t>
  </si>
  <si>
    <t>Completion Days</t>
  </si>
  <si>
    <t>Price Score</t>
  </si>
  <si>
    <t>Time Score</t>
  </si>
  <si>
    <t>Experience Score</t>
  </si>
  <si>
    <t>Safety Score</t>
  </si>
  <si>
    <t>Defect Score</t>
  </si>
  <si>
    <t>Weighted Score (0-100)</t>
  </si>
  <si>
    <t>Rank in Package</t>
  </si>
  <si>
    <t>Weighted Score of Lowest Bidder</t>
  </si>
  <si>
    <t>Bids Submitted</t>
  </si>
  <si>
    <t>Packages Bid For</t>
  </si>
  <si>
    <t>Avg Weighted Score</t>
  </si>
  <si>
    <t>Avg Bid ÷ Lowest Bid in Package</t>
  </si>
  <si>
    <t>Total Bid Value USD</t>
  </si>
  <si>
    <t>Best Rank Achieved</t>
  </si>
  <si>
    <t>Multi-package?</t>
  </si>
  <si>
    <t>Q4. Contractors with Safety Rating &lt; 3.5 AND Defect Rate &gt; 8% — HIGH RISK flag</t>
  </si>
  <si>
    <t>Bids meeting both risk conditions</t>
  </si>
  <si>
    <t>of total bids</t>
  </si>
  <si>
    <t>Bids with Safety &lt; 3.5</t>
  </si>
  <si>
    <t>Bids with Defect Rate &gt; 8%</t>
  </si>
  <si>
    <t>Safety Rating</t>
  </si>
  <si>
    <t>Past Defect Rate %</t>
  </si>
  <si>
    <t>Q5. Total project cost — lowest bidder per package vs highest-scored bidder per package</t>
  </si>
  <si>
    <t>Award strategy</t>
  </si>
  <si>
    <t>Total Cost USD</t>
  </si>
  <si>
    <t>Difference vs Lowest USD</t>
  </si>
  <si>
    <t>Difference %</t>
  </si>
  <si>
    <t>Packages</t>
  </si>
  <si>
    <t>Award to lowest bidder</t>
  </si>
  <si>
    <t>Award to highest-scored bidder</t>
  </si>
  <si>
    <t>Q6. Bid Amount vs Completion Days — are cheaper bids slower? (scatter chart to the right)</t>
  </si>
  <si>
    <t>Correlation (Bid Amount vs Completion Days)</t>
  </si>
  <si>
    <t>Avg bid of fastest 10 bids</t>
  </si>
  <si>
    <t>Avg bid of slowest 10 bids</t>
  </si>
  <si>
    <t>PROBLEM 06 — Project Delay Root Cause Analysis    |    Source sheet: P06-DelayRCA (60 delay events, 5 projects)</t>
  </si>
  <si>
    <t>Q1. What is the most frequent delay cause category? (Pareto table + chart to the right)</t>
  </si>
  <si>
    <t>Cause Category</t>
  </si>
  <si>
    <t>Occurrences</t>
  </si>
  <si>
    <t>Total Delay Days</t>
  </si>
  <si>
    <t>Avg Delay Days</t>
  </si>
  <si>
    <t>% of Occurrences</t>
  </si>
  <si>
    <t>Sort key (helper)</t>
  </si>
  <si>
    <t>Cause Category (sorted)</t>
  </si>
  <si>
    <t>Cumulative %</t>
  </si>
  <si>
    <t>Responsible Party</t>
  </si>
  <si>
    <t>Incidents</t>
  </si>
  <si>
    <t>% of Total Delay Days</t>
  </si>
  <si>
    <t>Max Single Delay</t>
  </si>
  <si>
    <t>Q3. Project WT-DC-MUM-01 — cumulative delay and dominant cause</t>
  </si>
  <si>
    <t>Cumulative delay days</t>
  </si>
  <si>
    <t>Delay events</t>
  </si>
  <si>
    <t>Avg days per event</t>
  </si>
  <si>
    <t>Delay Days</t>
  </si>
  <si>
    <t>Events</t>
  </si>
  <si>
    <t>Avg Days</t>
  </si>
  <si>
    <t>% of Project Delay</t>
  </si>
  <si>
    <t>Q4. Is there a seasonal pattern in delays? (by month of actual start; weather isolated)</t>
  </si>
  <si>
    <t>Weather Delay Days</t>
  </si>
  <si>
    <t>Weather Events</t>
  </si>
  <si>
    <t>All-Cause Delay Days</t>
  </si>
  <si>
    <t>All Events</t>
  </si>
  <si>
    <t>Weather share of month</t>
  </si>
  <si>
    <t>Delay Events</t>
  </si>
  <si>
    <t>Q6. Estimated cost of delay per project at a daily burn rate of $15,000</t>
  </si>
  <si>
    <t>Daily burn rate USD (input)</t>
  </si>
  <si>
    <t>Cost of Delay USD</t>
  </si>
  <si>
    <t>Avg Delay Days per Event</t>
  </si>
  <si>
    <t>Dominant Cause</t>
  </si>
  <si>
    <t>PROBLEM 07 — Monthly Cash Flow Tracking    |    Source sheet: P07-CashFlow (48 project-months, 4 projects, Jan–Dec 2024)</t>
  </si>
  <si>
    <t>Months with Negative Net CF</t>
  </si>
  <si>
    <t>Months Positive</t>
  </si>
  <si>
    <t>Worst Month</t>
  </si>
  <si>
    <t>Worst Net CF USD</t>
  </si>
  <si>
    <t>Total Net CF USD</t>
  </si>
  <si>
    <t>Q2. Cumulative cash position for each project at end of December 2024</t>
  </si>
  <si>
    <t>Total Planned Inflow USD</t>
  </si>
  <si>
    <t>Total Actual Inflow USD</t>
  </si>
  <si>
    <t>Total Actual Outflow USD</t>
  </si>
  <si>
    <t>Cumulative Cash Position Dec-24 USD</t>
  </si>
  <si>
    <t>Inflow Shortfall vs Plan USD</t>
  </si>
  <si>
    <t>Q3. Monthly net cash flow for all 4 projects (line chart to the right)</t>
  </si>
  <si>
    <t>All Projects</t>
  </si>
  <si>
    <t>Q4. Months where actual inflow fell below 70% of planned — collection risk</t>
  </si>
  <si>
    <t>Collection risk threshold (input)</t>
  </si>
  <si>
    <t>Project-months below threshold</t>
  </si>
  <si>
    <t>of total project-months</t>
  </si>
  <si>
    <t>Planned Inflow USD</t>
  </si>
  <si>
    <t>Actual Inflow USD</t>
  </si>
  <si>
    <t>Actual ÷ Planned</t>
  </si>
  <si>
    <t>Q5. Total cash surplus / deficit across all projects</t>
  </si>
  <si>
    <t>Measure</t>
  </si>
  <si>
    <t>Amount USD</t>
  </si>
  <si>
    <t>Total actual inflow</t>
  </si>
  <si>
    <t>Total planned inflow</t>
  </si>
  <si>
    <t>Total actual outflow</t>
  </si>
  <si>
    <t>Total planned outflow</t>
  </si>
  <si>
    <t>Net cash surplus / (deficit)</t>
  </si>
  <si>
    <t>Projects in deficit</t>
  </si>
  <si>
    <t>Q6. Cash flow forecast accuracy — (Actual Inflow ÷ Planned Inflow) × 100</t>
  </si>
  <si>
    <t>Forecast Accuracy %</t>
  </si>
  <si>
    <t>Months below 70%</t>
  </si>
  <si>
    <t>Best Month Accuracy %</t>
  </si>
  <si>
    <t>PORTFOLIO</t>
  </si>
  <si>
    <t>PROBLEM 08 — Change Order (VO) Impact Analysis    |    Source sheet: P08-ChangeOrder (45 variation orders, 4 projects)</t>
  </si>
  <si>
    <t>Q1. Total approved cost impact of all change orders per project</t>
  </si>
  <si>
    <t>Approved VOs</t>
  </si>
  <si>
    <t>Approved Cost Impact USD</t>
  </si>
  <si>
    <t>All VOs</t>
  </si>
  <si>
    <t>All VO Cost Impact USD</t>
  </si>
  <si>
    <t>Approved Time Impact (days)</t>
  </si>
  <si>
    <t>Q2. Who initiates the most change orders — Client, Consultant, Contractor or Architect?</t>
  </si>
  <si>
    <t>Initiated By</t>
  </si>
  <si>
    <t>VOs Raised</t>
  </si>
  <si>
    <t>% of All VOs</t>
  </si>
  <si>
    <t>Total Cost Impact USD</t>
  </si>
  <si>
    <t>Avg Cost per VO USD</t>
  </si>
  <si>
    <t>Q3. What % of change orders are still Pending or Under Review? What is the cost exposure?</t>
  </si>
  <si>
    <t>VOs</t>
  </si>
  <si>
    <t>% of VOs</t>
  </si>
  <si>
    <t>Cost Impact USD</t>
  </si>
  <si>
    <t>% of Cost Impact</t>
  </si>
  <si>
    <t>Avg Time Impact (days)</t>
  </si>
  <si>
    <t>Unresolved (Pending + Under Review)</t>
  </si>
  <si>
    <t>Correlation (Cost Impact vs Time Impact)</t>
  </si>
  <si>
    <t>Avg cost impact USD</t>
  </si>
  <si>
    <t>Avg time impact days</t>
  </si>
  <si>
    <t>First VO Raised</t>
  </si>
  <si>
    <t>Last VO Raised</t>
  </si>
  <si>
    <t>Months Active</t>
  </si>
  <si>
    <t>VOs per Month</t>
  </si>
  <si>
    <t>Q6. Approved vs Pending vs Under Review vs Rejected VO cost per project (stacked bar chart to the right)</t>
  </si>
  <si>
    <t>Approved USD</t>
  </si>
  <si>
    <t>Pending USD</t>
  </si>
  <si>
    <t>Under Review USD</t>
  </si>
  <si>
    <t>Rejected USD</t>
  </si>
  <si>
    <t>Total USD</t>
  </si>
  <si>
    <t>PROBLEM 09 — Subcontractor Performance Scorecard    |    Source sheet: P09-SubconScore (30 scorecards, 13 subcontractors, 3 projects)</t>
  </si>
  <si>
    <t>Q1. Rank all subcontractors by weighted score — top 3 and bottom 3</t>
  </si>
  <si>
    <t>Scorecards</t>
  </si>
  <si>
    <t>Avg Quality Score</t>
  </si>
  <si>
    <t>Total Defects</t>
  </si>
  <si>
    <t>Avg Safety Score</t>
  </si>
  <si>
    <t>Correlation (Defects vs Quality Score)</t>
  </si>
  <si>
    <t>Correlation (Defects vs Weighted Score)</t>
  </si>
  <si>
    <t>Avg defects per scorecard</t>
  </si>
  <si>
    <t>Q4. Five-dimension profile of the top-performing subcontractor (radar chart to the right)</t>
  </si>
  <si>
    <t>Top performer</t>
  </si>
  <si>
    <t>Avg weighted score</t>
  </si>
  <si>
    <t>Dimension</t>
  </si>
  <si>
    <t>Score (out of 5)</t>
  </si>
  <si>
    <t>Quality</t>
  </si>
  <si>
    <t>Cost</t>
  </si>
  <si>
    <t>Communication</t>
  </si>
  <si>
    <t>Q5. Which subcontractors should be blacklisted? (weighted score &lt; 3.0 AND defects &gt; 15)</t>
  </si>
  <si>
    <t>Scorecards meeting both criteria</t>
  </si>
  <si>
    <t>Scorecards with score &lt; 3.0</t>
  </si>
  <si>
    <t>Scorecards with defects &gt; 15</t>
  </si>
  <si>
    <t>Defect Count</t>
  </si>
  <si>
    <t>Q6. Subcontractor performance across the 3 projects — is any project a consistent outlier?</t>
  </si>
  <si>
    <t>Subcontractors Scored</t>
  </si>
  <si>
    <t>Avg Quality</t>
  </si>
  <si>
    <t>Avg Safety</t>
  </si>
  <si>
    <t>helper — avg weighted score by subcontractor</t>
  </si>
  <si>
    <t>PROBLEM 10 — Construction Cost Benchmarking    |    Source sheet: P10-Benchmark (40 completed projects, 3 countries, 2022–2025)</t>
  </si>
  <si>
    <t>Q1. Average cost per sqm by country (bar chart to the right)</t>
  </si>
  <si>
    <t>Avg Cost per sqm USD</t>
  </si>
  <si>
    <t>Total GFA sqm</t>
  </si>
  <si>
    <t>Blended Cost per sqm USD</t>
  </si>
  <si>
    <t>GLOBAL</t>
  </si>
  <si>
    <t>Min Cost/sqm</t>
  </si>
  <si>
    <t>Max Cost/sqm</t>
  </si>
  <si>
    <t>Q3. Has cost per sqm increased year-over-year? Trend by country</t>
  </si>
  <si>
    <t>Global Avg Cost/sqm</t>
  </si>
  <si>
    <t>Change 2022 → 2025</t>
  </si>
  <si>
    <t>Q4. Benchmark table — Project Type × Country, average cost per sqm (USD)</t>
  </si>
  <si>
    <t>Global Avg</t>
  </si>
  <si>
    <t>Country Average</t>
  </si>
  <si>
    <t>Q5. Outliers — projects where cost/sqm is more than 1.5× the average for that type in that country</t>
  </si>
  <si>
    <t>Outlier threshold (input)</t>
  </si>
  <si>
    <t>Outliers found</t>
  </si>
  <si>
    <t>Projects tested</t>
  </si>
  <si>
    <t>Cost per sqm USD</t>
  </si>
  <si>
    <t>Type-Country Avg USD</t>
  </si>
  <si>
    <t>Ratio to Benchmark</t>
  </si>
  <si>
    <t>Q6. Budget estimate for a 50,000 sqm Data Centre in Mumbai</t>
  </si>
  <si>
    <t>GFA required (sqm) — input</t>
  </si>
  <si>
    <t>Project type — input</t>
  </si>
  <si>
    <t>Country — input</t>
  </si>
  <si>
    <t>Benchmark — Data Centre in India (avg $/sqm)</t>
  </si>
  <si>
    <t>Projects in benchmark</t>
  </si>
  <si>
    <t>Global Data Centre avg $/sqm</t>
  </si>
  <si>
    <t>Low case (min $/sqm)</t>
  </si>
  <si>
    <t>High case (max $/sqm)</t>
  </si>
  <si>
    <t>India cost/sqm change 2022→2025</t>
  </si>
  <si>
    <t>Budget — base case USD</t>
  </si>
  <si>
    <t>Budget — low case USD</t>
  </si>
  <si>
    <t>Budget — high case USD</t>
  </si>
  <si>
    <t>Type-Country key</t>
  </si>
  <si>
    <t>Type-Country Avg</t>
  </si>
  <si>
    <t>Ratio</t>
  </si>
  <si>
    <t>PROBLEM 12 — Earned Value Management (EVM)    |    Source sheet: P12-EVM (36 monthly periods, BAC $25m)</t>
  </si>
  <si>
    <t>First month with negative SV</t>
  </si>
  <si>
    <t>SV in that month</t>
  </si>
  <si>
    <t>Months with negative SV</t>
  </si>
  <si>
    <t>SPI in that month</t>
  </si>
  <si>
    <t>Worst SV (USD)</t>
  </si>
  <si>
    <t>Month of worst SV</t>
  </si>
  <si>
    <t>CPI at Month 1</t>
  </si>
  <si>
    <t>CPI at Month 36</t>
  </si>
  <si>
    <t>Trend slope per month</t>
  </si>
  <si>
    <t>Average CPI</t>
  </si>
  <si>
    <t>Minimum CPI</t>
  </si>
  <si>
    <t>Months with CPI &lt; 1.00</t>
  </si>
  <si>
    <t>Budget at Completion (BAC)</t>
  </si>
  <si>
    <t>EAC at Month 36</t>
  </si>
  <si>
    <t>Variance at Completion (BAC - EAC)</t>
  </si>
  <si>
    <t>Projected cost overrun USD</t>
  </si>
  <si>
    <t>ETC remaining at Month 36</t>
  </si>
  <si>
    <t>Q4. PV, EV and AC — the classic S-curve (line chart to the right)</t>
  </si>
  <si>
    <t>PV — Planned Value USD</t>
  </si>
  <si>
    <t>EV — Earned Value USD</t>
  </si>
  <si>
    <t>AC — Actual Cost USD</t>
  </si>
  <si>
    <t>SPI threshold (input)</t>
  </si>
  <si>
    <t>First month below threshold</t>
  </si>
  <si>
    <t>Months below threshold</t>
  </si>
  <si>
    <t>Minimum SPI</t>
  </si>
  <si>
    <t>Month of minimum SPI</t>
  </si>
  <si>
    <t>SPI at Month 36</t>
  </si>
  <si>
    <t>Target CPI (input)</t>
  </si>
  <si>
    <t>Target month (input)</t>
  </si>
  <si>
    <t>EV at Month 24</t>
  </si>
  <si>
    <t>AC at Month 24</t>
  </si>
  <si>
    <t>CPI at Month 24</t>
  </si>
  <si>
    <t>AC allowed for target CPI</t>
  </si>
  <si>
    <t>Cost to be recovered USD</t>
  </si>
  <si>
    <t>Recovery as % of AC</t>
  </si>
  <si>
    <t>PROBLEM 13 — Procurement Lead Time Analysis    |    Source sheet: P13-LeadTime (50 purchase orders, 10 suppliers)</t>
  </si>
  <si>
    <t>Q1. Average lead time (order date to actual delivery) by material</t>
  </si>
  <si>
    <t>Avg Lead Time (days)</t>
  </si>
  <si>
    <t>POs</t>
  </si>
  <si>
    <t>Min (days)</t>
  </si>
  <si>
    <t>Max (days)</t>
  </si>
  <si>
    <t>Std Dev (days)</t>
  </si>
  <si>
    <t>On-time Deliveries</t>
  </si>
  <si>
    <t>On-time %</t>
  </si>
  <si>
    <t>Avg Delay vs Expected (days)</t>
  </si>
  <si>
    <t>Q3. How many POs were delivered late? What is the average delay?</t>
  </si>
  <si>
    <t>POs delivered late</t>
  </si>
  <si>
    <t>% of all POs</t>
  </si>
  <si>
    <t>Total POs</t>
  </si>
  <si>
    <t>Avg delay of late POs (days)</t>
  </si>
  <si>
    <t>Avg delay across all POs (days)</t>
  </si>
  <si>
    <t>Worst single delay (days)</t>
  </si>
  <si>
    <t>Avg Delay (days)</t>
  </si>
  <si>
    <t>Std Dev of Lead Time</t>
  </si>
  <si>
    <t>Q5. Which material has the longest and most unpredictable lead time?</t>
  </si>
  <si>
    <t>Longest avg lead time — material</t>
  </si>
  <si>
    <t>Days</t>
  </si>
  <si>
    <t>Most unpredictable — material</t>
  </si>
  <si>
    <t>Range min–max (days)</t>
  </si>
  <si>
    <t>Q6. Supplier reliability scorecard (ranked by on-time delivery %)</t>
  </si>
  <si>
    <t>Reliability Rating</t>
  </si>
  <si>
    <t>helper — sort key</t>
  </si>
  <si>
    <t>Invoice</t>
  </si>
  <si>
    <t>Project</t>
  </si>
  <si>
    <t>Days Past Due</t>
  </si>
  <si>
    <t>Outstanding USD</t>
  </si>
  <si>
    <t>Overdue Amount USD</t>
  </si>
  <si>
    <t>Interest USD</t>
  </si>
  <si>
    <t>Days to Pay</t>
  </si>
  <si>
    <t>Paid Late Amount USD</t>
  </si>
  <si>
    <t>PROBLEM 14 — Client Payment Aging Tracker    |    Source sheet: P14-PaymentAging (40 invoices, 10 clients, 5 projects)</t>
  </si>
  <si>
    <t>Total invoiced USD</t>
  </si>
  <si>
    <t>Total paid USD</t>
  </si>
  <si>
    <t>Total outstanding USD</t>
  </si>
  <si>
    <t>Q2. Which client has the highest overdue amount (paid after due date / still unpaid)?</t>
  </si>
  <si>
    <t>Invoices</t>
  </si>
  <si>
    <t>Invoiced USD</t>
  </si>
  <si>
    <t>Paid USD</t>
  </si>
  <si>
    <t>Paid-Late Amount USD</t>
  </si>
  <si>
    <t>Q3. Aging bucket analysis of outstanding balances</t>
  </si>
  <si>
    <t>As-at date for aging (input)</t>
  </si>
  <si>
    <t>Invoices with a balance</t>
  </si>
  <si>
    <t>Aging Bucket (days past due)</t>
  </si>
  <si>
    <t>% of Outstanding</t>
  </si>
  <si>
    <t>Avg Days Past Due</t>
  </si>
  <si>
    <t>0–30 days</t>
  </si>
  <si>
    <t>31–60 days</t>
  </si>
  <si>
    <t>61–90 days</t>
  </si>
  <si>
    <t>90+ days</t>
  </si>
  <si>
    <t>Q4. Average days-to-pay by client (payment date minus invoice date)</t>
  </si>
  <si>
    <t>Invoices Paid</t>
  </si>
  <si>
    <t>Avg Days to Pay</t>
  </si>
  <si>
    <t>Max Days to Pay</t>
  </si>
  <si>
    <t>Avg Days vs Due Date</t>
  </si>
  <si>
    <t>Invoices Unpaid</t>
  </si>
  <si>
    <t>Q5. Which project has the worst collection rate (Paid ÷ Invoiced)?</t>
  </si>
  <si>
    <t>Collection Rate</t>
  </si>
  <si>
    <t>Q6. Interest receivable on overdue amounts at 1.5% per month</t>
  </si>
  <si>
    <t>Monthly interest rate (input)</t>
  </si>
  <si>
    <t>Overdue invoices</t>
  </si>
  <si>
    <t>Total overdue amount USD</t>
  </si>
  <si>
    <t>Avg Days Overdue</t>
  </si>
  <si>
    <t>Interest Receivable USD</t>
  </si>
  <si>
    <t>TOTAL PAST DUE</t>
  </si>
  <si>
    <t>PROBLEM 15 — Multi-Project Portfolio Dashboard    |    Source sheet: P15-Portfolio (25 projects, 3 countries)</t>
  </si>
  <si>
    <t>Q1. How many projects are In Progress, On Hold, Completed and Planning? (pie chart to the right)</t>
  </si>
  <si>
    <t>Budget USD</t>
  </si>
  <si>
    <t>Spent USD</t>
  </si>
  <si>
    <t>Avg Completion %</t>
  </si>
  <si>
    <t>Q2. Total portfolio budget and spend, and overall budget variance</t>
  </si>
  <si>
    <t>Total portfolio budget USD</t>
  </si>
  <si>
    <t>Total spent USD</t>
  </si>
  <si>
    <t>Budget variance USD (spent - budget)</t>
  </si>
  <si>
    <t>Budget remaining USD</t>
  </si>
  <si>
    <t>Average completion %</t>
  </si>
  <si>
    <t>Q3. Red-zone projects — CPI &lt; 0.90 AND SPI &lt; 0.90</t>
  </si>
  <si>
    <t>Red-zone projects</t>
  </si>
  <si>
    <t>Projects with CPI &lt; 0.90</t>
  </si>
  <si>
    <t>Projects with SPI &lt; 0.90</t>
  </si>
  <si>
    <t>Q4. Bubble view — X = SPI, Y = CPI, bubble size = Budget (chart to the right)</t>
  </si>
  <si>
    <t>Risk Level</t>
  </si>
  <si>
    <t>Quadrant</t>
  </si>
  <si>
    <t>Definition</t>
  </si>
  <si>
    <t>Star</t>
  </si>
  <si>
    <t>SPI ≥ 1 and CPI ≥ 1</t>
  </si>
  <si>
    <t>On time, over cost</t>
  </si>
  <si>
    <t>SPI ≥ 1 and CPI &lt; 1</t>
  </si>
  <si>
    <t>Late, on cost</t>
  </si>
  <si>
    <t>SPI &lt; 1 and CPI ≥ 1</t>
  </si>
  <si>
    <t>Late and over cost</t>
  </si>
  <si>
    <t>SPI &lt; 1 and CPI &lt; 1</t>
  </si>
  <si>
    <t>Q5. Average completion % by country</t>
  </si>
  <si>
    <t>Total Spent USD</t>
  </si>
  <si>
    <t>Avg CPI</t>
  </si>
  <si>
    <t>Q6. Traffic-light summary — Green (CPI≥1 and SPI≥1), Red (both &lt; 0.9), Amber (everything else)</t>
  </si>
  <si>
    <t>GREEN</t>
  </si>
  <si>
    <t>CPI ≥ 1.0 and SPI ≥ 1.0</t>
  </si>
  <si>
    <t>RED</t>
  </si>
  <si>
    <t>CPI &lt; 0.9 and SPI &lt; 0.9</t>
  </si>
  <si>
    <t>AMBER</t>
  </si>
  <si>
    <t>Either index below 1.0 but not red</t>
  </si>
  <si>
    <t>Q7. Three-line executive summary for the board</t>
  </si>
  <si>
    <t>CONTENTS — jump to row</t>
  </si>
  <si>
    <t>Problem 01 — Cost Overrun (7 questions)</t>
  </si>
  <si>
    <t>row 5</t>
  </si>
  <si>
    <t>Problem 02 — Material Price Fluctuation (6)</t>
  </si>
  <si>
    <t>row 86</t>
  </si>
  <si>
    <t>Problem 03 — BOQ Variance (6)</t>
  </si>
  <si>
    <t>row 159</t>
  </si>
  <si>
    <t>Problem 04 — Labour Productivity (6)</t>
  </si>
  <si>
    <t>row 212</t>
  </si>
  <si>
    <t>Problem 05 — Tender Bid Comparison (6)</t>
  </si>
  <si>
    <t>row 276</t>
  </si>
  <si>
    <t>Problem 06 — Delay Root Cause (6)</t>
  </si>
  <si>
    <t>row 372</t>
  </si>
  <si>
    <t>Problem 07 — Cash Flow (6)</t>
  </si>
  <si>
    <t>row 465</t>
  </si>
  <si>
    <t>Problem 08 — Change Orders (6)</t>
  </si>
  <si>
    <t>row 534</t>
  </si>
  <si>
    <t>Problem 09 — Subcontractor Scorecard (6)</t>
  </si>
  <si>
    <t>row 584</t>
  </si>
  <si>
    <t>Problem 10 — Cost Benchmarking (6)</t>
  </si>
  <si>
    <t>row 649</t>
  </si>
  <si>
    <t>Problem 12 — Earned Value Management (6)</t>
  </si>
  <si>
    <t>row 714</t>
  </si>
  <si>
    <t>Problem 13 — Procurement Lead Time (6)</t>
  </si>
  <si>
    <t>row 781</t>
  </si>
  <si>
    <t>Problem 14 — Client Payment Aging (6)</t>
  </si>
  <si>
    <t>row 846</t>
  </si>
  <si>
    <t>Problem 15 — Portfolio Dashboard (7)</t>
  </si>
  <si>
    <t>row 916</t>
  </si>
  <si>
    <t>Note: grey blocks in columns H–V are helper calculations.</t>
  </si>
  <si>
    <t>Note: P11 and P16–P20 have no data sheet in this workbook.</t>
  </si>
  <si>
    <t>WT PARTNERSHIP  |  CONSTRUCTION ANALYTICS DASHBOARD</t>
  </si>
  <si>
    <t>Every KPI and chart below is a live formula link to the 'Analysis report' sheet (15 problems, 20 source datasets). Change the source data and this dashboard refreshes automatically.</t>
  </si>
  <si>
    <t>PORTFOLIO BUDGET (USD)</t>
  </si>
  <si>
    <t>SPEND TO DATE (USD)</t>
  </si>
  <si>
    <t>AVG PORTFOLIO COMPLETION</t>
  </si>
  <si>
    <t>RED-ZONE PROJECTS</t>
  </si>
  <si>
    <t>PORTFOLIO COST OVERRUN %</t>
  </si>
  <si>
    <t>PROJECTS OVER BUDGET</t>
  </si>
  <si>
    <t>TOTAL DELAY DAYS</t>
  </si>
  <si>
    <t>NET CASH POSITION (2024)</t>
  </si>
  <si>
    <t>OUTSTANDING RECEIVABLES</t>
  </si>
  <si>
    <t>UNRESOLVED VO EXPOSURE</t>
  </si>
  <si>
    <t>SUPPLIER ON-TIME DELIVERY</t>
  </si>
  <si>
    <t>EVM PROJECTED OVERRUN</t>
  </si>
  <si>
    <t>CHART DATA — live links to 'Analysis report'. Do not delete; every chart on this dashboard reads from these tables.</t>
  </si>
  <si>
    <t>T1 Cost variance by project type (P01 Q2)</t>
  </si>
  <si>
    <t>T2 Top 5 cost overruns (P01 Q3)</t>
  </si>
  <si>
    <t>T3 Cost per sqm by country (P10 Q1)</t>
  </si>
  <si>
    <t>T4 Cost overrun by country (P01 Q1)</t>
  </si>
  <si>
    <t>Avg Cost Overrun %</t>
  </si>
  <si>
    <t>T5 Delay cause Pareto (P06 Q1)</t>
  </si>
  <si>
    <t>Delay Cause</t>
  </si>
  <si>
    <t>T6 Delay days by activity (P06 Q5)</t>
  </si>
  <si>
    <t>T7 EVM S-curve (P12 Q4)</t>
  </si>
  <si>
    <t>PV</t>
  </si>
  <si>
    <t>EV</t>
  </si>
  <si>
    <t>AC</t>
  </si>
  <si>
    <t>T8 SPI vs CPI bubble (P15 Q4)</t>
  </si>
  <si>
    <t>T9 Monthly net cash flow (P07 Q3)</t>
  </si>
  <si>
    <t>T10 Receivables aging (P14 Q3)</t>
  </si>
  <si>
    <t>Aging Bucket</t>
  </si>
  <si>
    <t>T11 Supplier on-time delivery (P13 Q2)</t>
  </si>
  <si>
    <t>T12 Top subcontractor profile (P09 Q4)</t>
  </si>
  <si>
    <t>T13 Variation order value by status (P08 Q6)</t>
  </si>
  <si>
    <t>T14 Portfolio status mix (P15 Q1)</t>
  </si>
  <si>
    <t>1.  COST &amp; BUDGET PERFORMANCE  —  where the overrun is coming from</t>
  </si>
  <si>
    <t>2.  GEOGRAPHY  —  cost levels and overrun by country</t>
  </si>
  <si>
    <t>3.  SCHEDULE &amp; DELAY ROOT CAUSE  —  1,467 delay days explained</t>
  </si>
  <si>
    <t>4.  EARNED VALUE &amp; PROJECT HEALTH  —  are we on cost and on time?</t>
  </si>
  <si>
    <t>5.  CASH FLOW &amp; RECEIVABLES  —  the liquidity problem</t>
  </si>
  <si>
    <t>6.  PROCUREMENT &amp; SUBCONTRACTOR PERFORMANCE  —  the supply-side risk</t>
  </si>
  <si>
    <t>7.  VARIATIONS &amp; PORTFOLIO MIX  —  exposure and where projects sit</t>
  </si>
  <si>
    <t>8.  KEY FINDINGS &amp; ACTIONS  —  what the analysis report proves</t>
  </si>
  <si>
    <t>CHART DATA — every cell is a live formula link to 'Analysis report' (or the named source sheet). Do not delete; all 86 charts on this dashboard read from these tables.</t>
  </si>
  <si>
    <t>H1 — P01 Q3 — top 5 absolute overruns</t>
  </si>
  <si>
    <t>Absolute overrun USD</t>
  </si>
  <si>
    <t>H2 — P01 Q4 — duration vs overrun (50 projects)</t>
  </si>
  <si>
    <t>Duration (months)</t>
  </si>
  <si>
    <t>Cost overrun %</t>
  </si>
  <si>
    <t>H3 — P02 Q1/Q5 — avg price change by material</t>
  </si>
  <si>
    <t>Avg price change %</t>
  </si>
  <si>
    <t>H4 — P02 Q6 — TMT Steel observed + forecast</t>
  </si>
  <si>
    <t>TMT Steel USD/MT</t>
  </si>
  <si>
    <t>Forecast · month 21</t>
  </si>
  <si>
    <t>H5 — P03 Q6 — savings on items under BOQ</t>
  </si>
  <si>
    <t>H6 — P04 Q2 — productivity by country</t>
  </si>
  <si>
    <t>Avg productivity / man-hour</t>
  </si>
  <si>
    <t>H7 — P04 Q4 — 10 worst productivity days</t>
  </si>
  <si>
    <t>Date · Trade</t>
  </si>
  <si>
    <t>H8 — P04 Q5 — productivity by crew band</t>
  </si>
  <si>
    <t>H9 — P05 Q1 — lowest bid vs highest-scored bid</t>
  </si>
  <si>
    <t>Tender package</t>
  </si>
  <si>
    <t>Lowest bid USD</t>
  </si>
  <si>
    <t>Bid of highest-scored USD</t>
  </si>
  <si>
    <t>H10 — P05 Q2 — best vs worst weighted score per package</t>
  </si>
  <si>
    <t>Best weighted score</t>
  </si>
  <si>
    <t>Worst weighted score</t>
  </si>
  <si>
    <t>H11 — P05 Q3 — bids submitted and competitiveness</t>
  </si>
  <si>
    <t>Bids submitted</t>
  </si>
  <si>
    <t>Avg bid ÷ lowest bid</t>
  </si>
  <si>
    <t>H12 — P05 Q4 — HIGH RISK bids</t>
  </si>
  <si>
    <t>Contractor · Package</t>
  </si>
  <si>
    <t>Safety rating</t>
  </si>
  <si>
    <t>Past defect rate %</t>
  </si>
  <si>
    <t>H13 — P06 Q1 — delay cause Pareto</t>
  </si>
  <si>
    <t>Delay cause</t>
  </si>
  <si>
    <t>H14 — P06 Q4 — weather vs all-cause delay by month</t>
  </si>
  <si>
    <t>Weather delay days</t>
  </si>
  <si>
    <t>All-cause delay days</t>
  </si>
  <si>
    <t>H15 — P06 Q5 — delay by activity</t>
  </si>
  <si>
    <t>Total delay days</t>
  </si>
  <si>
    <t>Avg delay days</t>
  </si>
  <si>
    <t>H16 — P06 Q6 — cost of delay by project</t>
  </si>
  <si>
    <t>Cost of delay USD</t>
  </si>
  <si>
    <t>H17 — P07 Q4 — collection-risk project-months</t>
  </si>
  <si>
    <t>Month · Project</t>
  </si>
  <si>
    <t>Actual ÷ planned inflow</t>
  </si>
  <si>
    <t>H18 — P07 Q5 — cash surplus / deficit build-up</t>
  </si>
  <si>
    <t>Planned inflow</t>
  </si>
  <si>
    <t>Actual inflow</t>
  </si>
  <si>
    <t>Planned outflow</t>
  </si>
  <si>
    <t>Actual outflow</t>
  </si>
  <si>
    <t>Net surplus / (deficit)</t>
  </si>
  <si>
    <t>H19 — P07 Q6 — cash forecast accuracy</t>
  </si>
  <si>
    <t>Forecast accuracy %</t>
  </si>
  <si>
    <t>H20 — P08 Q1 — approved vs total VO cost</t>
  </si>
  <si>
    <t>Approved VO cost USD</t>
  </si>
  <si>
    <t>All VO cost USD</t>
  </si>
  <si>
    <t>H21 — P08 Q5 — VO frequency per month</t>
  </si>
  <si>
    <t>VOs per active month</t>
  </si>
  <si>
    <t>H22 — P09 Q3 — defects vs quality score (30 scorecards)</t>
  </si>
  <si>
    <t>Defect count</t>
  </si>
  <si>
    <t>Quality score</t>
  </si>
  <si>
    <t>H23 — P09 Q5 — blacklist candidates</t>
  </si>
  <si>
    <t>Subcontractor · Trade</t>
  </si>
  <si>
    <t>Weighted score</t>
  </si>
  <si>
    <t>H24 — P09 Q6 — subcontractor performance by project</t>
  </si>
  <si>
    <t>Avg quality</t>
  </si>
  <si>
    <t>Avg safety</t>
  </si>
  <si>
    <t>H25 — P10 Q5 — outlier test result</t>
  </si>
  <si>
    <t>Outliers above 1.5x benchmark</t>
  </si>
  <si>
    <t>H26 — P10 Q6 — 50,000 sqm Mumbai data centre budget</t>
  </si>
  <si>
    <t>Scenario</t>
  </si>
  <si>
    <t>Low case</t>
  </si>
  <si>
    <t>Base case</t>
  </si>
  <si>
    <t>High case</t>
  </si>
  <si>
    <t>H27 — P12 Q1 — schedule variance by month</t>
  </si>
  <si>
    <t>Schedule variance USD (EV - PV)</t>
  </si>
  <si>
    <t>H28 — P12 Q2 — CPI trend</t>
  </si>
  <si>
    <t>H29 — P12 Q3 — BAC vs EAC</t>
  </si>
  <si>
    <t>USD</t>
  </si>
  <si>
    <t>BAC — budget at completion</t>
  </si>
  <si>
    <t>EAC — forecast at completion</t>
  </si>
  <si>
    <t>H30 — P12 Q5 — SPI trend</t>
  </si>
  <si>
    <t>H31 — P12 Q6 — cost recovery needed by Month 24</t>
  </si>
  <si>
    <t>AC allowed for CPI 1.00</t>
  </si>
  <si>
    <t>H32 — P13 Q2 — supplier on-time delivery</t>
  </si>
  <si>
    <t>On-time delivery %</t>
  </si>
  <si>
    <t>H33 — P13 Q3 — on-time vs late POs</t>
  </si>
  <si>
    <t>Delivery outcome</t>
  </si>
  <si>
    <t>Delivered on time</t>
  </si>
  <si>
    <t>Delivered late</t>
  </si>
  <si>
    <t>H34 — P13 Q4 — lead time by country</t>
  </si>
  <si>
    <t>Avg lead time (days)</t>
  </si>
  <si>
    <t>Avg delay (days)</t>
  </si>
  <si>
    <t>H35 — P13 Q5 — lead-time unpredictability by material</t>
  </si>
  <si>
    <t>Std dev of lead time (days)</t>
  </si>
  <si>
    <t>H36 — P14 Q1 — invoiced / paid / outstanding</t>
  </si>
  <si>
    <t>Invoiced</t>
  </si>
  <si>
    <t>Paid</t>
  </si>
  <si>
    <t>Outstanding</t>
  </si>
  <si>
    <t>H37 — P14 Q2 — client outstanding and paid-late</t>
  </si>
  <si>
    <t>Paid after due date USD</t>
  </si>
  <si>
    <t>H38 — P14 Q3 — aging buckets</t>
  </si>
  <si>
    <t>Aging bucket</t>
  </si>
  <si>
    <t>H39 — P14 Q4 — days to pay by client</t>
  </si>
  <si>
    <t>Avg days to pay</t>
  </si>
  <si>
    <t>Max days to pay</t>
  </si>
  <si>
    <t>H40 — P14 Q5 — collection rate by project</t>
  </si>
  <si>
    <t>Collection rate</t>
  </si>
  <si>
    <t>H41 — P14 Q6 — interest receivable by client</t>
  </si>
  <si>
    <t>Interest receivable USD</t>
  </si>
  <si>
    <t>H42 — P15 Q2 — budget / spent / remaining</t>
  </si>
  <si>
    <t>Total budget</t>
  </si>
  <si>
    <t>Spent to date</t>
  </si>
  <si>
    <t>Budget remaining</t>
  </si>
  <si>
    <t>H43 — P15 Q3 — red-zone projects</t>
  </si>
  <si>
    <t>Red-zone project</t>
  </si>
  <si>
    <t>H44 — P15 Q5 — avg completion by country</t>
  </si>
  <si>
    <t>Avg completion %</t>
  </si>
  <si>
    <t>H45 — P15 Q6 — traffic-light counts</t>
  </si>
  <si>
    <t>Traffic light</t>
  </si>
  <si>
    <t>H46 — P15 Q7 — portfolio quadrant mix</t>
  </si>
  <si>
    <t>WT PARTNERSHIP  |  86-QUESTION CHART DASHBOARD</t>
  </si>
  <si>
    <t>One chart per question for all 86 analysis questions listed on the 'Analysis Dashboard ' sheet. Every chart, question title and answer line is a live formula link to the 'Analysis report' sheet — no value is retyped. Chart source tables sit in columns BA:BE of this sheet.</t>
  </si>
  <si>
    <t>THE STORY OF THE PORTFOLIO — 15 PROBLEMS, ONE NARRATIVE</t>
  </si>
  <si>
    <t>WT Partnership construction data | 50 projects, 25-project portfolio, 3 countries | Every chapter below is tagged to one of the 15 analysed problems. Evidence column is a live link to the Analysis report.</t>
  </si>
  <si>
    <t>THE STORY IN ONE SHOT</t>
  </si>
  <si>
    <t>WT wins work in the cheapest-bid market and prices it off benchmarks that are already drifting (P05, P10). The job then leaks value in three places at once: quantities and variations grow beyond the BOQ (P01, P03, P08), the site loses days to other people's decisions and to its own productivity swings (P04, P06, P09, P12), and the supply chain delivers late and dearer than planned (P02, P13). By the time the work is built the money is still outside the business — cash is negative, invoices are ageing, the portfolio is amber (P07, P14, P15). Nine out of ten projects finish over budget, 2024 closed $7.3m cash-negative, $11.9m sits uncollected and 72% of live projects are amber. The cause is not one failure; it is one chain, and it breaks in the same order every time.</t>
  </si>
  <si>
    <t>Ch</t>
  </si>
  <si>
    <t>Tag</t>
  </si>
  <si>
    <t>Chapter headline</t>
  </si>
  <si>
    <t>The story — what the data is telling us</t>
  </si>
  <si>
    <t>Evidence (live link to Analysis report)</t>
  </si>
  <si>
    <t>ACT I — THE PROMISE: how the job is won and priced</t>
  </si>
  <si>
    <t>P05</t>
  </si>
  <si>
    <t>We buy the cheapest number, not the best bid</t>
  </si>
  <si>
    <t>Award on the weighted score, not price alone. Hard-gate any bid with safety &lt; 3.5 or defects &gt; 8% before commercial evaluation.</t>
  </si>
  <si>
    <t>P10</t>
  </si>
  <si>
    <t>The rate base we price from is a moving target</t>
  </si>
  <si>
    <t>Benchmarks span $670/sqm in India to $3,677/sqm in Australia, and by type from $1,732/sqm (Data Centre) to $3,859/sqm (Hotel). Global rates look flat (-10.2% since 2022) but India has moved +81.6% in the same window. A single blended rate hides a 2.2x spread and an escalating market.</t>
  </si>
  <si>
    <t>Price every pursuit off the country x type cell, then add an explicit escalation line — never a portfolio average.</t>
  </si>
  <si>
    <t>ACT II — THE BUILD-UP: where the budget quietly disappears</t>
  </si>
  <si>
    <t>P01</t>
  </si>
  <si>
    <t>Overrun is the norm, not the exception</t>
  </si>
  <si>
    <t>45 of 50 projects finished over budget — $2.15bn planned became $2.53bn spent, a 17.6% portfolio overrun. Residential Towers are worst at 26.3%; the single biggest hit is WT-1028 at $2.47cr (33.1%). Duration explains none of it (r = -0.16), so this is not 'long jobs drift' — it is estimating and control, not time.</t>
  </si>
  <si>
    <t>Stop treating overrun as project-specific. Re-baseline the estimating allowance by type, starting with Residential Tower and Hospital.</t>
  </si>
  <si>
    <t>P03</t>
  </si>
  <si>
    <t>The BOQ is measured out, line by line</t>
  </si>
  <si>
    <t>72 BOQ lines across 3 projects show $18.3L of gross overrun against only $2.4L of savings — net $15.9L, 9.9% above BOQ. MEP-Electrical is over BOQ on 3 of 3 projects; Plastering on the Auckland hospital is 28.9% over. This is the micro-version of Chapter 3: the overrun is assembled from trades, not accidents.</t>
  </si>
  <si>
    <t>Put MEP-Electrical and wet trades on remeasure-and-report monthly, not at final account.</t>
  </si>
  <si>
    <t>P08</t>
  </si>
  <si>
    <t>Variations: a live book we have not closed</t>
  </si>
  <si>
    <t>45 VOs worth $1.43cr in total. $41.9L is approved, but 15 VOs (33%) worth $33.0L are still pending or under review — unquantified exposure sitting outside the forecast. Consultants raise the most VOs (36%); clients drive the most value ($53.0L). Cost and delay are unrelated (r = 0.12), so cheap variations still bite the programme.</t>
  </si>
  <si>
    <t>Move the $33.0L undetermined VO book into the risk register this month and force a 30-day determination rule.</t>
  </si>
  <si>
    <t>ACT III — THE GRIND: the site loses days it never gets back</t>
  </si>
  <si>
    <t>P04</t>
  </si>
  <si>
    <t>Productivity is not low — it is wildly inconsistent</t>
  </si>
  <si>
    <t>Across 80 crew-days, Civil &amp; Structure averages 3.54 units/man-hour but with the highest variance of any trade (CV 56.4%); the best crew band delivers 4.16 against 2.68 for the weakest. 20 of 80 days fall below the 25th percentile. The problem is not the workforce's ceiling, it is the floor — broken work fronts and unstable crew sizes.</t>
  </si>
  <si>
    <t>Standardise crew size to the proven 11–15 band and protect work fronts; chase the bad days, not the average.</t>
  </si>
  <si>
    <t>P06</t>
  </si>
  <si>
    <t>1,467 lost days — and most are decisions, not weather</t>
  </si>
  <si>
    <t>60 delay events cost 1,467 days, roughly $2.20cr at $15k/day. The top cause is RFI response delay (18.3% of events); consultants own 339 days, the most of any party. Weather accounts for only 10.8%, peaking in November. Testing &amp; Commissioning absorbs 291 days — delay concentrates at the end, where there is no float left.</t>
  </si>
  <si>
    <t>Put an SLA on RFI turnaround with the consultant, and start T&amp;C planning at 60% completion, not at handover.</t>
  </si>
  <si>
    <t>P09</t>
  </si>
  <si>
    <t>Subcontractor scoring is not discriminating</t>
  </si>
  <si>
    <t>30 scorecards average 3.43 with only 0.08 points separating the best and worst project. Civil &amp; Structure scores lowest on quality (2.45) and carries 48 defects, yet defect count barely correlates with the quality score (r = -0.09). Two subcontractors breach blacklist criteria. The scorecard is currently describing everyone as average.</t>
  </si>
  <si>
    <t>Rewrite the scoring weights so defects actually move the score, and act on the two blacklist breaches.</t>
  </si>
  <si>
    <t>P12</t>
  </si>
  <si>
    <t>EVM confirms it: behind and getting worse</t>
  </si>
  <si>
    <t>Over 36 months, SV is negative in 31 of them and CPI declines from 1.042 to 0.900 — efficiency is eroding, not recovering. SPI closes at 0.794. EAC lands at $2.78cr against a $2.50cr BAC, an 11.1% forecast overrun. Everything in Acts II and III shows up here as one number.</t>
  </si>
  <si>
    <t>Treat EAC vs BAC as the monthly board metric; a recovery plan is due while CPI is 0.90, not when it is 0.80.</t>
  </si>
  <si>
    <t>ACT IV — THE SQUEEZE: the supply chain sets our programme</t>
  </si>
  <si>
    <t>P02</t>
  </si>
  <si>
    <t>Materials inflate faster than the contingency</t>
  </si>
  <si>
    <t>Average material price movement is 7.5%, but RMC M30 (14.8%), Aggregate 20mm (14.6%) and Cement (11.9%) run at double that, and 20 of 90 monthly records exceed 15%. India is the most volatile market (9.8pp std dev). A fixed-price contract priced on a 5% allowance is under-funded before work starts.</t>
  </si>
  <si>
    <t>Forward-buy or rate-lock the top 3 movers at award; index-link where the client will accept it.</t>
  </si>
  <si>
    <t>P13</t>
  </si>
  <si>
    <t>70% of purchase orders land late</t>
  </si>
  <si>
    <t>35 of 50 POs arrive after the expected date, on an average 36.9-day lead time. Copper wiring takes 69 days; vitrified tiles swing between 18 and 74 days (sd 39.6). Not one of the 10 suppliers clears a 90% on-time rate — portfolio on-time performance is 30%. The delay days in Chapter 7 start in this chapter.</t>
  </si>
  <si>
    <t>Dual-source copper and tiles, carry buffer stock, and rebuild the procurement schedule on actual — not quoted — lead times.</t>
  </si>
  <si>
    <t>ACT V — THE RECKONING: the work is built, the money is not in</t>
  </si>
  <si>
    <t>P07</t>
  </si>
  <si>
    <t>2024 closed $7.3m cash-negative</t>
  </si>
  <si>
    <t>Collected $4.30cr against $5.03cr spent — a $73.2L deficit, with 3 of 4 projects individually negative and the deepest trough in Sep-2024. 17 of 48 project-months collected under 70% of plan, and forecast accuracy is only 76.9%. We are not just collecting badly; we are forecasting badly.</t>
  </si>
  <si>
    <t>Re-forecast cash monthly off actual certification history, and escalate any project-month below 70% of plan within the week.</t>
  </si>
  <si>
    <t>P14</t>
  </si>
  <si>
    <t>$11.9m outstanding — and most of it is old</t>
  </si>
  <si>
    <t>$1.19cr remains unpaid on $4.17cr invoiced (71.6% collection). $1.09cr of that is past due and 62.7% of it sits in the 90+ day bucket. Average time to payment is 58 days against ~30-day terms; Brookfield alone holds $41.4L. At 1.5%/month the overdue book has earned $7.98L of claimable interest.</t>
  </si>
  <si>
    <t>Escalate the 90+ bucket to formal recovery and start charging contractual interest — $7.98L is already claimable.</t>
  </si>
  <si>
    <t>P15</t>
  </si>
  <si>
    <t>The portfolio verdict: amber, and standing still</t>
  </si>
  <si>
    <t>Of 25 projects, 4 are green, 18 amber and 3 red. 8 are On Hold — tying up $50.6cr of budget doing nothing. 11 projects (44%) sit in the 'late and over cost' quadrant against only 4 true performers. Spend is 48.5% against 49.8% completion, so the portfolio looks on track on paper while the indices say otherwise.</t>
  </si>
  <si>
    <t>Force a decision on the 8 on-hold projects (restart or release capital) and put the 3 red projects on recovery plans before taking new work.</t>
  </si>
  <si>
    <t>P11</t>
  </si>
  <si>
    <t>The missing chapter: risk was never registered</t>
  </si>
  <si>
    <t>P11 — Risk Register &amp; Probability Matrix — is the one problem of the fifteen with no data sheet in this workbook. That is not a formatting gap, it is the reason the other fourteen chapters read the way they do: the $33.0L of undetermined VOs, the 90+ day debt, the 8 on-hold projects and the 3 red projects are all live risks that nobody scored, owned or priced in advance. Every chapter above is a risk that was managed after it happened.</t>
  </si>
  <si>
    <t>Stand up the risk register first: score the exposures already named in Chapters 5, 12, 13 and 14 and give each one an owner and a number.</t>
  </si>
  <si>
    <t>So what - the move</t>
  </si>
  <si>
    <t>THE CHAIN, IN ONE LINE</t>
  </si>
  <si>
    <t>Cheap bid (P05) + drifting rate base (P10)  →  quantities and variations grow (P01, P03, P08)  →  site loses 1,467 days to RFIs, suppliers and unstable crews (P04, P06, P09, P13)  →  materials inflate past the allowance (P02)  →  EVM confirms 11% overrun (P12)  →  cash goes negative and debt ages (P07, P14)  →  portfolio turns amber (P15)  —  and none of it was ever on a risk register (P11).</t>
  </si>
  <si>
    <t>THE FIVE MOVES THAT BREAK THE CHAIN</t>
  </si>
  <si>
    <t>1. Award on weighted score with a safety/defect hard gate — stop importing the problem at tender (P05, P09).</t>
  </si>
  <si>
    <t>2. Re-baseline estimating by country x type and index the top 3 material movers — price the market we are actually in (P10, P02).</t>
  </si>
  <si>
    <t>3. Determine the $33.0L VO book within 30 days and remeasure MEP/wet trades monthly — close the leak while it is small (P08, P03, P01).</t>
  </si>
  <si>
    <t>4. SLA the RFI turnaround, dual-source the two worst-lead-time materials and fix crew size at the proven band — buy back the 1,467 days (P06, P13, P04, P12).</t>
  </si>
  <si>
    <t>5. Re-forecast cash monthly, charge interest on the 90+ bucket and force a restart-or-release call on the 8 on-hold projects (P07, P14, P15, P11).</t>
  </si>
  <si>
    <t>Sources: every figure traces to the 'Analysis report' sheet (live formulas in column E) and the charts on 'Q&amp;A Chart Dashboard'. Currency shown as in source (Indian digit grouping; cr = crore, L = lakh).</t>
  </si>
  <si>
    <t>Across 5 packages and 13 contractors, the lowest bidder is not the best bidder on 2 of 5 packages. Cheap bids also quote longer programmes (r = -0.25), and 4 bids fail both the safety and defect screens - yet they price competitively enough to win. The discount we celebrate at award is a liability we inherit on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</si>
</sst>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
    <numFmt numFmtId="166" formatCode="[$$-409]#,##0"/>
    <numFmt numFmtId="167" formatCode="[$$-409]#,##0.00"/>
    <numFmt numFmtId="168" formatCode="0.0"/>
    <numFmt numFmtId="169" formatCode="0.0000"/>
    <numFmt numFmtId="170" formatCode="dd/mmm/yyyy"/>
    <numFmt numFmtId="171" formatCode="&quot;₹&quot;#,##0"/>
    <numFmt numFmtId="172" formatCode="&quot;₹&quot;#,##0;\(&quot;₹&quot;#,##0\);\-"/>
  </numFmts>
  <fonts count="57">
    <font>
      <sz val="11"/>
      <color theme="1"/>
      <name val="Calibri"/>
      <family val="2"/>
      <charset val="1"/>
    </font>
    <font>
      <b/>
      <sz val="16"/>
      <color rgb="FF1B2A4A"/>
      <name val="Arial"/>
      <charset val="1"/>
    </font>
    <font>
      <i/>
      <sz val="9"/>
      <color rgb="FF888888"/>
      <name val="Arial"/>
      <charset val="1"/>
    </font>
    <font>
      <b/>
      <sz val="10"/>
      <color rgb="FFFFFFFF"/>
      <name val="Arial"/>
      <charset val="1"/>
    </font>
    <font>
      <sz val="10"/>
      <name val="Arial"/>
      <charset val="1"/>
    </font>
    <font>
      <b/>
      <sz val="14"/>
      <color rgb="FF1B2A4A"/>
      <name val="Arial"/>
      <charset val="1"/>
    </font>
    <font>
      <b/>
      <sz val="12"/>
      <color rgb="FF00897B"/>
      <name val="Arial"/>
      <charset val="1"/>
    </font>
    <font>
      <b/>
      <sz val="10"/>
      <color rgb="FF00897B"/>
      <name val="Arial"/>
      <charset val="1"/>
    </font>
    <font>
      <b/>
      <sz val="11"/>
      <color rgb="FFED0000"/>
      <name val="Calibri"/>
      <family val="2"/>
    </font>
    <font>
      <b/>
      <sz val="20"/>
      <color theme="1"/>
      <name val="Calibri"/>
      <family val="2"/>
    </font>
    <font>
      <b/>
      <sz val="22"/>
      <color theme="1"/>
      <name val="Calibri"/>
      <family val="2"/>
    </font>
    <font>
      <b/>
      <sz val="16"/>
      <color theme="1"/>
      <name val="Calibri"/>
      <family val="2"/>
    </font>
    <font>
      <b/>
      <sz val="10"/>
      <color rgb="FFFFFFFF"/>
      <name val="Arial"/>
      <family val="2"/>
    </font>
    <font>
      <sz val="10"/>
      <color theme="1"/>
      <name val="Arial Unicode MS"/>
    </font>
    <font>
      <sz val="11"/>
      <color theme="1"/>
      <name val="Calibri"/>
      <family val="2"/>
      <charset val="1"/>
    </font>
    <font>
      <b/>
      <sz val="18"/>
      <color theme="1"/>
      <name val="Calibri"/>
      <family val="2"/>
    </font>
    <font>
      <b/>
      <sz val="11"/>
      <color theme="1"/>
      <name val="Calibri"/>
      <family val="2"/>
    </font>
    <font>
      <sz val="8"/>
      <name val="Calibri"/>
      <family val="2"/>
      <charset val="1"/>
    </font>
    <font>
      <sz val="10"/>
      <name val="Arial"/>
      <family val="2"/>
    </font>
    <font>
      <b/>
      <sz val="24"/>
      <color theme="1"/>
      <name val="Calibri"/>
      <family val="2"/>
    </font>
    <font>
      <b/>
      <sz val="14"/>
      <color rgb="FFFFFFFF"/>
      <name val="Calibri"/>
      <family val="2"/>
    </font>
    <font>
      <b/>
      <sz val="11"/>
      <color theme="1"/>
      <name val="Calibri"/>
      <family val="2"/>
      <charset val="1"/>
    </font>
    <font>
      <b/>
      <sz val="14"/>
      <color theme="1"/>
      <name val="Calibri"/>
      <family val="2"/>
      <charset val="1"/>
    </font>
    <font>
      <i/>
      <sz val="11"/>
      <color theme="1"/>
      <name val="Calibri"/>
      <family val="2"/>
      <charset val="1"/>
    </font>
    <font>
      <b/>
      <sz val="11"/>
      <color rgb="FFFFFFFF"/>
      <name val="Calibri"/>
      <family val="2"/>
      <charset val="1"/>
    </font>
    <font>
      <b/>
      <sz val="11"/>
      <color rgb="FF1F4E78"/>
      <name val="Calibri"/>
      <family val="2"/>
      <charset val="1"/>
    </font>
    <font>
      <sz val="11"/>
      <color rgb="FF0000FF"/>
      <name val="Calibri"/>
      <family val="2"/>
      <charset val="1"/>
    </font>
    <font>
      <i/>
      <sz val="11"/>
      <color rgb="FF808080"/>
      <name val="Calibri"/>
      <family val="2"/>
      <charset val="1"/>
    </font>
    <font>
      <sz val="11"/>
      <color rgb="FFBFBFBF"/>
      <name val="Calibri"/>
      <family val="2"/>
      <charset val="1"/>
    </font>
    <font>
      <sz val="11"/>
      <color rgb="FFA6A6A6"/>
      <name val="Calibri"/>
      <family val="2"/>
      <charset val="1"/>
    </font>
    <font>
      <i/>
      <sz val="11"/>
      <color rgb="FFA6A6A6"/>
      <name val="Calibri"/>
      <family val="2"/>
      <charset val="1"/>
    </font>
    <font>
      <b/>
      <sz val="20"/>
      <color rgb="FFFFFFFF"/>
      <name val="Calibri"/>
      <family val="2"/>
      <charset val="1"/>
    </font>
    <font>
      <sz val="9"/>
      <color theme="1"/>
      <name val="Calibri"/>
      <family val="2"/>
      <charset val="1"/>
    </font>
    <font>
      <i/>
      <sz val="9"/>
      <color theme="1"/>
      <name val="Calibri"/>
      <family val="2"/>
      <charset val="1"/>
    </font>
    <font>
      <b/>
      <sz val="8.5"/>
      <color rgb="FF5A6B80"/>
      <name val="Calibri"/>
      <family val="2"/>
      <charset val="1"/>
    </font>
    <font>
      <b/>
      <sz val="17"/>
      <color rgb="FF1F3864"/>
      <name val="Calibri"/>
      <family val="2"/>
      <charset val="1"/>
    </font>
    <font>
      <sz val="8"/>
      <color rgb="FF404040"/>
      <name val="Calibri"/>
      <family val="2"/>
      <charset val="1"/>
    </font>
    <font>
      <b/>
      <sz val="17"/>
      <color rgb="FFC00000"/>
      <name val="Calibri"/>
      <family val="2"/>
      <charset val="1"/>
    </font>
    <font>
      <b/>
      <sz val="17"/>
      <color rgb="FFC55A11"/>
      <name val="Calibri"/>
      <family val="2"/>
      <charset val="1"/>
    </font>
    <font>
      <b/>
      <sz val="10"/>
      <color rgb="FF1F3864"/>
      <name val="Calibri"/>
      <family val="2"/>
      <charset val="1"/>
    </font>
    <font>
      <b/>
      <sz val="9"/>
      <color rgb="FF5A6B80"/>
      <name val="Calibri"/>
      <family val="2"/>
      <charset val="1"/>
    </font>
    <font>
      <sz val="11"/>
      <color rgb="FF008000"/>
      <name val="Calibri"/>
      <family val="2"/>
      <charset val="1"/>
    </font>
    <font>
      <b/>
      <sz val="11"/>
      <color rgb="FF555555"/>
      <name val="Calibri"/>
      <family val="2"/>
      <charset val="1"/>
    </font>
    <font>
      <b/>
      <sz val="11"/>
      <color rgb="FF1F4E79"/>
      <name val="Calibri"/>
      <family val="2"/>
      <charset val="1"/>
    </font>
    <font>
      <b/>
      <sz val="12"/>
      <color rgb="FFFFFFFF"/>
      <name val="Calibri"/>
      <family val="2"/>
      <charset val="1"/>
    </font>
    <font>
      <b/>
      <sz val="9"/>
      <color rgb="FF1F4E79"/>
      <name val="Calibri"/>
      <family val="2"/>
      <charset val="1"/>
    </font>
    <font>
      <i/>
      <sz val="8"/>
      <color rgb="FF404040"/>
      <name val="Calibri"/>
      <family val="2"/>
      <charset val="1"/>
    </font>
    <font>
      <b/>
      <sz val="18"/>
      <color rgb="FF1F4E79"/>
      <name val="Calibri"/>
      <family val="2"/>
      <charset val="1"/>
    </font>
    <font>
      <sz val="9"/>
      <color rgb="FF404040"/>
      <name val="Calibri"/>
      <family val="2"/>
      <charset val="1"/>
    </font>
    <font>
      <b/>
      <sz val="18"/>
      <color rgb="FFFFFFFF"/>
      <name val="Calibri"/>
      <family val="2"/>
      <charset val="1"/>
    </font>
    <font>
      <i/>
      <sz val="10"/>
      <color rgb="FF404040"/>
      <name val="Calibri"/>
      <family val="2"/>
      <charset val="1"/>
    </font>
    <font>
      <b/>
      <sz val="12"/>
      <color rgb="FF1F4E79"/>
      <name val="Calibri"/>
      <family val="2"/>
      <charset val="1"/>
    </font>
    <font>
      <sz val="11"/>
      <color rgb="FF000000"/>
      <name val="Calibri"/>
      <family val="2"/>
      <charset val="1"/>
    </font>
    <font>
      <i/>
      <sz val="9"/>
      <color rgb="FF808080"/>
      <name val="Calibri"/>
      <family val="2"/>
      <charset val="1"/>
    </font>
    <font>
      <sz val="9"/>
      <color rgb="FF008000"/>
      <name val="Calibri"/>
      <family val="2"/>
      <charset val="1"/>
    </font>
    <font>
      <b/>
      <sz val="9"/>
      <color rgb="FF008000"/>
      <name val="Calibri"/>
      <family val="2"/>
      <charset val="1"/>
    </font>
    <font>
      <b/>
      <i/>
      <sz val="11"/>
      <color rgb="FF1F4E79"/>
      <name val="Calibri"/>
      <family val="2"/>
      <charset val="1"/>
    </font>
  </fonts>
  <fills count="28">
    <fill>
      <patternFill patternType="none"/>
    </fill>
    <fill>
      <patternFill patternType="gray125"/>
    </fill>
    <fill>
      <patternFill patternType="solid">
        <fgColor rgb="FF1B2A4A"/>
        <bgColor rgb="FF003366"/>
      </patternFill>
    </fill>
    <fill>
      <patternFill patternType="solid">
        <fgColor rgb="FFF2F4F7"/>
        <bgColor rgb="FFE8F5E9"/>
      </patternFill>
    </fill>
    <fill>
      <patternFill patternType="solid">
        <fgColor rgb="FFE8F5E9"/>
        <bgColor rgb="FFF2F4F7"/>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39997558519241921"/>
        <bgColor rgb="FF003366"/>
      </patternFill>
    </fill>
    <fill>
      <patternFill patternType="solid">
        <fgColor theme="9"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1F4E78"/>
        <bgColor indexed="64"/>
      </patternFill>
    </fill>
    <fill>
      <patternFill patternType="solid">
        <fgColor rgb="FFDDEBF7"/>
        <bgColor indexed="64"/>
      </patternFill>
    </fill>
    <fill>
      <patternFill patternType="solid">
        <fgColor rgb="FFFFF2CC"/>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FFFFFF"/>
        <bgColor indexed="64"/>
      </patternFill>
    </fill>
    <fill>
      <patternFill patternType="solid">
        <fgColor rgb="FF1F3864"/>
        <bgColor indexed="64"/>
      </patternFill>
    </fill>
    <fill>
      <patternFill patternType="solid">
        <fgColor rgb="FFD9E2F3"/>
        <bgColor indexed="64"/>
      </patternFill>
    </fill>
    <fill>
      <patternFill patternType="solid">
        <fgColor rgb="FFF2F6FC"/>
        <bgColor indexed="64"/>
      </patternFill>
    </fill>
    <fill>
      <patternFill patternType="solid">
        <fgColor rgb="FF1F4E79"/>
        <bgColor indexed="64"/>
      </patternFill>
    </fill>
    <fill>
      <patternFill patternType="solid">
        <fgColor rgb="FFF2F7FB"/>
        <bgColor indexed="64"/>
      </patternFill>
    </fill>
  </fills>
  <borders count="15">
    <border>
      <left/>
      <right/>
      <top/>
      <bottom/>
      <diagonal/>
    </border>
    <border>
      <left style="thin">
        <color rgb="FFD0D5DD"/>
      </left>
      <right style="thin">
        <color rgb="FFD0D5DD"/>
      </right>
      <top style="thin">
        <color rgb="FFD0D5DD"/>
      </top>
      <bottom style="thin">
        <color rgb="FFD0D5DD"/>
      </bottom>
      <diagonal/>
    </border>
    <border>
      <left style="thin">
        <color rgb="FFD0D5DD"/>
      </left>
      <right style="thin">
        <color rgb="FFD0D5DD"/>
      </right>
      <top/>
      <bottom/>
      <diagonal/>
    </border>
    <border>
      <left style="thin">
        <color rgb="FFD0D5DD"/>
      </left>
      <right/>
      <top/>
      <bottom/>
      <diagonal/>
    </border>
    <border>
      <left style="thin">
        <color indexed="64"/>
      </left>
      <right style="thin">
        <color indexed="64"/>
      </right>
      <top style="thin">
        <color indexed="64"/>
      </top>
      <bottom style="thin">
        <color indexed="64"/>
      </bottom>
      <diagonal/>
    </border>
    <border>
      <left style="thin">
        <color auto="1"/>
      </left>
      <right/>
      <top/>
      <bottom/>
      <diagonal/>
    </border>
    <border>
      <left/>
      <right/>
      <top style="thin">
        <color rgb="FFBDD0E8"/>
      </top>
      <bottom/>
      <diagonal/>
    </border>
    <border>
      <left/>
      <right/>
      <top/>
      <bottom style="thin">
        <color rgb="FFBDD0E8"/>
      </bottom>
      <diagonal/>
    </border>
    <border>
      <left style="thin">
        <color rgb="FFBDD0E8"/>
      </left>
      <right/>
      <top style="thin">
        <color rgb="FFBDD0E8"/>
      </top>
      <bottom/>
      <diagonal/>
    </border>
    <border>
      <left style="thin">
        <color rgb="FFBDD0E8"/>
      </left>
      <right/>
      <top/>
      <bottom/>
      <diagonal/>
    </border>
    <border>
      <left style="thin">
        <color rgb="FFBDD0E8"/>
      </left>
      <right/>
      <top/>
      <bottom style="thin">
        <color rgb="FFBDD0E8"/>
      </bottom>
      <diagonal/>
    </border>
    <border>
      <left/>
      <right style="thin">
        <color rgb="FFBDD0E8"/>
      </right>
      <top style="thin">
        <color rgb="FFBDD0E8"/>
      </top>
      <bottom/>
      <diagonal/>
    </border>
    <border>
      <left/>
      <right style="thin">
        <color rgb="FFBDD0E8"/>
      </right>
      <top/>
      <bottom/>
      <diagonal/>
    </border>
    <border>
      <left/>
      <right style="thin">
        <color rgb="FFBDD0E8"/>
      </right>
      <top/>
      <bottom style="thin">
        <color rgb="FFBDD0E8"/>
      </bottom>
      <diagonal/>
    </border>
    <border>
      <left style="thin">
        <color rgb="FFB4C6E7"/>
      </left>
      <right style="thin">
        <color rgb="FFB4C6E7"/>
      </right>
      <top style="thin">
        <color rgb="FFB4C6E7"/>
      </top>
      <bottom style="thin">
        <color rgb="FFB4C6E7"/>
      </bottom>
      <diagonal/>
    </border>
  </borders>
  <cellStyleXfs count="2">
    <xf numFmtId="0" fontId="0" fillId="0" borderId="0"/>
    <xf numFmtId="9" fontId="14" fillId="0" borderId="0" applyFont="0" applyFill="0" applyBorder="0" applyAlignment="0" applyProtection="0"/>
  </cellStyleXfs>
  <cellXfs count="164">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0" fontId="4" fillId="3" borderId="1" xfId="0" applyFont="1" applyFill="1" applyBorder="1" applyAlignment="1">
      <alignment vertical="center" wrapText="1"/>
    </xf>
    <xf numFmtId="0" fontId="3" fillId="2" borderId="1" xfId="0" applyFont="1" applyFill="1" applyBorder="1"/>
    <xf numFmtId="0" fontId="4" fillId="0" borderId="1" xfId="0" applyFont="1" applyBorder="1"/>
    <xf numFmtId="10" fontId="4" fillId="0" borderId="1" xfId="0" applyNumberFormat="1" applyFont="1" applyBorder="1"/>
    <xf numFmtId="0" fontId="6" fillId="0" borderId="0" xfId="0" applyFont="1"/>
    <xf numFmtId="164" fontId="0" fillId="0" borderId="1" xfId="0" applyNumberFormat="1" applyBorder="1"/>
    <xf numFmtId="0" fontId="0" fillId="0" borderId="1" xfId="0" applyBorder="1"/>
    <xf numFmtId="2" fontId="0" fillId="0" borderId="1" xfId="0" applyNumberFormat="1" applyBorder="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wrapText="1"/>
    </xf>
    <xf numFmtId="0" fontId="12" fillId="2" borderId="2" xfId="0" applyFont="1" applyFill="1" applyBorder="1" applyAlignment="1">
      <alignment horizontal="center" vertical="center" wrapText="1"/>
    </xf>
    <xf numFmtId="9" fontId="0" fillId="0" borderId="0" xfId="1" applyFont="1"/>
    <xf numFmtId="0" fontId="0" fillId="8" borderId="4" xfId="0" applyFill="1" applyBorder="1"/>
    <xf numFmtId="0" fontId="0" fillId="0" borderId="0" xfId="0" applyAlignment="1">
      <alignment horizontal="center" vertical="center"/>
    </xf>
    <xf numFmtId="0" fontId="0" fillId="8" borderId="0" xfId="0" applyFill="1" applyAlignment="1">
      <alignment horizontal="center" vertical="center"/>
    </xf>
    <xf numFmtId="2" fontId="4" fillId="0" borderId="1" xfId="0" applyNumberFormat="1" applyFont="1" applyBorder="1" applyAlignment="1">
      <alignment vertical="center" wrapText="1"/>
    </xf>
    <xf numFmtId="2" fontId="4" fillId="3" borderId="1" xfId="0" applyNumberFormat="1" applyFont="1" applyFill="1" applyBorder="1" applyAlignment="1">
      <alignment vertical="center" wrapText="1"/>
    </xf>
    <xf numFmtId="2" fontId="0" fillId="0" borderId="0" xfId="0" applyNumberFormat="1"/>
    <xf numFmtId="2" fontId="0" fillId="8" borderId="0" xfId="0" applyNumberFormat="1" applyFill="1"/>
    <xf numFmtId="0" fontId="16" fillId="8" borderId="0" xfId="0" applyFont="1" applyFill="1"/>
    <xf numFmtId="0" fontId="12" fillId="2" borderId="1" xfId="0" applyFont="1" applyFill="1" applyBorder="1" applyAlignment="1">
      <alignment horizontal="center" vertical="center" wrapText="1"/>
    </xf>
    <xf numFmtId="0" fontId="12" fillId="2" borderId="1" xfId="0" applyFont="1" applyFill="1" applyBorder="1"/>
    <xf numFmtId="10" fontId="0" fillId="9" borderId="0" xfId="1" applyNumberFormat="1" applyFont="1" applyFill="1"/>
    <xf numFmtId="0" fontId="12" fillId="10" borderId="2" xfId="0" applyFont="1" applyFill="1" applyBorder="1"/>
    <xf numFmtId="0" fontId="20" fillId="11" borderId="0" xfId="0" applyFont="1" applyFill="1"/>
    <xf numFmtId="0" fontId="18" fillId="3" borderId="1" xfId="0" applyFont="1" applyFill="1" applyBorder="1" applyAlignment="1">
      <alignment vertical="center" wrapText="1"/>
    </xf>
    <xf numFmtId="0" fontId="0" fillId="12" borderId="0" xfId="0" applyFill="1"/>
    <xf numFmtId="0" fontId="0" fillId="13" borderId="0" xfId="0" applyFill="1"/>
    <xf numFmtId="0" fontId="0" fillId="14" borderId="0" xfId="0" applyFill="1"/>
    <xf numFmtId="0" fontId="0" fillId="15" borderId="0" xfId="0" applyFill="1"/>
    <xf numFmtId="0" fontId="7" fillId="4" borderId="1" xfId="0" applyFont="1" applyFill="1" applyBorder="1"/>
    <xf numFmtId="0" fontId="21" fillId="0" borderId="0" xfId="0" applyFont="1"/>
    <xf numFmtId="0" fontId="22" fillId="0" borderId="0" xfId="0" applyFont="1"/>
    <xf numFmtId="0" fontId="23" fillId="0" borderId="0" xfId="0" applyFont="1"/>
    <xf numFmtId="165" fontId="0" fillId="0" borderId="0" xfId="0" applyNumberFormat="1"/>
    <xf numFmtId="164" fontId="0" fillId="0" borderId="0" xfId="0" applyNumberFormat="1"/>
    <xf numFmtId="0" fontId="24" fillId="16" borderId="0" xfId="0" applyFont="1" applyFill="1"/>
    <xf numFmtId="0" fontId="25" fillId="0" borderId="0" xfId="0" applyFont="1"/>
    <xf numFmtId="0" fontId="21" fillId="17" borderId="0" xfId="0" applyFont="1" applyFill="1"/>
    <xf numFmtId="0" fontId="21" fillId="18" borderId="0" xfId="0" applyFont="1" applyFill="1"/>
    <xf numFmtId="165" fontId="21" fillId="0" borderId="0" xfId="0" applyNumberFormat="1" applyFont="1"/>
    <xf numFmtId="3" fontId="0" fillId="0" borderId="0" xfId="0" applyNumberFormat="1"/>
    <xf numFmtId="3" fontId="26" fillId="0" borderId="0" xfId="0" applyNumberFormat="1" applyFont="1"/>
    <xf numFmtId="166" fontId="0" fillId="0" borderId="0" xfId="0" applyNumberFormat="1"/>
    <xf numFmtId="166" fontId="21" fillId="0" borderId="0" xfId="0" applyNumberFormat="1" applyFont="1"/>
    <xf numFmtId="167" fontId="0" fillId="0" borderId="0" xfId="0" applyNumberFormat="1"/>
    <xf numFmtId="4" fontId="0" fillId="0" borderId="0" xfId="0" applyNumberFormat="1"/>
    <xf numFmtId="0" fontId="27" fillId="0" borderId="0" xfId="0" applyFont="1"/>
    <xf numFmtId="3" fontId="27" fillId="0" borderId="0" xfId="0" applyNumberFormat="1" applyFont="1"/>
    <xf numFmtId="168" fontId="0" fillId="0" borderId="0" xfId="0" applyNumberFormat="1"/>
    <xf numFmtId="9" fontId="0" fillId="0" borderId="0" xfId="0" applyNumberFormat="1"/>
    <xf numFmtId="9" fontId="26" fillId="0" borderId="0" xfId="0" applyNumberFormat="1" applyFont="1"/>
    <xf numFmtId="166" fontId="26" fillId="0" borderId="0" xfId="0" applyNumberFormat="1" applyFont="1"/>
    <xf numFmtId="0" fontId="28" fillId="0" borderId="0" xfId="0" applyFont="1"/>
    <xf numFmtId="168" fontId="21" fillId="0" borderId="0" xfId="0" applyNumberFormat="1" applyFont="1"/>
    <xf numFmtId="1" fontId="0" fillId="0" borderId="0" xfId="0" applyNumberFormat="1"/>
    <xf numFmtId="1" fontId="21" fillId="0" borderId="0" xfId="0" applyNumberFormat="1" applyFont="1"/>
    <xf numFmtId="2" fontId="21" fillId="0" borderId="0" xfId="0" applyNumberFormat="1" applyFont="1"/>
    <xf numFmtId="0" fontId="29" fillId="0" borderId="0" xfId="0" applyFont="1"/>
    <xf numFmtId="0" fontId="30" fillId="0" borderId="0" xfId="0" applyFont="1"/>
    <xf numFmtId="2" fontId="30" fillId="0" borderId="0" xfId="0" applyNumberFormat="1" applyFont="1"/>
    <xf numFmtId="168" fontId="26" fillId="0" borderId="0" xfId="0" applyNumberFormat="1" applyFont="1"/>
    <xf numFmtId="0" fontId="26" fillId="0" borderId="0" xfId="0" applyFont="1"/>
    <xf numFmtId="3" fontId="21" fillId="0" borderId="0" xfId="0" applyNumberFormat="1" applyFont="1"/>
    <xf numFmtId="169" fontId="0" fillId="0" borderId="0" xfId="0" applyNumberFormat="1"/>
    <xf numFmtId="2" fontId="26" fillId="0" borderId="0" xfId="0" applyNumberFormat="1" applyFont="1"/>
    <xf numFmtId="170" fontId="26" fillId="0" borderId="0" xfId="0" applyNumberFormat="1" applyFont="1"/>
    <xf numFmtId="165" fontId="26" fillId="0" borderId="0" xfId="0" applyNumberFormat="1" applyFont="1"/>
    <xf numFmtId="0" fontId="0" fillId="19" borderId="0" xfId="0" applyFill="1"/>
    <xf numFmtId="0" fontId="0" fillId="20" borderId="0" xfId="0" applyFill="1"/>
    <xf numFmtId="0" fontId="0" fillId="21" borderId="0" xfId="0" applyFill="1"/>
    <xf numFmtId="0" fontId="24" fillId="16" borderId="5" xfId="0" applyFont="1" applyFill="1" applyBorder="1"/>
    <xf numFmtId="0" fontId="21" fillId="0" borderId="5" xfId="0" applyFont="1" applyBorder="1"/>
    <xf numFmtId="0" fontId="27" fillId="0" borderId="5" xfId="0" applyFont="1" applyBorder="1"/>
    <xf numFmtId="0" fontId="0" fillId="22" borderId="0" xfId="0" applyFill="1"/>
    <xf numFmtId="0" fontId="39" fillId="0" borderId="0" xfId="0" applyFont="1"/>
    <xf numFmtId="0" fontId="40" fillId="0" borderId="0" xfId="0" applyFont="1"/>
    <xf numFmtId="0" fontId="21" fillId="24" borderId="0" xfId="0" applyFont="1" applyFill="1"/>
    <xf numFmtId="0" fontId="41" fillId="0" borderId="0" xfId="0" applyFont="1"/>
    <xf numFmtId="2" fontId="41" fillId="0" borderId="0" xfId="0" applyNumberFormat="1" applyFont="1"/>
    <xf numFmtId="0" fontId="42" fillId="0" borderId="0" xfId="0" applyFont="1"/>
    <xf numFmtId="0" fontId="43" fillId="0" borderId="0" xfId="0" applyFont="1"/>
    <xf numFmtId="0" fontId="32" fillId="0" borderId="0" xfId="0" applyFont="1"/>
    <xf numFmtId="0" fontId="45" fillId="0" borderId="0" xfId="0" applyFont="1" applyAlignment="1">
      <alignment vertical="center" wrapText="1"/>
    </xf>
    <xf numFmtId="0" fontId="46" fillId="27" borderId="0" xfId="0" applyFont="1" applyFill="1" applyAlignment="1">
      <alignment vertical="top" wrapText="1"/>
    </xf>
    <xf numFmtId="0" fontId="0" fillId="0" borderId="0" xfId="0"/>
    <xf numFmtId="0" fontId="47" fillId="0" borderId="0" xfId="0" applyFont="1"/>
    <xf numFmtId="0" fontId="48" fillId="0" borderId="0" xfId="0" applyFont="1" applyAlignment="1">
      <alignment wrapText="1"/>
    </xf>
    <xf numFmtId="0" fontId="44" fillId="26" borderId="0" xfId="0" applyFont="1" applyFill="1" applyAlignment="1">
      <alignment vertical="center"/>
    </xf>
    <xf numFmtId="0" fontId="1" fillId="0" borderId="0" xfId="0" applyFont="1" applyAlignment="1">
      <alignment horizontal="center"/>
    </xf>
    <xf numFmtId="0" fontId="2" fillId="0" borderId="0" xfId="0" applyFont="1" applyAlignment="1">
      <alignment horizontal="center"/>
    </xf>
    <xf numFmtId="0" fontId="7" fillId="4" borderId="1" xfId="0" applyFont="1" applyFill="1" applyBorder="1"/>
    <xf numFmtId="0" fontId="32" fillId="22" borderId="0" xfId="0" applyFont="1" applyFill="1" applyAlignment="1">
      <alignment horizontal="left" vertical="center"/>
    </xf>
    <xf numFmtId="0" fontId="32" fillId="25" borderId="0" xfId="0" applyFont="1" applyFill="1" applyAlignment="1">
      <alignment horizontal="left" vertical="center"/>
    </xf>
    <xf numFmtId="0" fontId="24" fillId="23" borderId="0" xfId="0" applyFont="1" applyFill="1" applyAlignment="1">
      <alignment vertical="center"/>
    </xf>
    <xf numFmtId="0" fontId="34" fillId="25" borderId="8" xfId="0" applyFont="1" applyFill="1" applyBorder="1" applyAlignment="1">
      <alignment horizontal="center" vertical="center"/>
    </xf>
    <xf numFmtId="0" fontId="0" fillId="25" borderId="6" xfId="0" applyFill="1" applyBorder="1"/>
    <xf numFmtId="0" fontId="0" fillId="25" borderId="11" xfId="0" applyFill="1" applyBorder="1"/>
    <xf numFmtId="165" fontId="37" fillId="25" borderId="9" xfId="0" applyNumberFormat="1" applyFont="1" applyFill="1" applyBorder="1" applyAlignment="1">
      <alignment horizontal="center" vertical="center"/>
    </xf>
    <xf numFmtId="0" fontId="0" fillId="25" borderId="0" xfId="0" applyFill="1"/>
    <xf numFmtId="0" fontId="0" fillId="25" borderId="12" xfId="0" applyFill="1" applyBorder="1"/>
    <xf numFmtId="0" fontId="36" fillId="25" borderId="10" xfId="0" applyFont="1" applyFill="1" applyBorder="1" applyAlignment="1">
      <alignment horizontal="center" vertical="center"/>
    </xf>
    <xf numFmtId="0" fontId="0" fillId="25" borderId="7" xfId="0" applyFill="1" applyBorder="1"/>
    <xf numFmtId="0" fontId="0" fillId="25" borderId="13" xfId="0" applyFill="1" applyBorder="1"/>
    <xf numFmtId="171" fontId="37" fillId="25" borderId="9" xfId="0" applyNumberFormat="1" applyFont="1" applyFill="1" applyBorder="1" applyAlignment="1">
      <alignment horizontal="center" vertical="center"/>
    </xf>
    <xf numFmtId="171" fontId="38" fillId="25" borderId="9" xfId="0" applyNumberFormat="1" applyFont="1" applyFill="1" applyBorder="1" applyAlignment="1">
      <alignment horizontal="center" vertical="center"/>
    </xf>
    <xf numFmtId="3" fontId="38" fillId="25" borderId="9" xfId="0" applyNumberFormat="1" applyFont="1" applyFill="1" applyBorder="1" applyAlignment="1">
      <alignment horizontal="center" vertical="center"/>
    </xf>
    <xf numFmtId="1" fontId="37" fillId="25" borderId="9" xfId="0" applyNumberFormat="1" applyFont="1" applyFill="1" applyBorder="1" applyAlignment="1">
      <alignment horizontal="center" vertical="center"/>
    </xf>
    <xf numFmtId="172" fontId="37" fillId="25" borderId="9" xfId="0" applyNumberFormat="1" applyFont="1" applyFill="1" applyBorder="1" applyAlignment="1">
      <alignment horizontal="center" vertical="center"/>
    </xf>
    <xf numFmtId="0" fontId="31" fillId="23" borderId="0" xfId="0" applyFont="1" applyFill="1" applyAlignment="1">
      <alignment horizontal="center" vertical="center"/>
    </xf>
    <xf numFmtId="0" fontId="33" fillId="24" borderId="0" xfId="0" applyFont="1" applyFill="1" applyAlignment="1">
      <alignment horizontal="center"/>
    </xf>
    <xf numFmtId="171" fontId="35" fillId="25" borderId="9" xfId="0" applyNumberFormat="1" applyFont="1" applyFill="1" applyBorder="1" applyAlignment="1">
      <alignment horizontal="center" vertical="center"/>
    </xf>
    <xf numFmtId="165" fontId="35" fillId="25" borderId="9" xfId="0" applyNumberFormat="1" applyFont="1" applyFill="1" applyBorder="1" applyAlignment="1">
      <alignment horizontal="center" vertical="center"/>
    </xf>
    <xf numFmtId="0" fontId="5" fillId="0" borderId="0" xfId="0" applyFont="1" applyAlignment="1">
      <alignment horizontal="left"/>
    </xf>
    <xf numFmtId="0" fontId="2" fillId="0" borderId="0" xfId="0" applyFont="1"/>
    <xf numFmtId="0" fontId="9" fillId="7" borderId="0" xfId="0" applyFont="1" applyFill="1" applyAlignment="1">
      <alignment horizontal="center" wrapText="1"/>
    </xf>
    <xf numFmtId="0" fontId="0" fillId="7" borderId="0" xfId="0" applyFill="1" applyAlignment="1">
      <alignment horizontal="center" wrapText="1"/>
    </xf>
    <xf numFmtId="0" fontId="0" fillId="6" borderId="0" xfId="0" applyFill="1" applyAlignment="1">
      <alignment horizontal="left" vertical="center"/>
    </xf>
    <xf numFmtId="0" fontId="11" fillId="5" borderId="0" xfId="0" applyFont="1" applyFill="1" applyAlignment="1">
      <alignment horizontal="center" vertical="center"/>
    </xf>
    <xf numFmtId="0" fontId="0" fillId="5" borderId="0" xfId="0" applyFill="1" applyAlignment="1">
      <alignment horizontal="center" vertical="center"/>
    </xf>
    <xf numFmtId="0" fontId="9" fillId="7" borderId="0" xfId="0" applyFont="1" applyFill="1" applyAlignment="1">
      <alignment horizontal="center" vertical="center"/>
    </xf>
    <xf numFmtId="0" fontId="0" fillId="7" borderId="0" xfId="0" applyFill="1" applyAlignment="1">
      <alignment horizontal="center" vertical="center"/>
    </xf>
    <xf numFmtId="0" fontId="9" fillId="7" borderId="0" xfId="0" applyFont="1" applyFill="1" applyAlignment="1">
      <alignment horizontal="center"/>
    </xf>
    <xf numFmtId="0" fontId="0" fillId="7" borderId="0" xfId="0" applyFill="1" applyAlignment="1">
      <alignment horizontal="center"/>
    </xf>
    <xf numFmtId="0" fontId="0" fillId="6" borderId="0" xfId="0" applyFill="1" applyAlignment="1">
      <alignment horizontal="center" wrapText="1"/>
    </xf>
    <xf numFmtId="0" fontId="10" fillId="7" borderId="0" xfId="0" applyFont="1" applyFill="1" applyAlignment="1">
      <alignment horizontal="center"/>
    </xf>
    <xf numFmtId="0" fontId="0" fillId="6" borderId="3" xfId="0" applyFill="1" applyBorder="1" applyAlignment="1">
      <alignment horizontal="center" vertical="center" wrapText="1"/>
    </xf>
    <xf numFmtId="0" fontId="0" fillId="6" borderId="0" xfId="0" applyFill="1" applyAlignment="1">
      <alignment horizontal="center" vertical="center" wrapText="1"/>
    </xf>
    <xf numFmtId="0" fontId="13" fillId="6" borderId="0" xfId="0" applyFont="1" applyFill="1" applyAlignment="1">
      <alignment horizontal="center" wrapText="1"/>
    </xf>
    <xf numFmtId="0" fontId="5" fillId="0" borderId="0" xfId="0" applyFont="1"/>
    <xf numFmtId="0" fontId="15" fillId="5" borderId="0" xfId="0" applyFont="1" applyFill="1" applyAlignment="1">
      <alignment horizontal="center"/>
    </xf>
    <xf numFmtId="0" fontId="0" fillId="0" borderId="3" xfId="0" applyBorder="1" applyAlignment="1">
      <alignment horizontal="center"/>
    </xf>
    <xf numFmtId="0" fontId="0" fillId="0" borderId="0" xfId="0" applyAlignment="1">
      <alignment horizontal="center"/>
    </xf>
    <xf numFmtId="0" fontId="10" fillId="5" borderId="0" xfId="0" applyFont="1" applyFill="1" applyAlignment="1">
      <alignment horizontal="center"/>
    </xf>
    <xf numFmtId="0" fontId="19" fillId="7" borderId="0" xfId="0" applyFont="1" applyFill="1" applyAlignment="1">
      <alignment horizontal="center"/>
    </xf>
    <xf numFmtId="0" fontId="19" fillId="0" borderId="0" xfId="0" applyFont="1" applyAlignment="1">
      <alignment horizontal="center"/>
    </xf>
    <xf numFmtId="0" fontId="0" fillId="6" borderId="0" xfId="0" applyFill="1" applyAlignment="1">
      <alignment horizontal="center" vertical="center"/>
    </xf>
    <xf numFmtId="0" fontId="49" fillId="26" borderId="0" xfId="0" applyFont="1" applyFill="1"/>
    <xf numFmtId="0" fontId="50" fillId="0" borderId="0" xfId="0" applyFont="1"/>
    <xf numFmtId="0" fontId="51" fillId="0" borderId="0" xfId="0" applyFont="1"/>
    <xf numFmtId="0" fontId="52" fillId="0" borderId="0" xfId="0" applyFont="1"/>
    <xf numFmtId="0" fontId="21" fillId="18" borderId="0" xfId="0" applyFont="1" applyFill="1"/>
    <xf numFmtId="0" fontId="53" fillId="0" borderId="0" xfId="0" applyFont="1"/>
    <xf numFmtId="0" fontId="24" fillId="26" borderId="14" xfId="0" applyFont="1" applyFill="1" applyBorder="1" applyAlignment="1">
      <alignment horizontal="center" vertical="top" wrapText="1"/>
    </xf>
    <xf numFmtId="0" fontId="24" fillId="26" borderId="14" xfId="0" applyFont="1" applyFill="1" applyBorder="1" applyAlignment="1">
      <alignment vertical="top" wrapText="1"/>
    </xf>
    <xf numFmtId="0" fontId="43" fillId="24" borderId="14" xfId="0" applyFont="1" applyFill="1" applyBorder="1" applyAlignment="1">
      <alignment vertical="top" wrapText="1"/>
    </xf>
    <xf numFmtId="0" fontId="0" fillId="0" borderId="14" xfId="0" applyBorder="1" applyAlignment="1">
      <alignment horizontal="center" vertical="top" wrapText="1"/>
    </xf>
    <xf numFmtId="0" fontId="43" fillId="0" borderId="14" xfId="0" applyFont="1" applyBorder="1" applyAlignment="1">
      <alignment horizontal="center" vertical="top" wrapText="1"/>
    </xf>
    <xf numFmtId="0" fontId="21" fillId="0" borderId="14" xfId="0" applyFont="1" applyBorder="1" applyAlignment="1">
      <alignment vertical="top" wrapText="1"/>
    </xf>
    <xf numFmtId="0" fontId="0" fillId="0" borderId="14" xfId="0" applyBorder="1" applyAlignment="1">
      <alignment vertical="top" wrapText="1"/>
    </xf>
    <xf numFmtId="0" fontId="54" fillId="0" borderId="14" xfId="0" applyFont="1" applyBorder="1" applyAlignment="1">
      <alignment vertical="top" wrapText="1"/>
    </xf>
    <xf numFmtId="0" fontId="23" fillId="0" borderId="14" xfId="0" applyFont="1" applyBorder="1" applyAlignment="1">
      <alignment vertical="top" wrapText="1"/>
    </xf>
    <xf numFmtId="0" fontId="43" fillId="24" borderId="14" xfId="0" applyFont="1" applyFill="1" applyBorder="1" applyAlignment="1">
      <alignment horizontal="center" vertical="top" wrapText="1"/>
    </xf>
    <xf numFmtId="0" fontId="55" fillId="24" borderId="14" xfId="0" applyFont="1" applyFill="1" applyBorder="1" applyAlignment="1">
      <alignment vertical="top" wrapText="1"/>
    </xf>
    <xf numFmtId="0" fontId="56" fillId="24" borderId="14" xfId="0" applyFont="1" applyFill="1" applyBorder="1" applyAlignment="1">
      <alignment vertical="top" wrapText="1"/>
    </xf>
    <xf numFmtId="0" fontId="50" fillId="0" borderId="0" xfId="0" applyFont="1" applyAlignment="1">
      <alignment wrapText="1"/>
    </xf>
    <xf numFmtId="0" fontId="43" fillId="24" borderId="14" xfId="0" applyFont="1" applyFill="1" applyBorder="1" applyAlignment="1">
      <alignment horizontal="left" vertical="center" wrapText="1"/>
    </xf>
    <xf numFmtId="0" fontId="52" fillId="0" borderId="0" xfId="0" applyFont="1" applyAlignment="1">
      <alignment vertical="top" wrapText="1"/>
    </xf>
    <xf numFmtId="0" fontId="21" fillId="18" borderId="0" xfId="0" applyFont="1" applyFill="1" applyAlignment="1">
      <alignment vertical="center" wrapText="1"/>
    </xf>
  </cellXfs>
  <cellStyles count="2">
    <cellStyle name="Normal" xfId="0" builtinId="0"/>
    <cellStyle name="Percent" xfId="1" builtinId="5"/>
  </cellStyles>
  <dxfs count="6">
    <dxf>
      <fill>
        <patternFill>
          <bgColor theme="6" tint="0.39994506668294322"/>
        </patternFill>
      </fill>
    </dxf>
    <dxf>
      <fill>
        <patternFill>
          <bgColor theme="6" tint="0.39994506668294322"/>
        </patternFill>
      </fill>
    </dxf>
    <dxf>
      <fill>
        <patternFill>
          <bgColor theme="5" tint="0.39994506668294322"/>
        </patternFill>
      </fill>
    </dxf>
    <dxf>
      <fill>
        <patternFill>
          <bgColor theme="6" tint="0.59996337778862885"/>
        </patternFill>
      </fill>
    </dxf>
    <dxf>
      <fill>
        <patternFill>
          <bgColor theme="5" tint="0.59996337778862885"/>
        </patternFill>
      </fill>
    </dxf>
    <dxf>
      <fill>
        <patternFill>
          <bgColor rgb="FF92D05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7B1FA2"/>
      <rgbColor rgb="FF00897B"/>
      <rgbColor rgb="FFC0C0C0"/>
      <rgbColor rgb="FF888888"/>
      <rgbColor rgb="FF9999FF"/>
      <rgbColor rgb="FF993366"/>
      <rgbColor rgb="FFE8F5E9"/>
      <rgbColor rgb="FFF2F4F7"/>
      <rgbColor rgb="FF660066"/>
      <rgbColor rgb="FFE74C3C"/>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5A623"/>
      <rgbColor rgb="FFEF6C00"/>
      <rgbColor rgb="FF666699"/>
      <rgbColor rgb="FF969696"/>
      <rgbColor rgb="FF003366"/>
      <rgbColor rgb="FF27AE60"/>
      <rgbColor rgb="FF003300"/>
      <rgbColor rgb="FF333300"/>
      <rgbColor rgb="FF993300"/>
      <rgbColor rgb="FF993366"/>
      <rgbColor rgb="FF2E5090"/>
      <rgbColor rgb="FF1B2A4A"/>
      <rgbColor rgb="00003366"/>
      <rgbColor rgb="00339966"/>
      <rgbColor rgb="00003300"/>
      <rgbColor rgb="00333300"/>
      <rgbColor rgb="00993300"/>
      <rgbColor rgb="00993366"/>
      <rgbColor rgb="00333399"/>
      <rgbColor rgb="00333333"/>
    </indexedColors>
    <mruColors>
      <color rgb="FFFFFFFF"/>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sheetMetadata" Target="metadata.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3.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4.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7.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9.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0.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1.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2.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3.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4.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5.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6.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7.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8.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59.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0.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1.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2.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3.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4.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5.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6.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7.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8.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69.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0.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1.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2.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3.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4.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5.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6.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7.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8.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7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2.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3.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5.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6.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7.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8.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89.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2.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3.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4.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5.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6.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7.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8.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99.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0.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1.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2.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3.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4.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5.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6.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7.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8.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09.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0.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1.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Cost Variance % by Project Type</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0"/>
          <c:order val="0"/>
          <c:tx>
            <c:strRef>
              <c:f>'KPI Dashboard'!$AC$3</c:f>
              <c:strCache>
                <c:ptCount val="1"/>
                <c:pt idx="0">
                  <c:v>Variance %</c:v>
                </c:pt>
              </c:strCache>
            </c:strRef>
          </c:tx>
          <c:spPr>
            <a:solidFill>
              <a:schemeClr val="accent1"/>
            </a:solidFill>
            <a:ln>
              <a:noFill/>
            </a:ln>
            <a:effectLst/>
          </c:spPr>
          <c:invertIfNegative val="0"/>
          <c:cat>
            <c:strRef>
              <c:f>'KPI Dashboard'!$AB$4:$AB$13</c:f>
              <c:strCache>
                <c:ptCount val="10"/>
                <c:pt idx="0">
                  <c:v>Residential Tower</c:v>
                </c:pt>
                <c:pt idx="1">
                  <c:v>IT Park</c:v>
                </c:pt>
                <c:pt idx="2">
                  <c:v>University Campus</c:v>
                </c:pt>
                <c:pt idx="3">
                  <c:v>Industrial Warehouse</c:v>
                </c:pt>
                <c:pt idx="4">
                  <c:v>Data Centre</c:v>
                </c:pt>
                <c:pt idx="5">
                  <c:v>Hospital</c:v>
                </c:pt>
                <c:pt idx="6">
                  <c:v>Commercial Office</c:v>
                </c:pt>
                <c:pt idx="7">
                  <c:v>Hotel</c:v>
                </c:pt>
                <c:pt idx="8">
                  <c:v>Metro Station</c:v>
                </c:pt>
                <c:pt idx="9">
                  <c:v>Shopping Mall</c:v>
                </c:pt>
              </c:strCache>
            </c:strRef>
          </c:cat>
          <c:val>
            <c:numRef>
              <c:f>'KPI Dashboard'!$AC$4:$AC$13</c:f>
              <c:numCache>
                <c:formatCode>General</c:formatCode>
                <c:ptCount val="10"/>
                <c:pt idx="0">
                  <c:v>0.26303253869619536</c:v>
                </c:pt>
                <c:pt idx="1">
                  <c:v>0.2156748714407726</c:v>
                </c:pt>
                <c:pt idx="2">
                  <c:v>0.21727468199894195</c:v>
                </c:pt>
                <c:pt idx="3">
                  <c:v>0.14692435075205149</c:v>
                </c:pt>
                <c:pt idx="4">
                  <c:v>0.12160820256079842</c:v>
                </c:pt>
                <c:pt idx="5">
                  <c:v>0.24714838879751946</c:v>
                </c:pt>
                <c:pt idx="6">
                  <c:v>0.1456331045417259</c:v>
                </c:pt>
                <c:pt idx="7">
                  <c:v>0.13721378428312062</c:v>
                </c:pt>
                <c:pt idx="8">
                  <c:v>0.1353116741729242</c:v>
                </c:pt>
                <c:pt idx="9">
                  <c:v>3.3802806582595241E-2</c:v>
                </c:pt>
              </c:numCache>
            </c:numRef>
          </c:val>
          <c:extLst>
            <c:ext xmlns:c16="http://schemas.microsoft.com/office/drawing/2014/chart" uri="{C3380CC4-5D6E-409C-BE32-E72D297353CC}">
              <c16:uniqueId val="{00000000-5046-450A-95F4-F0FE2FC8B177}"/>
            </c:ext>
          </c:extLst>
        </c:ser>
        <c:dLbls>
          <c:showLegendKey val="0"/>
          <c:showVal val="0"/>
          <c:showCatName val="0"/>
          <c:showSerName val="0"/>
          <c:showPercent val="0"/>
          <c:showBubbleSize val="0"/>
        </c:dLbls>
        <c:gapWidth val="219"/>
        <c:overlap val="-27"/>
        <c:axId val="213886128"/>
        <c:axId val="105688336"/>
      </c:barChart>
      <c:catAx>
        <c:axId val="2138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8336"/>
        <c:crosses val="autoZero"/>
        <c:auto val="1"/>
        <c:lblAlgn val="ctr"/>
        <c:lblOffset val="100"/>
        <c:noMultiLvlLbl val="0"/>
      </c:catAx>
      <c:valAx>
        <c:axId val="105688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8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Top 5 Projects by Absolute Cost Overrun (USD m)</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barChart>
        <c:barDir val="bar"/>
        <c:grouping val="clustered"/>
        <c:varyColors val="0"/>
        <c:ser>
          <c:idx val="0"/>
          <c:order val="0"/>
          <c:tx>
            <c:strRef>
              <c:f>'KPI Dashboard'!$AC$16</c:f>
              <c:strCache>
                <c:ptCount val="1"/>
                <c:pt idx="0">
                  <c:v>Absolute Overrun USD</c:v>
                </c:pt>
              </c:strCache>
            </c:strRef>
          </c:tx>
          <c:spPr>
            <a:solidFill>
              <a:schemeClr val="accent1"/>
            </a:solidFill>
            <a:ln>
              <a:noFill/>
            </a:ln>
            <a:effectLst/>
          </c:spPr>
          <c:invertIfNegative val="0"/>
          <c:cat>
            <c:strRef>
              <c:f>'KPI Dashboard'!$AB$17:$AB$21</c:f>
              <c:strCache>
                <c:ptCount val="5"/>
                <c:pt idx="0">
                  <c:v>Residential Tower Per-29</c:v>
                </c:pt>
                <c:pt idx="1">
                  <c:v>Residential Tower Hyd-33</c:v>
                </c:pt>
                <c:pt idx="2">
                  <c:v>IT Park Syd-34</c:v>
                </c:pt>
                <c:pt idx="3">
                  <c:v>University Campus Kol-35</c:v>
                </c:pt>
                <c:pt idx="4">
                  <c:v>Industrial Warehouse Can-44</c:v>
                </c:pt>
              </c:strCache>
            </c:strRef>
          </c:cat>
          <c:val>
            <c:numRef>
              <c:f>'KPI Dashboard'!$AC$17:$AC$21</c:f>
              <c:numCache>
                <c:formatCode>General</c:formatCode>
                <c:ptCount val="5"/>
                <c:pt idx="0">
                  <c:v>24654239</c:v>
                </c:pt>
                <c:pt idx="1">
                  <c:v>21628203</c:v>
                </c:pt>
                <c:pt idx="2">
                  <c:v>19739335</c:v>
                </c:pt>
                <c:pt idx="3">
                  <c:v>19335358</c:v>
                </c:pt>
                <c:pt idx="4">
                  <c:v>19116067</c:v>
                </c:pt>
              </c:numCache>
            </c:numRef>
          </c:val>
          <c:extLst>
            <c:ext xmlns:c16="http://schemas.microsoft.com/office/drawing/2014/chart" uri="{C3380CC4-5D6E-409C-BE32-E72D297353CC}">
              <c16:uniqueId val="{00000000-0DD8-4F71-BF2C-2749AC04F66B}"/>
            </c:ext>
          </c:extLst>
        </c:ser>
        <c:dLbls>
          <c:showLegendKey val="0"/>
          <c:showVal val="0"/>
          <c:showCatName val="0"/>
          <c:showSerName val="0"/>
          <c:showPercent val="0"/>
          <c:showBubbleSize val="0"/>
        </c:dLbls>
        <c:gapWidth val="182"/>
        <c:axId val="213899120"/>
        <c:axId val="105684016"/>
      </c:barChart>
      <c:catAx>
        <c:axId val="21389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4016"/>
        <c:crosses val="autoZero"/>
        <c:auto val="1"/>
        <c:lblAlgn val="ctr"/>
        <c:lblOffset val="100"/>
        <c:noMultiLvlLbl val="0"/>
      </c:catAx>
      <c:valAx>
        <c:axId val="105684016"/>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9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Average Cost Overrun % by Country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0"/>
          <c:order val="0"/>
          <c:tx>
            <c:strRef>
              <c:f>'KPI Dashboard'!$AC$30</c:f>
              <c:strCache>
                <c:ptCount val="1"/>
                <c:pt idx="0">
                  <c:v>Avg Cost Overrun %</c:v>
                </c:pt>
              </c:strCache>
            </c:strRef>
          </c:tx>
          <c:spPr>
            <a:solidFill>
              <a:schemeClr val="accent1"/>
            </a:solidFill>
            <a:ln>
              <a:noFill/>
            </a:ln>
            <a:effectLst/>
          </c:spPr>
          <c:invertIfNegative val="0"/>
          <c:cat>
            <c:strRef>
              <c:f>'KPI Dashboard'!$AB$31:$AB$33</c:f>
              <c:strCache>
                <c:ptCount val="3"/>
                <c:pt idx="0">
                  <c:v>Australia</c:v>
                </c:pt>
                <c:pt idx="1">
                  <c:v>India</c:v>
                </c:pt>
                <c:pt idx="2">
                  <c:v>New Zealand</c:v>
                </c:pt>
              </c:strCache>
            </c:strRef>
          </c:cat>
          <c:val>
            <c:numRef>
              <c:f>'KPI Dashboard'!$AC$31:$AC$33</c:f>
              <c:numCache>
                <c:formatCode>General</c:formatCode>
                <c:ptCount val="3"/>
                <c:pt idx="0">
                  <c:v>0.16732436817697408</c:v>
                </c:pt>
                <c:pt idx="1">
                  <c:v>0.15763933156400675</c:v>
                </c:pt>
                <c:pt idx="2">
                  <c:v>0.19747604341132344</c:v>
                </c:pt>
              </c:numCache>
            </c:numRef>
          </c:val>
          <c:extLst>
            <c:ext xmlns:c16="http://schemas.microsoft.com/office/drawing/2014/chart" uri="{C3380CC4-5D6E-409C-BE32-E72D297353CC}">
              <c16:uniqueId val="{00000000-E282-4A81-8FE7-21A167CA6C22}"/>
            </c:ext>
          </c:extLst>
        </c:ser>
        <c:dLbls>
          <c:showLegendKey val="0"/>
          <c:showVal val="0"/>
          <c:showCatName val="0"/>
          <c:showSerName val="0"/>
          <c:showPercent val="0"/>
          <c:showBubbleSize val="0"/>
        </c:dLbls>
        <c:gapWidth val="219"/>
        <c:overlap val="-27"/>
        <c:axId val="213878240"/>
        <c:axId val="105582736"/>
      </c:barChart>
      <c:catAx>
        <c:axId val="21387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82736"/>
        <c:crosses val="autoZero"/>
        <c:auto val="1"/>
        <c:lblAlgn val="ctr"/>
        <c:lblOffset val="100"/>
        <c:noMultiLvlLbl val="0"/>
      </c:catAx>
      <c:valAx>
        <c:axId val="1055827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7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Delay Cause Pareto — Events vs Cumulative %</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barChart>
        <c:barDir val="col"/>
        <c:grouping val="clustered"/>
        <c:varyColors val="0"/>
        <c:ser>
          <c:idx val="0"/>
          <c:order val="0"/>
          <c:tx>
            <c:strRef>
              <c:f>'KPI Dashboard'!$AC$36</c:f>
              <c:strCache>
                <c:ptCount val="1"/>
                <c:pt idx="0">
                  <c:v>Events</c:v>
                </c:pt>
              </c:strCache>
            </c:strRef>
          </c:tx>
          <c:spPr>
            <a:solidFill>
              <a:schemeClr val="accent1"/>
            </a:solidFill>
            <a:ln>
              <a:noFill/>
            </a:ln>
            <a:effectLst/>
          </c:spPr>
          <c:invertIfNegative val="0"/>
          <c:cat>
            <c:strRef>
              <c:f>'KPI Dashboard'!$AB$37:$AB$46</c:f>
              <c:strCache>
                <c:ptCount val="10"/>
                <c:pt idx="0">
                  <c:v>RFI Response Delay</c:v>
                </c:pt>
                <c:pt idx="1">
                  <c:v>Permit Delay</c:v>
                </c:pt>
                <c:pt idx="2">
                  <c:v>Material Delay</c:v>
                </c:pt>
                <c:pt idx="3">
                  <c:v>Client Decision Pending</c:v>
                </c:pt>
                <c:pt idx="4">
                  <c:v>Labour Shortage</c:v>
                </c:pt>
                <c:pt idx="5">
                  <c:v>Equipment Breakdown</c:v>
                </c:pt>
                <c:pt idx="6">
                  <c:v>Rework</c:v>
                </c:pt>
                <c:pt idx="7">
                  <c:v>Weather</c:v>
                </c:pt>
                <c:pt idx="8">
                  <c:v>Design Change</c:v>
                </c:pt>
                <c:pt idx="9">
                  <c:v>Subcontractor Default</c:v>
                </c:pt>
              </c:strCache>
            </c:strRef>
          </c:cat>
          <c:val>
            <c:numRef>
              <c:f>'KPI Dashboard'!$AC$37:$AC$46</c:f>
              <c:numCache>
                <c:formatCode>General</c:formatCode>
                <c:ptCount val="10"/>
                <c:pt idx="0">
                  <c:v>11</c:v>
                </c:pt>
                <c:pt idx="1">
                  <c:v>8</c:v>
                </c:pt>
                <c:pt idx="2">
                  <c:v>8</c:v>
                </c:pt>
                <c:pt idx="3">
                  <c:v>6</c:v>
                </c:pt>
                <c:pt idx="4">
                  <c:v>5</c:v>
                </c:pt>
                <c:pt idx="5">
                  <c:v>5</c:v>
                </c:pt>
                <c:pt idx="6">
                  <c:v>5</c:v>
                </c:pt>
                <c:pt idx="7">
                  <c:v>5</c:v>
                </c:pt>
                <c:pt idx="8">
                  <c:v>4</c:v>
                </c:pt>
                <c:pt idx="9">
                  <c:v>3</c:v>
                </c:pt>
              </c:numCache>
            </c:numRef>
          </c:val>
          <c:extLst>
            <c:ext xmlns:c16="http://schemas.microsoft.com/office/drawing/2014/chart" uri="{C3380CC4-5D6E-409C-BE32-E72D297353CC}">
              <c16:uniqueId val="{00000000-4B9B-46A2-9917-0C00D391B562}"/>
            </c:ext>
          </c:extLst>
        </c:ser>
        <c:dLbls>
          <c:showLegendKey val="0"/>
          <c:showVal val="0"/>
          <c:showCatName val="0"/>
          <c:showSerName val="0"/>
          <c:showPercent val="0"/>
          <c:showBubbleSize val="0"/>
        </c:dLbls>
        <c:gapWidth val="219"/>
        <c:overlap val="-27"/>
        <c:axId val="214969168"/>
        <c:axId val="105687376"/>
      </c:barChart>
      <c:lineChart>
        <c:grouping val="standard"/>
        <c:varyColors val="0"/>
        <c:ser>
          <c:idx val="1"/>
          <c:order val="1"/>
          <c:tx>
            <c:strRef>
              <c:f>'KPI Dashboard'!$AD$36</c:f>
              <c:strCache>
                <c:ptCount val="1"/>
                <c:pt idx="0">
                  <c:v>Cumulative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 Dashboard'!$AB$37:$AB$46</c:f>
              <c:strCache>
                <c:ptCount val="10"/>
                <c:pt idx="0">
                  <c:v>RFI Response Delay</c:v>
                </c:pt>
                <c:pt idx="1">
                  <c:v>Permit Delay</c:v>
                </c:pt>
                <c:pt idx="2">
                  <c:v>Material Delay</c:v>
                </c:pt>
                <c:pt idx="3">
                  <c:v>Client Decision Pending</c:v>
                </c:pt>
                <c:pt idx="4">
                  <c:v>Labour Shortage</c:v>
                </c:pt>
                <c:pt idx="5">
                  <c:v>Equipment Breakdown</c:v>
                </c:pt>
                <c:pt idx="6">
                  <c:v>Rework</c:v>
                </c:pt>
                <c:pt idx="7">
                  <c:v>Weather</c:v>
                </c:pt>
                <c:pt idx="8">
                  <c:v>Design Change</c:v>
                </c:pt>
                <c:pt idx="9">
                  <c:v>Subcontractor Default</c:v>
                </c:pt>
              </c:strCache>
            </c:strRef>
          </c:cat>
          <c:val>
            <c:numRef>
              <c:f>'KPI Dashboard'!$AD$37:$AD$46</c:f>
              <c:numCache>
                <c:formatCode>General</c:formatCode>
                <c:ptCount val="10"/>
                <c:pt idx="0">
                  <c:v>0.18333333333333332</c:v>
                </c:pt>
                <c:pt idx="1">
                  <c:v>0.31666666666666665</c:v>
                </c:pt>
                <c:pt idx="2">
                  <c:v>0.44999999999999996</c:v>
                </c:pt>
                <c:pt idx="3">
                  <c:v>0.54999999999999993</c:v>
                </c:pt>
                <c:pt idx="4">
                  <c:v>0.6333333333333333</c:v>
                </c:pt>
                <c:pt idx="5">
                  <c:v>0.71666666666666667</c:v>
                </c:pt>
                <c:pt idx="6">
                  <c:v>0.8</c:v>
                </c:pt>
                <c:pt idx="7">
                  <c:v>0.88333333333333341</c:v>
                </c:pt>
                <c:pt idx="8">
                  <c:v>0.95000000000000007</c:v>
                </c:pt>
                <c:pt idx="9">
                  <c:v>1</c:v>
                </c:pt>
              </c:numCache>
            </c:numRef>
          </c:val>
          <c:smooth val="0"/>
          <c:extLst>
            <c:ext xmlns:c16="http://schemas.microsoft.com/office/drawing/2014/chart" uri="{C3380CC4-5D6E-409C-BE32-E72D297353CC}">
              <c16:uniqueId val="{00000001-4B9B-46A2-9917-0C00D391B562}"/>
            </c:ext>
          </c:extLst>
        </c:ser>
        <c:dLbls>
          <c:showLegendKey val="0"/>
          <c:showVal val="0"/>
          <c:showCatName val="0"/>
          <c:showSerName val="0"/>
          <c:showPercent val="0"/>
          <c:showBubbleSize val="0"/>
        </c:dLbls>
        <c:marker val="1"/>
        <c:smooth val="0"/>
        <c:axId val="361696608"/>
        <c:axId val="105566896"/>
      </c:lineChart>
      <c:catAx>
        <c:axId val="21496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7376"/>
        <c:crosses val="autoZero"/>
        <c:auto val="1"/>
        <c:lblAlgn val="ctr"/>
        <c:lblOffset val="100"/>
        <c:noMultiLvlLbl val="0"/>
      </c:catAx>
      <c:valAx>
        <c:axId val="10568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69168"/>
        <c:crosses val="autoZero"/>
        <c:crossBetween val="between"/>
      </c:valAx>
      <c:valAx>
        <c:axId val="10556689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96608"/>
        <c:crosses val="max"/>
        <c:crossBetween val="between"/>
      </c:valAx>
      <c:catAx>
        <c:axId val="361696608"/>
        <c:scaling>
          <c:orientation val="minMax"/>
        </c:scaling>
        <c:delete val="1"/>
        <c:axPos val="b"/>
        <c:numFmt formatCode="General" sourceLinked="1"/>
        <c:majorTickMark val="out"/>
        <c:minorTickMark val="none"/>
        <c:tickLblPos val="nextTo"/>
        <c:crossAx val="1055668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Delay Days by Activity (Total 1,467 days)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barChart>
        <c:barDir val="bar"/>
        <c:grouping val="clustered"/>
        <c:varyColors val="0"/>
        <c:ser>
          <c:idx val="0"/>
          <c:order val="0"/>
          <c:tx>
            <c:strRef>
              <c:f>'KPI Dashboard'!$AC$49</c:f>
              <c:strCache>
                <c:ptCount val="1"/>
                <c:pt idx="0">
                  <c:v>Delay Days</c:v>
                </c:pt>
              </c:strCache>
            </c:strRef>
          </c:tx>
          <c:spPr>
            <a:solidFill>
              <a:schemeClr val="accent1"/>
            </a:solidFill>
            <a:ln>
              <a:noFill/>
            </a:ln>
            <a:effectLst/>
          </c:spPr>
          <c:invertIfNegative val="0"/>
          <c:cat>
            <c:strRef>
              <c:f>'KPI Dashboard'!$AB$50:$AB$58</c:f>
              <c:strCache>
                <c:ptCount val="9"/>
                <c:pt idx="0">
                  <c:v>Foundation</c:v>
                </c:pt>
                <c:pt idx="1">
                  <c:v>Superstructure</c:v>
                </c:pt>
                <c:pt idx="2">
                  <c:v>MEP Rough-In</c:v>
                </c:pt>
                <c:pt idx="3">
                  <c:v>Facade Installation</c:v>
                </c:pt>
                <c:pt idx="4">
                  <c:v>Interior Works</c:v>
                </c:pt>
                <c:pt idx="5">
                  <c:v>External Works</c:v>
                </c:pt>
                <c:pt idx="6">
                  <c:v>Landscape</c:v>
                </c:pt>
                <c:pt idx="7">
                  <c:v>Testing &amp; Commissioning</c:v>
                </c:pt>
                <c:pt idx="8">
                  <c:v>Handover Prep</c:v>
                </c:pt>
              </c:strCache>
            </c:strRef>
          </c:cat>
          <c:val>
            <c:numRef>
              <c:f>'KPI Dashboard'!$AC$50:$AC$58</c:f>
              <c:numCache>
                <c:formatCode>General</c:formatCode>
                <c:ptCount val="9"/>
                <c:pt idx="0">
                  <c:v>128</c:v>
                </c:pt>
                <c:pt idx="1">
                  <c:v>84</c:v>
                </c:pt>
                <c:pt idx="2">
                  <c:v>201</c:v>
                </c:pt>
                <c:pt idx="3">
                  <c:v>133</c:v>
                </c:pt>
                <c:pt idx="4">
                  <c:v>182</c:v>
                </c:pt>
                <c:pt idx="5">
                  <c:v>143</c:v>
                </c:pt>
                <c:pt idx="6">
                  <c:v>183</c:v>
                </c:pt>
                <c:pt idx="7">
                  <c:v>291</c:v>
                </c:pt>
                <c:pt idx="8">
                  <c:v>122</c:v>
                </c:pt>
              </c:numCache>
            </c:numRef>
          </c:val>
          <c:extLst>
            <c:ext xmlns:c16="http://schemas.microsoft.com/office/drawing/2014/chart" uri="{C3380CC4-5D6E-409C-BE32-E72D297353CC}">
              <c16:uniqueId val="{00000000-CE96-4285-8027-44B07FBF962F}"/>
            </c:ext>
          </c:extLst>
        </c:ser>
        <c:dLbls>
          <c:showLegendKey val="0"/>
          <c:showVal val="0"/>
          <c:showCatName val="0"/>
          <c:showSerName val="0"/>
          <c:showPercent val="0"/>
          <c:showBubbleSize val="0"/>
        </c:dLbls>
        <c:gapWidth val="182"/>
        <c:axId val="361650208"/>
        <c:axId val="105584176"/>
      </c:barChart>
      <c:catAx>
        <c:axId val="36165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84176"/>
        <c:crosses val="autoZero"/>
        <c:auto val="1"/>
        <c:lblAlgn val="ctr"/>
        <c:lblOffset val="100"/>
        <c:noMultiLvlLbl val="0"/>
      </c:catAx>
      <c:valAx>
        <c:axId val="1055841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EVM S-Curve — Planned vs Earned vs Actual (USD m, 36 months)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lineChart>
        <c:grouping val="standard"/>
        <c:varyColors val="0"/>
        <c:ser>
          <c:idx val="0"/>
          <c:order val="0"/>
          <c:tx>
            <c:strRef>
              <c:f>'KPI Dashboard'!$AC$61</c:f>
              <c:strCache>
                <c:ptCount val="1"/>
                <c:pt idx="0">
                  <c:v>PV</c:v>
                </c:pt>
              </c:strCache>
            </c:strRef>
          </c:tx>
          <c:spPr>
            <a:ln w="28575" cap="rnd">
              <a:solidFill>
                <a:schemeClr val="accent1"/>
              </a:solidFill>
              <a:round/>
            </a:ln>
            <a:effectLst/>
          </c:spPr>
          <c:marker>
            <c:symbol val="none"/>
          </c:marker>
          <c:cat>
            <c:strRef>
              <c:f>'KPI Dashboard'!$AB$62:$AB$97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'KPI Dashboard'!$AC$62:$AC$97</c:f>
              <c:numCache>
                <c:formatCode>General</c:formatCode>
                <c:ptCount val="36"/>
                <c:pt idx="0">
                  <c:v>713955</c:v>
                </c:pt>
                <c:pt idx="1">
                  <c:v>1375080</c:v>
                </c:pt>
                <c:pt idx="2">
                  <c:v>1996674</c:v>
                </c:pt>
                <c:pt idx="3">
                  <c:v>2659718</c:v>
                </c:pt>
                <c:pt idx="4">
                  <c:v>3522912</c:v>
                </c:pt>
                <c:pt idx="5">
                  <c:v>4311364</c:v>
                </c:pt>
                <c:pt idx="6">
                  <c:v>5076108</c:v>
                </c:pt>
                <c:pt idx="7">
                  <c:v>5518420</c:v>
                </c:pt>
                <c:pt idx="8">
                  <c:v>6176705</c:v>
                </c:pt>
                <c:pt idx="9">
                  <c:v>7227989</c:v>
                </c:pt>
                <c:pt idx="10">
                  <c:v>7370482</c:v>
                </c:pt>
                <c:pt idx="11">
                  <c:v>8456065</c:v>
                </c:pt>
                <c:pt idx="12">
                  <c:v>9008847</c:v>
                </c:pt>
                <c:pt idx="13">
                  <c:v>9643700</c:v>
                </c:pt>
                <c:pt idx="14">
                  <c:v>10155362</c:v>
                </c:pt>
                <c:pt idx="15">
                  <c:v>10577255</c:v>
                </c:pt>
                <c:pt idx="16">
                  <c:v>11781571</c:v>
                </c:pt>
                <c:pt idx="17">
                  <c:v>12582063</c:v>
                </c:pt>
                <c:pt idx="18">
                  <c:v>12569110</c:v>
                </c:pt>
                <c:pt idx="19">
                  <c:v>14320401</c:v>
                </c:pt>
                <c:pt idx="20">
                  <c:v>14542039</c:v>
                </c:pt>
                <c:pt idx="21">
                  <c:v>14869497</c:v>
                </c:pt>
                <c:pt idx="22">
                  <c:v>15558785</c:v>
                </c:pt>
                <c:pt idx="23">
                  <c:v>17061766</c:v>
                </c:pt>
                <c:pt idx="24">
                  <c:v>17492521</c:v>
                </c:pt>
                <c:pt idx="25">
                  <c:v>18841344</c:v>
                </c:pt>
                <c:pt idx="26">
                  <c:v>18256033</c:v>
                </c:pt>
                <c:pt idx="27">
                  <c:v>19169856</c:v>
                </c:pt>
                <c:pt idx="28">
                  <c:v>19840193</c:v>
                </c:pt>
                <c:pt idx="29">
                  <c:v>21767434</c:v>
                </c:pt>
                <c:pt idx="30">
                  <c:v>22540417</c:v>
                </c:pt>
                <c:pt idx="31">
                  <c:v>21195474</c:v>
                </c:pt>
                <c:pt idx="32">
                  <c:v>21816501</c:v>
                </c:pt>
                <c:pt idx="33">
                  <c:v>23880595</c:v>
                </c:pt>
                <c:pt idx="34">
                  <c:v>23521603</c:v>
                </c:pt>
                <c:pt idx="35">
                  <c:v>23898889</c:v>
                </c:pt>
              </c:numCache>
            </c:numRef>
          </c:val>
          <c:smooth val="0"/>
          <c:extLst>
            <c:ext xmlns:c16="http://schemas.microsoft.com/office/drawing/2014/chart" uri="{C3380CC4-5D6E-409C-BE32-E72D297353CC}">
              <c16:uniqueId val="{00000000-0FB7-47E3-9824-5FABBDD1085E}"/>
            </c:ext>
          </c:extLst>
        </c:ser>
        <c:ser>
          <c:idx val="1"/>
          <c:order val="1"/>
          <c:tx>
            <c:strRef>
              <c:f>'KPI Dashboard'!$AD$61</c:f>
              <c:strCache>
                <c:ptCount val="1"/>
                <c:pt idx="0">
                  <c:v>EV</c:v>
                </c:pt>
              </c:strCache>
            </c:strRef>
          </c:tx>
          <c:spPr>
            <a:ln w="28575" cap="rnd">
              <a:solidFill>
                <a:schemeClr val="accent2"/>
              </a:solidFill>
              <a:round/>
            </a:ln>
            <a:effectLst/>
          </c:spPr>
          <c:marker>
            <c:symbol val="none"/>
          </c:marker>
          <c:cat>
            <c:strRef>
              <c:f>'KPI Dashboard'!$AB$62:$AB$97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'KPI Dashboard'!$AD$62:$AD$97</c:f>
              <c:numCache>
                <c:formatCode>General</c:formatCode>
                <c:ptCount val="36"/>
                <c:pt idx="0">
                  <c:v>583077</c:v>
                </c:pt>
                <c:pt idx="1">
                  <c:v>1314419</c:v>
                </c:pt>
                <c:pt idx="2">
                  <c:v>1848591</c:v>
                </c:pt>
                <c:pt idx="3">
                  <c:v>2790438</c:v>
                </c:pt>
                <c:pt idx="4">
                  <c:v>3497510</c:v>
                </c:pt>
                <c:pt idx="5">
                  <c:v>4279745</c:v>
                </c:pt>
                <c:pt idx="6">
                  <c:v>3884193</c:v>
                </c:pt>
                <c:pt idx="7">
                  <c:v>5338129</c:v>
                </c:pt>
                <c:pt idx="8">
                  <c:v>5423142</c:v>
                </c:pt>
                <c:pt idx="9">
                  <c:v>6017261</c:v>
                </c:pt>
                <c:pt idx="10">
                  <c:v>6885739</c:v>
                </c:pt>
                <c:pt idx="11">
                  <c:v>7607646</c:v>
                </c:pt>
                <c:pt idx="12">
                  <c:v>6993716</c:v>
                </c:pt>
                <c:pt idx="13">
                  <c:v>9092039</c:v>
                </c:pt>
                <c:pt idx="14">
                  <c:v>10645116</c:v>
                </c:pt>
                <c:pt idx="15">
                  <c:v>9146675</c:v>
                </c:pt>
                <c:pt idx="16">
                  <c:v>11598138</c:v>
                </c:pt>
                <c:pt idx="17">
                  <c:v>10650481</c:v>
                </c:pt>
                <c:pt idx="18">
                  <c:v>11678398</c:v>
                </c:pt>
                <c:pt idx="19">
                  <c:v>11947221</c:v>
                </c:pt>
                <c:pt idx="20">
                  <c:v>12465870</c:v>
                </c:pt>
                <c:pt idx="21">
                  <c:v>11864184</c:v>
                </c:pt>
                <c:pt idx="22">
                  <c:v>14160157</c:v>
                </c:pt>
                <c:pt idx="23">
                  <c:v>16707135</c:v>
                </c:pt>
                <c:pt idx="24">
                  <c:v>18276175</c:v>
                </c:pt>
                <c:pt idx="25">
                  <c:v>19735602</c:v>
                </c:pt>
                <c:pt idx="26">
                  <c:v>15433674</c:v>
                </c:pt>
                <c:pt idx="27">
                  <c:v>17779442</c:v>
                </c:pt>
                <c:pt idx="28">
                  <c:v>18258838</c:v>
                </c:pt>
                <c:pt idx="29">
                  <c:v>21789398</c:v>
                </c:pt>
                <c:pt idx="30">
                  <c:v>20571227</c:v>
                </c:pt>
                <c:pt idx="31">
                  <c:v>16253757</c:v>
                </c:pt>
                <c:pt idx="32">
                  <c:v>19490789</c:v>
                </c:pt>
                <c:pt idx="33">
                  <c:v>23687965</c:v>
                </c:pt>
                <c:pt idx="34">
                  <c:v>23303495</c:v>
                </c:pt>
                <c:pt idx="35">
                  <c:v>18983212</c:v>
                </c:pt>
              </c:numCache>
            </c:numRef>
          </c:val>
          <c:smooth val="0"/>
          <c:extLst>
            <c:ext xmlns:c16="http://schemas.microsoft.com/office/drawing/2014/chart" uri="{C3380CC4-5D6E-409C-BE32-E72D297353CC}">
              <c16:uniqueId val="{00000001-0FB7-47E3-9824-5FABBDD1085E}"/>
            </c:ext>
          </c:extLst>
        </c:ser>
        <c:ser>
          <c:idx val="2"/>
          <c:order val="2"/>
          <c:tx>
            <c:strRef>
              <c:f>'KPI Dashboard'!$AE$61</c:f>
              <c:strCache>
                <c:ptCount val="1"/>
                <c:pt idx="0">
                  <c:v>AC</c:v>
                </c:pt>
              </c:strCache>
            </c:strRef>
          </c:tx>
          <c:spPr>
            <a:ln w="28575" cap="rnd">
              <a:solidFill>
                <a:schemeClr val="accent3"/>
              </a:solidFill>
              <a:round/>
            </a:ln>
            <a:effectLst/>
          </c:spPr>
          <c:marker>
            <c:symbol val="none"/>
          </c:marker>
          <c:cat>
            <c:strRef>
              <c:f>'KPI Dashboard'!$AB$62:$AB$97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'KPI Dashboard'!$AE$62:$AE$97</c:f>
              <c:numCache>
                <c:formatCode>General</c:formatCode>
                <c:ptCount val="36"/>
                <c:pt idx="0">
                  <c:v>559427</c:v>
                </c:pt>
                <c:pt idx="1">
                  <c:v>1552686</c:v>
                </c:pt>
                <c:pt idx="2">
                  <c:v>2172516</c:v>
                </c:pt>
                <c:pt idx="3">
                  <c:v>2676937</c:v>
                </c:pt>
                <c:pt idx="4">
                  <c:v>3244267</c:v>
                </c:pt>
                <c:pt idx="5">
                  <c:v>4009086</c:v>
                </c:pt>
                <c:pt idx="6">
                  <c:v>4572625</c:v>
                </c:pt>
                <c:pt idx="7">
                  <c:v>5598832</c:v>
                </c:pt>
                <c:pt idx="8">
                  <c:v>5456673</c:v>
                </c:pt>
                <c:pt idx="9">
                  <c:v>6220665</c:v>
                </c:pt>
                <c:pt idx="10">
                  <c:v>7471668</c:v>
                </c:pt>
                <c:pt idx="11">
                  <c:v>8861641</c:v>
                </c:pt>
                <c:pt idx="12">
                  <c:v>7097954</c:v>
                </c:pt>
                <c:pt idx="13">
                  <c:v>10357281</c:v>
                </c:pt>
                <c:pt idx="14">
                  <c:v>11316790</c:v>
                </c:pt>
                <c:pt idx="15">
                  <c:v>10189498</c:v>
                </c:pt>
                <c:pt idx="16">
                  <c:v>11635370</c:v>
                </c:pt>
                <c:pt idx="17">
                  <c:v>10449513</c:v>
                </c:pt>
                <c:pt idx="18">
                  <c:v>10613223</c:v>
                </c:pt>
                <c:pt idx="19">
                  <c:v>13650848</c:v>
                </c:pt>
                <c:pt idx="20">
                  <c:v>13403261</c:v>
                </c:pt>
                <c:pt idx="21">
                  <c:v>11559952</c:v>
                </c:pt>
                <c:pt idx="22">
                  <c:v>16105354</c:v>
                </c:pt>
                <c:pt idx="23">
                  <c:v>19786940</c:v>
                </c:pt>
                <c:pt idx="24">
                  <c:v>18578220</c:v>
                </c:pt>
                <c:pt idx="25">
                  <c:v>18790535</c:v>
                </c:pt>
                <c:pt idx="26">
                  <c:v>17307808</c:v>
                </c:pt>
                <c:pt idx="27">
                  <c:v>19753597</c:v>
                </c:pt>
                <c:pt idx="28">
                  <c:v>17211341</c:v>
                </c:pt>
                <c:pt idx="29">
                  <c:v>24907904</c:v>
                </c:pt>
                <c:pt idx="30">
                  <c:v>19597529</c:v>
                </c:pt>
                <c:pt idx="31">
                  <c:v>17562165</c:v>
                </c:pt>
                <c:pt idx="32">
                  <c:v>19481437</c:v>
                </c:pt>
                <c:pt idx="33">
                  <c:v>23740734</c:v>
                </c:pt>
                <c:pt idx="34">
                  <c:v>27042893</c:v>
                </c:pt>
                <c:pt idx="35">
                  <c:v>21098110</c:v>
                </c:pt>
              </c:numCache>
            </c:numRef>
          </c:val>
          <c:smooth val="0"/>
          <c:extLst>
            <c:ext xmlns:c16="http://schemas.microsoft.com/office/drawing/2014/chart" uri="{C3380CC4-5D6E-409C-BE32-E72D297353CC}">
              <c16:uniqueId val="{00000002-0FB7-47E3-9824-5FABBDD1085E}"/>
            </c:ext>
          </c:extLst>
        </c:ser>
        <c:dLbls>
          <c:showLegendKey val="0"/>
          <c:showVal val="0"/>
          <c:showCatName val="0"/>
          <c:showSerName val="0"/>
          <c:showPercent val="0"/>
          <c:showBubbleSize val="0"/>
        </c:dLbls>
        <c:smooth val="0"/>
        <c:axId val="361675264"/>
        <c:axId val="105602416"/>
      </c:lineChart>
      <c:catAx>
        <c:axId val="3616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02416"/>
        <c:crosses val="autoZero"/>
        <c:auto val="1"/>
        <c:lblAlgn val="ctr"/>
        <c:lblOffset val="100"/>
        <c:noMultiLvlLbl val="0"/>
      </c:catAx>
      <c:valAx>
        <c:axId val="105602416"/>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75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Project Health — SPI (x) vs CPI (y), bubble = Budget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bubbleChart>
        <c:varyColors val="0"/>
        <c:ser>
          <c:idx val="0"/>
          <c:order val="0"/>
          <c:tx>
            <c:strRef>
              <c:f>'KPI Dashboard'!$AC$100</c:f>
              <c:strCache>
                <c:ptCount val="1"/>
                <c:pt idx="0">
                  <c:v>CPI</c:v>
                </c:pt>
              </c:strCache>
            </c:strRef>
          </c:tx>
          <c:spPr>
            <a:solidFill>
              <a:schemeClr val="accent1">
                <a:alpha val="75000"/>
              </a:schemeClr>
            </a:solidFill>
            <a:ln>
              <a:noFill/>
            </a:ln>
            <a:effectLst/>
          </c:spPr>
          <c:invertIfNegative val="0"/>
          <c:xVal>
            <c:numRef>
              <c:f>'KPI Dashboard'!$AB$101:$AB$125</c:f>
              <c:numCache>
                <c:formatCode>0.00</c:formatCode>
                <c:ptCount val="25"/>
                <c:pt idx="0">
                  <c:v>0.91</c:v>
                </c:pt>
                <c:pt idx="1">
                  <c:v>1</c:v>
                </c:pt>
                <c:pt idx="2">
                  <c:v>1.06</c:v>
                </c:pt>
                <c:pt idx="3">
                  <c:v>0.9</c:v>
                </c:pt>
                <c:pt idx="4">
                  <c:v>0.81</c:v>
                </c:pt>
                <c:pt idx="5">
                  <c:v>0.78</c:v>
                </c:pt>
                <c:pt idx="6">
                  <c:v>1.1599999999999999</c:v>
                </c:pt>
                <c:pt idx="7">
                  <c:v>1.1100000000000001</c:v>
                </c:pt>
                <c:pt idx="8">
                  <c:v>1.1599999999999999</c:v>
                </c:pt>
                <c:pt idx="9">
                  <c:v>1.02</c:v>
                </c:pt>
                <c:pt idx="10">
                  <c:v>0.86</c:v>
                </c:pt>
                <c:pt idx="11">
                  <c:v>0.75</c:v>
                </c:pt>
                <c:pt idx="12">
                  <c:v>0.72</c:v>
                </c:pt>
                <c:pt idx="13">
                  <c:v>0.77</c:v>
                </c:pt>
                <c:pt idx="14">
                  <c:v>0.96</c:v>
                </c:pt>
                <c:pt idx="15">
                  <c:v>0.88</c:v>
                </c:pt>
                <c:pt idx="16">
                  <c:v>1.1000000000000001</c:v>
                </c:pt>
                <c:pt idx="17">
                  <c:v>1.06</c:v>
                </c:pt>
                <c:pt idx="18">
                  <c:v>1.1000000000000001</c:v>
                </c:pt>
                <c:pt idx="19">
                  <c:v>0.96</c:v>
                </c:pt>
                <c:pt idx="20">
                  <c:v>0.96</c:v>
                </c:pt>
                <c:pt idx="21">
                  <c:v>0.7</c:v>
                </c:pt>
                <c:pt idx="22">
                  <c:v>1.19</c:v>
                </c:pt>
                <c:pt idx="23">
                  <c:v>0.93</c:v>
                </c:pt>
                <c:pt idx="24">
                  <c:v>0.78</c:v>
                </c:pt>
              </c:numCache>
            </c:numRef>
          </c:xVal>
          <c:yVal>
            <c:numRef>
              <c:f>'KPI Dashboard'!$AC$101:$AC$125</c:f>
              <c:numCache>
                <c:formatCode>0.00</c:formatCode>
                <c:ptCount val="25"/>
                <c:pt idx="0">
                  <c:v>0.79</c:v>
                </c:pt>
                <c:pt idx="1">
                  <c:v>1.1200000000000001</c:v>
                </c:pt>
                <c:pt idx="2">
                  <c:v>0.99</c:v>
                </c:pt>
                <c:pt idx="3">
                  <c:v>1.04</c:v>
                </c:pt>
                <c:pt idx="4">
                  <c:v>1.0900000000000001</c:v>
                </c:pt>
                <c:pt idx="5">
                  <c:v>0.86</c:v>
                </c:pt>
                <c:pt idx="6">
                  <c:v>1.04</c:v>
                </c:pt>
                <c:pt idx="7">
                  <c:v>0.79</c:v>
                </c:pt>
                <c:pt idx="8">
                  <c:v>0.88</c:v>
                </c:pt>
                <c:pt idx="9">
                  <c:v>1</c:v>
                </c:pt>
                <c:pt idx="10">
                  <c:v>1.03</c:v>
                </c:pt>
                <c:pt idx="11">
                  <c:v>0.92</c:v>
                </c:pt>
                <c:pt idx="12">
                  <c:v>0.91</c:v>
                </c:pt>
                <c:pt idx="13">
                  <c:v>0.97</c:v>
                </c:pt>
                <c:pt idx="14">
                  <c:v>0.85</c:v>
                </c:pt>
                <c:pt idx="15">
                  <c:v>0.83</c:v>
                </c:pt>
                <c:pt idx="16">
                  <c:v>1</c:v>
                </c:pt>
                <c:pt idx="17">
                  <c:v>0.78</c:v>
                </c:pt>
                <c:pt idx="18">
                  <c:v>0.87</c:v>
                </c:pt>
                <c:pt idx="19">
                  <c:v>0.85</c:v>
                </c:pt>
                <c:pt idx="20">
                  <c:v>0.85</c:v>
                </c:pt>
                <c:pt idx="21">
                  <c:v>0.91</c:v>
                </c:pt>
                <c:pt idx="22">
                  <c:v>0.95</c:v>
                </c:pt>
                <c:pt idx="23">
                  <c:v>1.1200000000000001</c:v>
                </c:pt>
                <c:pt idx="24">
                  <c:v>0.89</c:v>
                </c:pt>
              </c:numCache>
            </c:numRef>
          </c:yVal>
          <c:bubbleSize>
            <c:numRef>
              <c:f>'KPI Dashboard'!$AD$101:$AD$125</c:f>
              <c:numCache>
                <c:formatCode>General</c:formatCode>
                <c:ptCount val="25"/>
                <c:pt idx="0">
                  <c:v>95528859</c:v>
                </c:pt>
                <c:pt idx="1">
                  <c:v>93252435</c:v>
                </c:pt>
                <c:pt idx="2">
                  <c:v>60343779</c:v>
                </c:pt>
                <c:pt idx="3">
                  <c:v>53319528</c:v>
                </c:pt>
                <c:pt idx="4">
                  <c:v>45512501</c:v>
                </c:pt>
                <c:pt idx="5">
                  <c:v>17655004</c:v>
                </c:pt>
                <c:pt idx="6">
                  <c:v>17335296</c:v>
                </c:pt>
                <c:pt idx="7">
                  <c:v>97555887</c:v>
                </c:pt>
                <c:pt idx="8">
                  <c:v>15533057</c:v>
                </c:pt>
                <c:pt idx="9">
                  <c:v>92614538</c:v>
                </c:pt>
                <c:pt idx="10">
                  <c:v>47857940</c:v>
                </c:pt>
                <c:pt idx="11">
                  <c:v>84877290</c:v>
                </c:pt>
                <c:pt idx="12">
                  <c:v>16079017</c:v>
                </c:pt>
                <c:pt idx="13">
                  <c:v>98666595</c:v>
                </c:pt>
                <c:pt idx="14">
                  <c:v>80318641</c:v>
                </c:pt>
                <c:pt idx="15">
                  <c:v>20103503</c:v>
                </c:pt>
                <c:pt idx="16">
                  <c:v>51938140</c:v>
                </c:pt>
                <c:pt idx="17">
                  <c:v>96987358</c:v>
                </c:pt>
                <c:pt idx="18">
                  <c:v>43612439</c:v>
                </c:pt>
                <c:pt idx="19">
                  <c:v>77209870</c:v>
                </c:pt>
                <c:pt idx="20">
                  <c:v>83249598</c:v>
                </c:pt>
                <c:pt idx="21">
                  <c:v>12124981</c:v>
                </c:pt>
                <c:pt idx="22">
                  <c:v>44258091</c:v>
                </c:pt>
                <c:pt idx="23">
                  <c:v>30020518</c:v>
                </c:pt>
                <c:pt idx="24">
                  <c:v>49770958</c:v>
                </c:pt>
              </c:numCache>
            </c:numRef>
          </c:bubbleSize>
          <c:bubble3D val="0"/>
          <c:extLst>
            <c:ext xmlns:c16="http://schemas.microsoft.com/office/drawing/2014/chart" uri="{C3380CC4-5D6E-409C-BE32-E72D297353CC}">
              <c16:uniqueId val="{00000000-73CC-4575-8E02-A571276E6801}"/>
            </c:ext>
          </c:extLst>
        </c:ser>
        <c:dLbls>
          <c:showLegendKey val="0"/>
          <c:showVal val="0"/>
          <c:showCatName val="0"/>
          <c:showSerName val="0"/>
          <c:showPercent val="0"/>
          <c:showBubbleSize val="0"/>
        </c:dLbls>
        <c:bubbleScale val="100"/>
        <c:showNegBubbles val="0"/>
        <c:axId val="361698928"/>
        <c:axId val="105629776"/>
      </c:bubbleChart>
      <c:valAx>
        <c:axId val="361698928"/>
        <c:scaling>
          <c:orientation val="minMax"/>
          <c:max val="1.3"/>
          <c:min val="0.6"/>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SPI (schedule)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29776"/>
        <c:crosses val="autoZero"/>
        <c:crossBetween val="midCat"/>
      </c:valAx>
      <c:valAx>
        <c:axId val="105629776"/>
        <c:scaling>
          <c:orientation val="minMax"/>
          <c:max val="1.2"/>
          <c:min val="0.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CPI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989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Monthly Net Cash Flow by Project — 2024 (USD 000s)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lineChart>
        <c:grouping val="standard"/>
        <c:varyColors val="0"/>
        <c:ser>
          <c:idx val="0"/>
          <c:order val="0"/>
          <c:tx>
            <c:strRef>
              <c:f>'KPI Dashboard'!$AC$128</c:f>
              <c:strCache>
                <c:ptCount val="1"/>
                <c:pt idx="0">
                  <c:v>WT-DC-MUM-01</c:v>
                </c:pt>
              </c:strCache>
            </c:strRef>
          </c:tx>
          <c:spPr>
            <a:ln w="28575" cap="rnd">
              <a:solidFill>
                <a:schemeClr val="accent1"/>
              </a:solidFill>
              <a:round/>
            </a:ln>
            <a:effectLst/>
          </c:spPr>
          <c:marker>
            <c:symbol val="none"/>
          </c:marker>
          <c:cat>
            <c:strRef>
              <c:f>'KPI Dashboard'!$AB$129:$AB$140</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'KPI Dashboard'!$AC$129:$AC$140</c:f>
              <c:numCache>
                <c:formatCode>General</c:formatCode>
                <c:ptCount val="12"/>
                <c:pt idx="0">
                  <c:v>-574274</c:v>
                </c:pt>
                <c:pt idx="1">
                  <c:v>-868853</c:v>
                </c:pt>
                <c:pt idx="2">
                  <c:v>-221231</c:v>
                </c:pt>
                <c:pt idx="3">
                  <c:v>1074695</c:v>
                </c:pt>
                <c:pt idx="4">
                  <c:v>389471</c:v>
                </c:pt>
                <c:pt idx="5">
                  <c:v>676310</c:v>
                </c:pt>
                <c:pt idx="6">
                  <c:v>147369</c:v>
                </c:pt>
                <c:pt idx="7">
                  <c:v>-30373</c:v>
                </c:pt>
                <c:pt idx="8">
                  <c:v>-576106</c:v>
                </c:pt>
                <c:pt idx="9">
                  <c:v>701779</c:v>
                </c:pt>
                <c:pt idx="10">
                  <c:v>674262</c:v>
                </c:pt>
                <c:pt idx="11">
                  <c:v>-553291</c:v>
                </c:pt>
              </c:numCache>
            </c:numRef>
          </c:val>
          <c:smooth val="0"/>
          <c:extLst>
            <c:ext xmlns:c16="http://schemas.microsoft.com/office/drawing/2014/chart" uri="{C3380CC4-5D6E-409C-BE32-E72D297353CC}">
              <c16:uniqueId val="{00000000-E77E-4562-A9AC-011335FFD8DC}"/>
            </c:ext>
          </c:extLst>
        </c:ser>
        <c:ser>
          <c:idx val="1"/>
          <c:order val="1"/>
          <c:tx>
            <c:strRef>
              <c:f>'KPI Dashboard'!$AD$128</c:f>
              <c:strCache>
                <c:ptCount val="1"/>
                <c:pt idx="0">
                  <c:v>WT-OFF-SYD-02</c:v>
                </c:pt>
              </c:strCache>
            </c:strRef>
          </c:tx>
          <c:spPr>
            <a:ln w="28575" cap="rnd">
              <a:solidFill>
                <a:schemeClr val="accent2"/>
              </a:solidFill>
              <a:round/>
            </a:ln>
            <a:effectLst/>
          </c:spPr>
          <c:marker>
            <c:symbol val="none"/>
          </c:marker>
          <c:cat>
            <c:strRef>
              <c:f>'KPI Dashboard'!$AB$129:$AB$140</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'KPI Dashboard'!$AD$129:$AD$140</c:f>
              <c:numCache>
                <c:formatCode>General</c:formatCode>
                <c:ptCount val="12"/>
                <c:pt idx="0">
                  <c:v>-1317584</c:v>
                </c:pt>
                <c:pt idx="1">
                  <c:v>836765</c:v>
                </c:pt>
                <c:pt idx="2">
                  <c:v>586100</c:v>
                </c:pt>
                <c:pt idx="3">
                  <c:v>-455351</c:v>
                </c:pt>
                <c:pt idx="4">
                  <c:v>502180</c:v>
                </c:pt>
                <c:pt idx="5">
                  <c:v>767572</c:v>
                </c:pt>
                <c:pt idx="6">
                  <c:v>-195047</c:v>
                </c:pt>
                <c:pt idx="7">
                  <c:v>-1056516</c:v>
                </c:pt>
                <c:pt idx="8">
                  <c:v>226548</c:v>
                </c:pt>
                <c:pt idx="9">
                  <c:v>73497</c:v>
                </c:pt>
                <c:pt idx="10">
                  <c:v>-824642</c:v>
                </c:pt>
                <c:pt idx="11">
                  <c:v>-533709</c:v>
                </c:pt>
              </c:numCache>
            </c:numRef>
          </c:val>
          <c:smooth val="0"/>
          <c:extLst>
            <c:ext xmlns:c16="http://schemas.microsoft.com/office/drawing/2014/chart" uri="{C3380CC4-5D6E-409C-BE32-E72D297353CC}">
              <c16:uniqueId val="{00000001-E77E-4562-A9AC-011335FFD8DC}"/>
            </c:ext>
          </c:extLst>
        </c:ser>
        <c:ser>
          <c:idx val="2"/>
          <c:order val="2"/>
          <c:tx>
            <c:strRef>
              <c:f>'KPI Dashboard'!$AE$128</c:f>
              <c:strCache>
                <c:ptCount val="1"/>
                <c:pt idx="0">
                  <c:v>WT-HOS-AKL-03</c:v>
                </c:pt>
              </c:strCache>
            </c:strRef>
          </c:tx>
          <c:spPr>
            <a:ln w="28575" cap="rnd">
              <a:solidFill>
                <a:schemeClr val="accent3"/>
              </a:solidFill>
              <a:round/>
            </a:ln>
            <a:effectLst/>
          </c:spPr>
          <c:marker>
            <c:symbol val="none"/>
          </c:marker>
          <c:cat>
            <c:strRef>
              <c:f>'KPI Dashboard'!$AB$129:$AB$140</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'KPI Dashboard'!$AE$129:$AE$140</c:f>
              <c:numCache>
                <c:formatCode>General</c:formatCode>
                <c:ptCount val="12"/>
                <c:pt idx="0">
                  <c:v>-595005</c:v>
                </c:pt>
                <c:pt idx="1">
                  <c:v>-533153</c:v>
                </c:pt>
                <c:pt idx="2">
                  <c:v>61735</c:v>
                </c:pt>
                <c:pt idx="3">
                  <c:v>-572862</c:v>
                </c:pt>
                <c:pt idx="4">
                  <c:v>579339</c:v>
                </c:pt>
                <c:pt idx="5">
                  <c:v>-68464</c:v>
                </c:pt>
                <c:pt idx="6">
                  <c:v>102073</c:v>
                </c:pt>
                <c:pt idx="7">
                  <c:v>-436762</c:v>
                </c:pt>
                <c:pt idx="8">
                  <c:v>-958914</c:v>
                </c:pt>
                <c:pt idx="9">
                  <c:v>-345897</c:v>
                </c:pt>
                <c:pt idx="10">
                  <c:v>-106806</c:v>
                </c:pt>
                <c:pt idx="11">
                  <c:v>-992486</c:v>
                </c:pt>
              </c:numCache>
            </c:numRef>
          </c:val>
          <c:smooth val="0"/>
          <c:extLst>
            <c:ext xmlns:c16="http://schemas.microsoft.com/office/drawing/2014/chart" uri="{C3380CC4-5D6E-409C-BE32-E72D297353CC}">
              <c16:uniqueId val="{00000002-E77E-4562-A9AC-011335FFD8DC}"/>
            </c:ext>
          </c:extLst>
        </c:ser>
        <c:ser>
          <c:idx val="3"/>
          <c:order val="3"/>
          <c:tx>
            <c:strRef>
              <c:f>'KPI Dashboard'!$AF$128</c:f>
              <c:strCache>
                <c:ptCount val="1"/>
                <c:pt idx="0">
                  <c:v>WT-ITP-BLR-04</c:v>
                </c:pt>
              </c:strCache>
            </c:strRef>
          </c:tx>
          <c:spPr>
            <a:ln w="28575" cap="rnd">
              <a:solidFill>
                <a:schemeClr val="accent4"/>
              </a:solidFill>
              <a:round/>
            </a:ln>
            <a:effectLst/>
          </c:spPr>
          <c:marker>
            <c:symbol val="none"/>
          </c:marker>
          <c:cat>
            <c:strRef>
              <c:f>'KPI Dashboard'!$AB$129:$AB$140</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'KPI Dashboard'!$AF$129:$AF$140</c:f>
              <c:numCache>
                <c:formatCode>General</c:formatCode>
                <c:ptCount val="12"/>
                <c:pt idx="0">
                  <c:v>545759</c:v>
                </c:pt>
                <c:pt idx="1">
                  <c:v>-3935</c:v>
                </c:pt>
                <c:pt idx="2">
                  <c:v>-186915</c:v>
                </c:pt>
                <c:pt idx="3">
                  <c:v>-1331420</c:v>
                </c:pt>
                <c:pt idx="4">
                  <c:v>-107332</c:v>
                </c:pt>
                <c:pt idx="5">
                  <c:v>-1097039</c:v>
                </c:pt>
                <c:pt idx="6">
                  <c:v>103162</c:v>
                </c:pt>
                <c:pt idx="7">
                  <c:v>596012</c:v>
                </c:pt>
                <c:pt idx="8">
                  <c:v>-810634</c:v>
                </c:pt>
                <c:pt idx="9">
                  <c:v>-1038711</c:v>
                </c:pt>
                <c:pt idx="10">
                  <c:v>447192</c:v>
                </c:pt>
                <c:pt idx="11">
                  <c:v>-14995</c:v>
                </c:pt>
              </c:numCache>
            </c:numRef>
          </c:val>
          <c:smooth val="0"/>
          <c:extLst>
            <c:ext xmlns:c16="http://schemas.microsoft.com/office/drawing/2014/chart" uri="{C3380CC4-5D6E-409C-BE32-E72D297353CC}">
              <c16:uniqueId val="{00000003-E77E-4562-A9AC-011335FFD8DC}"/>
            </c:ext>
          </c:extLst>
        </c:ser>
        <c:ser>
          <c:idx val="4"/>
          <c:order val="4"/>
          <c:tx>
            <c:strRef>
              <c:f>'KPI Dashboard'!$AG$128</c:f>
              <c:strCache>
                <c:ptCount val="1"/>
                <c:pt idx="0">
                  <c:v>All Projects</c:v>
                </c:pt>
              </c:strCache>
            </c:strRef>
          </c:tx>
          <c:spPr>
            <a:ln w="28575" cap="rnd">
              <a:solidFill>
                <a:schemeClr val="accent5"/>
              </a:solidFill>
              <a:round/>
            </a:ln>
            <a:effectLst/>
          </c:spPr>
          <c:marker>
            <c:symbol val="none"/>
          </c:marker>
          <c:cat>
            <c:strRef>
              <c:f>'KPI Dashboard'!$AB$129:$AB$140</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'KPI Dashboard'!$AG$129:$AG$140</c:f>
              <c:numCache>
                <c:formatCode>General</c:formatCode>
                <c:ptCount val="12"/>
                <c:pt idx="0">
                  <c:v>-1941104</c:v>
                </c:pt>
                <c:pt idx="1">
                  <c:v>-569176</c:v>
                </c:pt>
                <c:pt idx="2">
                  <c:v>239689</c:v>
                </c:pt>
                <c:pt idx="3">
                  <c:v>-1284938</c:v>
                </c:pt>
                <c:pt idx="4">
                  <c:v>1363658</c:v>
                </c:pt>
                <c:pt idx="5">
                  <c:v>278379</c:v>
                </c:pt>
                <c:pt idx="6">
                  <c:v>157557</c:v>
                </c:pt>
                <c:pt idx="7">
                  <c:v>-927639</c:v>
                </c:pt>
                <c:pt idx="8">
                  <c:v>-2119106</c:v>
                </c:pt>
                <c:pt idx="9">
                  <c:v>-609332</c:v>
                </c:pt>
                <c:pt idx="10">
                  <c:v>190006</c:v>
                </c:pt>
                <c:pt idx="11">
                  <c:v>-2094481</c:v>
                </c:pt>
              </c:numCache>
            </c:numRef>
          </c:val>
          <c:smooth val="0"/>
          <c:extLst>
            <c:ext xmlns:c16="http://schemas.microsoft.com/office/drawing/2014/chart" uri="{C3380CC4-5D6E-409C-BE32-E72D297353CC}">
              <c16:uniqueId val="{00000004-E77E-4562-A9AC-011335FFD8DC}"/>
            </c:ext>
          </c:extLst>
        </c:ser>
        <c:dLbls>
          <c:showLegendKey val="0"/>
          <c:showVal val="0"/>
          <c:showCatName val="0"/>
          <c:showSerName val="0"/>
          <c:showPercent val="0"/>
          <c:showBubbleSize val="0"/>
        </c:dLbls>
        <c:smooth val="0"/>
        <c:axId val="361689648"/>
        <c:axId val="105606736"/>
      </c:lineChart>
      <c:catAx>
        <c:axId val="36168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06736"/>
        <c:crosses val="autoZero"/>
        <c:auto val="1"/>
        <c:lblAlgn val="ctr"/>
        <c:lblOffset val="100"/>
        <c:noMultiLvlLbl val="0"/>
      </c:catAx>
      <c:valAx>
        <c:axId val="10560673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89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Outstanding Receivables by Aging Bucket (USD)</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doughnutChart>
        <c:varyColors val="1"/>
        <c:ser>
          <c:idx val="0"/>
          <c:order val="0"/>
          <c:tx>
            <c:strRef>
              <c:f>'KPI Dashboard'!$AC$143</c:f>
              <c:strCache>
                <c:ptCount val="1"/>
                <c:pt idx="0">
                  <c:v>Outstanding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27-4712-8300-3FECECCD7E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27-4712-8300-3FECECCD7E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27-4712-8300-3FECECCD7E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27-4712-8300-3FECECCD7E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Dashboard'!$AB$144:$AB$147</c:f>
              <c:strCache>
                <c:ptCount val="4"/>
                <c:pt idx="0">
                  <c:v>0–30 days</c:v>
                </c:pt>
                <c:pt idx="1">
                  <c:v>31–60 days</c:v>
                </c:pt>
                <c:pt idx="2">
                  <c:v>61–90 days</c:v>
                </c:pt>
                <c:pt idx="3">
                  <c:v>90+ days</c:v>
                </c:pt>
              </c:strCache>
            </c:strRef>
          </c:cat>
          <c:val>
            <c:numRef>
              <c:f>'KPI Dashboard'!$AC$144:$AC$147</c:f>
              <c:numCache>
                <c:formatCode>General</c:formatCode>
                <c:ptCount val="4"/>
                <c:pt idx="0">
                  <c:v>998469</c:v>
                </c:pt>
                <c:pt idx="1">
                  <c:v>3071180</c:v>
                </c:pt>
                <c:pt idx="2">
                  <c:v>0</c:v>
                </c:pt>
                <c:pt idx="3">
                  <c:v>6831506</c:v>
                </c:pt>
              </c:numCache>
            </c:numRef>
          </c:val>
          <c:extLst>
            <c:ext xmlns:c16="http://schemas.microsoft.com/office/drawing/2014/chart" uri="{C3380CC4-5D6E-409C-BE32-E72D297353CC}">
              <c16:uniqueId val="{00000000-0239-4053-8690-00AB01D3E4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Supplier On-Time Delivery % (portfolio 30%)</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barChart>
        <c:barDir val="bar"/>
        <c:grouping val="clustered"/>
        <c:varyColors val="0"/>
        <c:ser>
          <c:idx val="0"/>
          <c:order val="0"/>
          <c:tx>
            <c:strRef>
              <c:f>'KPI Dashboard'!$AC$150</c:f>
              <c:strCache>
                <c:ptCount val="1"/>
                <c:pt idx="0">
                  <c:v>On-time %</c:v>
                </c:pt>
              </c:strCache>
            </c:strRef>
          </c:tx>
          <c:spPr>
            <a:solidFill>
              <a:schemeClr val="accent1"/>
            </a:solidFill>
            <a:ln>
              <a:noFill/>
            </a:ln>
            <a:effectLst/>
          </c:spPr>
          <c:invertIfNegative val="0"/>
          <c:cat>
            <c:strRef>
              <c:f>'KPI Dashboard'!$AB$151:$AB$160</c:f>
              <c:strCache>
                <c:ptCount val="10"/>
                <c:pt idx="0">
                  <c:v>Supplier-A</c:v>
                </c:pt>
                <c:pt idx="1">
                  <c:v>Supplier-B</c:v>
                </c:pt>
                <c:pt idx="2">
                  <c:v>Supplier-C</c:v>
                </c:pt>
                <c:pt idx="3">
                  <c:v>Supplier-D</c:v>
                </c:pt>
                <c:pt idx="4">
                  <c:v>Supplier-E</c:v>
                </c:pt>
                <c:pt idx="5">
                  <c:v>Supplier-F</c:v>
                </c:pt>
                <c:pt idx="6">
                  <c:v>Supplier-G</c:v>
                </c:pt>
                <c:pt idx="7">
                  <c:v>Supplier-H</c:v>
                </c:pt>
                <c:pt idx="8">
                  <c:v>Supplier-I</c:v>
                </c:pt>
                <c:pt idx="9">
                  <c:v>Supplier-J</c:v>
                </c:pt>
              </c:strCache>
            </c:strRef>
          </c:cat>
          <c:val>
            <c:numRef>
              <c:f>'KPI Dashboard'!$AC$151:$AC$160</c:f>
              <c:numCache>
                <c:formatCode>General</c:formatCode>
                <c:ptCount val="10"/>
                <c:pt idx="0">
                  <c:v>0.33333333333333331</c:v>
                </c:pt>
                <c:pt idx="1">
                  <c:v>0</c:v>
                </c:pt>
                <c:pt idx="2">
                  <c:v>0.4</c:v>
                </c:pt>
                <c:pt idx="3">
                  <c:v>0.4</c:v>
                </c:pt>
                <c:pt idx="4">
                  <c:v>0.2857142857142857</c:v>
                </c:pt>
                <c:pt idx="5">
                  <c:v>0.375</c:v>
                </c:pt>
                <c:pt idx="6">
                  <c:v>0.16666666666666666</c:v>
                </c:pt>
                <c:pt idx="7">
                  <c:v>0</c:v>
                </c:pt>
                <c:pt idx="8">
                  <c:v>0.14285714285714285</c:v>
                </c:pt>
                <c:pt idx="9">
                  <c:v>0.42857142857142855</c:v>
                </c:pt>
              </c:numCache>
            </c:numRef>
          </c:val>
          <c:extLst>
            <c:ext xmlns:c16="http://schemas.microsoft.com/office/drawing/2014/chart" uri="{C3380CC4-5D6E-409C-BE32-E72D297353CC}">
              <c16:uniqueId val="{00000000-0D46-4128-B211-0008238DE60A}"/>
            </c:ext>
          </c:extLst>
        </c:ser>
        <c:dLbls>
          <c:showLegendKey val="0"/>
          <c:showVal val="0"/>
          <c:showCatName val="0"/>
          <c:showSerName val="0"/>
          <c:showPercent val="0"/>
          <c:showBubbleSize val="0"/>
        </c:dLbls>
        <c:gapWidth val="182"/>
        <c:axId val="214994224"/>
        <c:axId val="105680176"/>
      </c:barChart>
      <c:catAx>
        <c:axId val="21499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80176"/>
        <c:crosses val="autoZero"/>
        <c:auto val="1"/>
        <c:lblAlgn val="ctr"/>
        <c:lblOffset val="100"/>
        <c:noMultiLvlLbl val="0"/>
      </c:catAx>
      <c:valAx>
        <c:axId val="1056801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9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Top Subcontractor Profile — Contractor-C (score out of 5)</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radarChart>
        <c:radarStyle val="marker"/>
        <c:varyColors val="0"/>
        <c:ser>
          <c:idx val="0"/>
          <c:order val="0"/>
          <c:tx>
            <c:strRef>
              <c:f>'KPI Dashboard'!$AC$163</c:f>
              <c:strCache>
                <c:ptCount val="1"/>
                <c:pt idx="0">
                  <c:v>Score (out of 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Dashboard'!$AB$164:$AB$168</c:f>
              <c:strCache>
                <c:ptCount val="5"/>
                <c:pt idx="0">
                  <c:v>Quality</c:v>
                </c:pt>
                <c:pt idx="1">
                  <c:v>Time</c:v>
                </c:pt>
                <c:pt idx="2">
                  <c:v>Safety</c:v>
                </c:pt>
                <c:pt idx="3">
                  <c:v>Cost</c:v>
                </c:pt>
                <c:pt idx="4">
                  <c:v>Communication</c:v>
                </c:pt>
              </c:strCache>
            </c:strRef>
          </c:cat>
          <c:val>
            <c:numRef>
              <c:f>'KPI Dashboard'!$AC$164:$AC$168</c:f>
              <c:numCache>
                <c:formatCode>0.00</c:formatCode>
                <c:ptCount val="5"/>
                <c:pt idx="0">
                  <c:v>4</c:v>
                </c:pt>
                <c:pt idx="1">
                  <c:v>3.2</c:v>
                </c:pt>
                <c:pt idx="2">
                  <c:v>4.2</c:v>
                </c:pt>
                <c:pt idx="3">
                  <c:v>4.5999999999999996</c:v>
                </c:pt>
                <c:pt idx="4">
                  <c:v>3.3</c:v>
                </c:pt>
              </c:numCache>
            </c:numRef>
          </c:val>
          <c:extLst>
            <c:ext xmlns:c16="http://schemas.microsoft.com/office/drawing/2014/chart" uri="{C3380CC4-5D6E-409C-BE32-E72D297353CC}">
              <c16:uniqueId val="{00000000-43A0-4F9E-9EF1-4357FDE7C1A2}"/>
            </c:ext>
          </c:extLst>
        </c:ser>
        <c:dLbls>
          <c:showLegendKey val="0"/>
          <c:showVal val="0"/>
          <c:showCatName val="0"/>
          <c:showSerName val="0"/>
          <c:showPercent val="0"/>
          <c:showBubbleSize val="0"/>
        </c:dLbls>
        <c:axId val="214990976"/>
        <c:axId val="105582256"/>
      </c:radarChart>
      <c:catAx>
        <c:axId val="21499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82256"/>
        <c:crosses val="autoZero"/>
        <c:auto val="1"/>
        <c:lblAlgn val="ctr"/>
        <c:lblOffset val="100"/>
        <c:noMultiLvlLbl val="0"/>
      </c:catAx>
      <c:valAx>
        <c:axId val="105582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9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Variation Order Value by Status &amp; Project (USD m)</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barChart>
        <c:barDir val="col"/>
        <c:grouping val="stacked"/>
        <c:varyColors val="0"/>
        <c:ser>
          <c:idx val="0"/>
          <c:order val="0"/>
          <c:tx>
            <c:strRef>
              <c:f>'KPI Dashboard'!$AC$171</c:f>
              <c:strCache>
                <c:ptCount val="1"/>
                <c:pt idx="0">
                  <c:v>Approved</c:v>
                </c:pt>
              </c:strCache>
            </c:strRef>
          </c:tx>
          <c:spPr>
            <a:solidFill>
              <a:schemeClr val="accent1"/>
            </a:solidFill>
            <a:ln>
              <a:noFill/>
            </a:ln>
            <a:effectLst/>
          </c:spPr>
          <c:invertIfNegative val="0"/>
          <c:cat>
            <c:strRef>
              <c:f>'KPI Dashboard'!$AB$172:$AB$175</c:f>
              <c:strCache>
                <c:ptCount val="4"/>
                <c:pt idx="0">
                  <c:v>WT-DC-MUM-01</c:v>
                </c:pt>
                <c:pt idx="1">
                  <c:v>WT-OFF-SYD-02</c:v>
                </c:pt>
                <c:pt idx="2">
                  <c:v>WT-HOS-AKL-03</c:v>
                </c:pt>
                <c:pt idx="3">
                  <c:v>WT-RES-MEL-05</c:v>
                </c:pt>
              </c:strCache>
            </c:strRef>
          </c:cat>
          <c:val>
            <c:numRef>
              <c:f>'KPI Dashboard'!$AC$172:$AC$175</c:f>
              <c:numCache>
                <c:formatCode>General</c:formatCode>
                <c:ptCount val="4"/>
                <c:pt idx="0">
                  <c:v>791101</c:v>
                </c:pt>
                <c:pt idx="1">
                  <c:v>583674</c:v>
                </c:pt>
                <c:pt idx="2">
                  <c:v>1919398</c:v>
                </c:pt>
                <c:pt idx="3">
                  <c:v>892260</c:v>
                </c:pt>
              </c:numCache>
            </c:numRef>
          </c:val>
          <c:extLst>
            <c:ext xmlns:c16="http://schemas.microsoft.com/office/drawing/2014/chart" uri="{C3380CC4-5D6E-409C-BE32-E72D297353CC}">
              <c16:uniqueId val="{00000000-B765-4D26-8BAB-2636A1B12DDC}"/>
            </c:ext>
          </c:extLst>
        </c:ser>
        <c:ser>
          <c:idx val="1"/>
          <c:order val="1"/>
          <c:tx>
            <c:strRef>
              <c:f>'KPI Dashboard'!$AD$171</c:f>
              <c:strCache>
                <c:ptCount val="1"/>
                <c:pt idx="0">
                  <c:v>Pending</c:v>
                </c:pt>
              </c:strCache>
            </c:strRef>
          </c:tx>
          <c:spPr>
            <a:solidFill>
              <a:schemeClr val="accent2"/>
            </a:solidFill>
            <a:ln>
              <a:noFill/>
            </a:ln>
            <a:effectLst/>
          </c:spPr>
          <c:invertIfNegative val="0"/>
          <c:cat>
            <c:strRef>
              <c:f>'KPI Dashboard'!$AB$172:$AB$175</c:f>
              <c:strCache>
                <c:ptCount val="4"/>
                <c:pt idx="0">
                  <c:v>WT-DC-MUM-01</c:v>
                </c:pt>
                <c:pt idx="1">
                  <c:v>WT-OFF-SYD-02</c:v>
                </c:pt>
                <c:pt idx="2">
                  <c:v>WT-HOS-AKL-03</c:v>
                </c:pt>
                <c:pt idx="3">
                  <c:v>WT-RES-MEL-05</c:v>
                </c:pt>
              </c:strCache>
            </c:strRef>
          </c:cat>
          <c:val>
            <c:numRef>
              <c:f>'KPI Dashboard'!$AD$172:$AD$175</c:f>
              <c:numCache>
                <c:formatCode>General</c:formatCode>
                <c:ptCount val="4"/>
                <c:pt idx="0">
                  <c:v>758642</c:v>
                </c:pt>
                <c:pt idx="1">
                  <c:v>0</c:v>
                </c:pt>
                <c:pt idx="2">
                  <c:v>449749</c:v>
                </c:pt>
                <c:pt idx="3">
                  <c:v>114455</c:v>
                </c:pt>
              </c:numCache>
            </c:numRef>
          </c:val>
          <c:extLst>
            <c:ext xmlns:c16="http://schemas.microsoft.com/office/drawing/2014/chart" uri="{C3380CC4-5D6E-409C-BE32-E72D297353CC}">
              <c16:uniqueId val="{00000001-B765-4D26-8BAB-2636A1B12DDC}"/>
            </c:ext>
          </c:extLst>
        </c:ser>
        <c:ser>
          <c:idx val="2"/>
          <c:order val="2"/>
          <c:tx>
            <c:strRef>
              <c:f>'KPI Dashboard'!$AE$171</c:f>
              <c:strCache>
                <c:ptCount val="1"/>
                <c:pt idx="0">
                  <c:v>Under Review</c:v>
                </c:pt>
              </c:strCache>
            </c:strRef>
          </c:tx>
          <c:spPr>
            <a:solidFill>
              <a:schemeClr val="accent3"/>
            </a:solidFill>
            <a:ln>
              <a:noFill/>
            </a:ln>
            <a:effectLst/>
          </c:spPr>
          <c:invertIfNegative val="0"/>
          <c:cat>
            <c:strRef>
              <c:f>'KPI Dashboard'!$AB$172:$AB$175</c:f>
              <c:strCache>
                <c:ptCount val="4"/>
                <c:pt idx="0">
                  <c:v>WT-DC-MUM-01</c:v>
                </c:pt>
                <c:pt idx="1">
                  <c:v>WT-OFF-SYD-02</c:v>
                </c:pt>
                <c:pt idx="2">
                  <c:v>WT-HOS-AKL-03</c:v>
                </c:pt>
                <c:pt idx="3">
                  <c:v>WT-RES-MEL-05</c:v>
                </c:pt>
              </c:strCache>
            </c:strRef>
          </c:cat>
          <c:val>
            <c:numRef>
              <c:f>'KPI Dashboard'!$AE$172:$AE$175</c:f>
              <c:numCache>
                <c:formatCode>General</c:formatCode>
                <c:ptCount val="4"/>
                <c:pt idx="0">
                  <c:v>675467</c:v>
                </c:pt>
                <c:pt idx="1">
                  <c:v>577493</c:v>
                </c:pt>
                <c:pt idx="2">
                  <c:v>158155</c:v>
                </c:pt>
                <c:pt idx="3">
                  <c:v>563191</c:v>
                </c:pt>
              </c:numCache>
            </c:numRef>
          </c:val>
          <c:extLst>
            <c:ext xmlns:c16="http://schemas.microsoft.com/office/drawing/2014/chart" uri="{C3380CC4-5D6E-409C-BE32-E72D297353CC}">
              <c16:uniqueId val="{00000002-B765-4D26-8BAB-2636A1B12DDC}"/>
            </c:ext>
          </c:extLst>
        </c:ser>
        <c:ser>
          <c:idx val="3"/>
          <c:order val="3"/>
          <c:tx>
            <c:strRef>
              <c:f>'KPI Dashboard'!$AF$171</c:f>
              <c:strCache>
                <c:ptCount val="1"/>
                <c:pt idx="0">
                  <c:v>Rejected</c:v>
                </c:pt>
              </c:strCache>
            </c:strRef>
          </c:tx>
          <c:spPr>
            <a:solidFill>
              <a:schemeClr val="accent4"/>
            </a:solidFill>
            <a:ln>
              <a:noFill/>
            </a:ln>
            <a:effectLst/>
          </c:spPr>
          <c:invertIfNegative val="0"/>
          <c:cat>
            <c:strRef>
              <c:f>'KPI Dashboard'!$AB$172:$AB$175</c:f>
              <c:strCache>
                <c:ptCount val="4"/>
                <c:pt idx="0">
                  <c:v>WT-DC-MUM-01</c:v>
                </c:pt>
                <c:pt idx="1">
                  <c:v>WT-OFF-SYD-02</c:v>
                </c:pt>
                <c:pt idx="2">
                  <c:v>WT-HOS-AKL-03</c:v>
                </c:pt>
                <c:pt idx="3">
                  <c:v>WT-RES-MEL-05</c:v>
                </c:pt>
              </c:strCache>
            </c:strRef>
          </c:cat>
          <c:val>
            <c:numRef>
              <c:f>'KPI Dashboard'!$AF$172:$AF$175</c:f>
              <c:numCache>
                <c:formatCode>General</c:formatCode>
                <c:ptCount val="4"/>
                <c:pt idx="0">
                  <c:v>-142038</c:v>
                </c:pt>
                <c:pt idx="1">
                  <c:v>3723549</c:v>
                </c:pt>
                <c:pt idx="2">
                  <c:v>1081459</c:v>
                </c:pt>
                <c:pt idx="3">
                  <c:v>2200179</c:v>
                </c:pt>
              </c:numCache>
            </c:numRef>
          </c:val>
          <c:extLst>
            <c:ext xmlns:c16="http://schemas.microsoft.com/office/drawing/2014/chart" uri="{C3380CC4-5D6E-409C-BE32-E72D297353CC}">
              <c16:uniqueId val="{00000003-B765-4D26-8BAB-2636A1B12DDC}"/>
            </c:ext>
          </c:extLst>
        </c:ser>
        <c:dLbls>
          <c:showLegendKey val="0"/>
          <c:showVal val="0"/>
          <c:showCatName val="0"/>
          <c:showSerName val="0"/>
          <c:showPercent val="0"/>
          <c:showBubbleSize val="0"/>
        </c:dLbls>
        <c:gapWidth val="150"/>
        <c:overlap val="100"/>
        <c:axId val="363738784"/>
        <c:axId val="105588976"/>
      </c:barChart>
      <c:catAx>
        <c:axId val="36373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88976"/>
        <c:crosses val="autoZero"/>
        <c:auto val="1"/>
        <c:lblAlgn val="ctr"/>
        <c:lblOffset val="100"/>
        <c:noMultiLvlLbl val="0"/>
      </c:catAx>
      <c:valAx>
        <c:axId val="105588976"/>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3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Portfolio Status Mix — 25 Projects</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n-US"/>
        </a:p>
      </c:txPr>
    </c:title>
    <c:autoTitleDeleted val="0"/>
    <c:plotArea>
      <c:layout/>
      <c:pieChart>
        <c:varyColors val="1"/>
        <c:ser>
          <c:idx val="0"/>
          <c:order val="0"/>
          <c:tx>
            <c:strRef>
              <c:f>'KPI Dashboard'!$AC$178</c:f>
              <c:strCache>
                <c:ptCount val="1"/>
                <c:pt idx="0">
                  <c:v>Projects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22-47DD-AB9B-E3C164072D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22-47DD-AB9B-E3C164072D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22-47DD-AB9B-E3C164072D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22-47DD-AB9B-E3C164072D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Dashboard'!$AB$179:$AB$182</c:f>
              <c:strCache>
                <c:ptCount val="4"/>
                <c:pt idx="0">
                  <c:v>In Progress</c:v>
                </c:pt>
                <c:pt idx="1">
                  <c:v>On Hold</c:v>
                </c:pt>
                <c:pt idx="2">
                  <c:v>Completed</c:v>
                </c:pt>
                <c:pt idx="3">
                  <c:v>Planning</c:v>
                </c:pt>
              </c:strCache>
            </c:strRef>
          </c:cat>
          <c:val>
            <c:numRef>
              <c:f>'KPI Dashboard'!$AC$179:$AC$182</c:f>
              <c:numCache>
                <c:formatCode>General</c:formatCode>
                <c:ptCount val="4"/>
                <c:pt idx="0">
                  <c:v>4</c:v>
                </c:pt>
                <c:pt idx="1">
                  <c:v>8</c:v>
                </c:pt>
                <c:pt idx="2">
                  <c:v>8</c:v>
                </c:pt>
                <c:pt idx="3">
                  <c:v>5</c:v>
                </c:pt>
              </c:numCache>
            </c:numRef>
          </c:val>
          <c:extLst>
            <c:ext xmlns:c16="http://schemas.microsoft.com/office/drawing/2014/chart" uri="{C3380CC4-5D6E-409C-BE32-E72D297353CC}">
              <c16:uniqueId val="{00000000-2E92-41FC-8482-6A614B024E6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[WT_20_Problems_Dataset.xlsx]P02!PivotTable5</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'P02'!$B$29:$B$30</c:f>
              <c:strCache>
                <c:ptCount val="1"/>
                <c:pt idx="0">
                  <c:v>Cement (OPC 53)</c:v>
                </c:pt>
              </c:strCache>
            </c:strRef>
          </c:tx>
          <c:spPr>
            <a:ln w="28575" cap="rnd">
              <a:solidFill>
                <a:schemeClr val="accent1"/>
              </a:solidFill>
              <a:round/>
            </a:ln>
            <a:effectLst/>
          </c:spPr>
          <c:marker>
            <c:symbol val="none"/>
          </c:marker>
          <c:cat>
            <c:strRef>
              <c:f>'P02'!$A$31:$A$41</c:f>
              <c:strCache>
                <c:ptCount val="10"/>
                <c:pt idx="0">
                  <c:v>2024-01</c:v>
                </c:pt>
                <c:pt idx="1">
                  <c:v>2024-02</c:v>
                </c:pt>
                <c:pt idx="2">
                  <c:v>2024-03</c:v>
                </c:pt>
                <c:pt idx="3">
                  <c:v>2024-06</c:v>
                </c:pt>
                <c:pt idx="4">
                  <c:v>2024-09</c:v>
                </c:pt>
                <c:pt idx="5">
                  <c:v>2024-12</c:v>
                </c:pt>
                <c:pt idx="6">
                  <c:v>2025-01</c:v>
                </c:pt>
                <c:pt idx="7">
                  <c:v>2025-02</c:v>
                </c:pt>
                <c:pt idx="8">
                  <c:v>2025-05</c:v>
                </c:pt>
                <c:pt idx="9">
                  <c:v>2025-06</c:v>
                </c:pt>
              </c:strCache>
            </c:strRef>
          </c:cat>
          <c:val>
            <c:numRef>
              <c:f>'P02'!$B$31:$B$41</c:f>
              <c:numCache>
                <c:formatCode>General</c:formatCode>
                <c:ptCount val="10"/>
                <c:pt idx="0">
                  <c:v>96.77</c:v>
                </c:pt>
                <c:pt idx="1">
                  <c:v>94.59</c:v>
                </c:pt>
                <c:pt idx="2">
                  <c:v>1</c:v>
                </c:pt>
                <c:pt idx="3">
                  <c:v>81.11</c:v>
                </c:pt>
                <c:pt idx="4">
                  <c:v>105.52</c:v>
                </c:pt>
                <c:pt idx="5">
                  <c:v>90.44</c:v>
                </c:pt>
                <c:pt idx="6">
                  <c:v>1</c:v>
                </c:pt>
                <c:pt idx="7">
                  <c:v>1</c:v>
                </c:pt>
                <c:pt idx="8">
                  <c:v>102.04</c:v>
                </c:pt>
                <c:pt idx="9">
                  <c:v>1</c:v>
                </c:pt>
              </c:numCache>
            </c:numRef>
          </c:val>
          <c:smooth val="0"/>
          <c:extLst>
            <c:ext xmlns:c16="http://schemas.microsoft.com/office/drawing/2014/chart" uri="{C3380CC4-5D6E-409C-BE32-E72D297353CC}">
              <c16:uniqueId val="{00000004-3B7E-4679-8664-EF8827EE6746}"/>
            </c:ext>
          </c:extLst>
        </c:ser>
        <c:ser>
          <c:idx val="1"/>
          <c:order val="1"/>
          <c:tx>
            <c:strRef>
              <c:f>'P02'!$C$29:$C$30</c:f>
              <c:strCache>
                <c:ptCount val="1"/>
                <c:pt idx="0">
                  <c:v>TMT Steel (Fe500)</c:v>
                </c:pt>
              </c:strCache>
            </c:strRef>
          </c:tx>
          <c:spPr>
            <a:ln w="28575" cap="rnd">
              <a:solidFill>
                <a:schemeClr val="accent2"/>
              </a:solidFill>
              <a:round/>
            </a:ln>
            <a:effectLst/>
          </c:spPr>
          <c:marker>
            <c:symbol val="none"/>
          </c:marker>
          <c:cat>
            <c:strRef>
              <c:f>'P02'!$A$31:$A$41</c:f>
              <c:strCache>
                <c:ptCount val="10"/>
                <c:pt idx="0">
                  <c:v>2024-01</c:v>
                </c:pt>
                <c:pt idx="1">
                  <c:v>2024-02</c:v>
                </c:pt>
                <c:pt idx="2">
                  <c:v>2024-03</c:v>
                </c:pt>
                <c:pt idx="3">
                  <c:v>2024-06</c:v>
                </c:pt>
                <c:pt idx="4">
                  <c:v>2024-09</c:v>
                </c:pt>
                <c:pt idx="5">
                  <c:v>2024-12</c:v>
                </c:pt>
                <c:pt idx="6">
                  <c:v>2025-01</c:v>
                </c:pt>
                <c:pt idx="7">
                  <c:v>2025-02</c:v>
                </c:pt>
                <c:pt idx="8">
                  <c:v>2025-05</c:v>
                </c:pt>
                <c:pt idx="9">
                  <c:v>2025-06</c:v>
                </c:pt>
              </c:strCache>
            </c:strRef>
          </c:cat>
          <c:val>
            <c:numRef>
              <c:f>'P02'!$C$31:$C$41</c:f>
              <c:numCache>
                <c:formatCode>General</c:formatCode>
                <c:ptCount val="10"/>
                <c:pt idx="0">
                  <c:v>1</c:v>
                </c:pt>
                <c:pt idx="1">
                  <c:v>1</c:v>
                </c:pt>
                <c:pt idx="2">
                  <c:v>710.14</c:v>
                </c:pt>
                <c:pt idx="3">
                  <c:v>1</c:v>
                </c:pt>
                <c:pt idx="4">
                  <c:v>1</c:v>
                </c:pt>
                <c:pt idx="5">
                  <c:v>1</c:v>
                </c:pt>
                <c:pt idx="6">
                  <c:v>607.52</c:v>
                </c:pt>
                <c:pt idx="7">
                  <c:v>688.19</c:v>
                </c:pt>
                <c:pt idx="8">
                  <c:v>1</c:v>
                </c:pt>
                <c:pt idx="9">
                  <c:v>695.91</c:v>
                </c:pt>
              </c:numCache>
            </c:numRef>
          </c:val>
          <c:smooth val="0"/>
          <c:extLst>
            <c:ext xmlns:c16="http://schemas.microsoft.com/office/drawing/2014/chart" uri="{C3380CC4-5D6E-409C-BE32-E72D297353CC}">
              <c16:uniqueId val="{00000006-3B7E-4679-8664-EF8827EE6746}"/>
            </c:ext>
          </c:extLst>
        </c:ser>
        <c:dLbls>
          <c:showLegendKey val="0"/>
          <c:showVal val="0"/>
          <c:showCatName val="0"/>
          <c:showSerName val="0"/>
          <c:showPercent val="0"/>
          <c:showBubbleSize val="0"/>
        </c:dLbls>
        <c:smooth val="0"/>
        <c:axId val="1107533615"/>
        <c:axId val="723118735"/>
      </c:lineChart>
      <c:catAx>
        <c:axId val="110753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118735"/>
        <c:crosses val="autoZero"/>
        <c:auto val="1"/>
        <c:lblAlgn val="ctr"/>
        <c:lblOffset val="100"/>
        <c:noMultiLvlLbl val="0"/>
      </c:catAx>
      <c:valAx>
        <c:axId val="72311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53361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WT-DC-MUM-01 — BOQ vs Actual Amount by Trade (USD)</a:t>
            </a:r>
          </a:p>
        </c:rich>
      </c:tx>
      <c:layout>
        <c:manualLayout>
          <c:xMode val="edge"/>
          <c:yMode val="edge"/>
          <c:x val="0.1745894958379333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report'!$B$195</c:f>
              <c:strCache>
                <c:ptCount val="1"/>
                <c:pt idx="0">
                  <c:v>BOQ Amount USD</c:v>
                </c:pt>
              </c:strCache>
            </c:strRef>
          </c:tx>
          <c:spPr>
            <a:solidFill>
              <a:schemeClr val="accent1"/>
            </a:solidFill>
            <a:ln>
              <a:noFill/>
            </a:ln>
            <a:effectLst/>
          </c:spPr>
          <c:invertIfNegative val="0"/>
          <c:cat>
            <c:strRef>
              <c:f>'Analysis report'!$A$196:$A$200</c:f>
              <c:strCache>
                <c:ptCount val="5"/>
                <c:pt idx="0">
                  <c:v>Civil &amp; Structure</c:v>
                </c:pt>
                <c:pt idx="1">
                  <c:v>MEP - Electrical</c:v>
                </c:pt>
                <c:pt idx="2">
                  <c:v>MEP - Plumbing</c:v>
                </c:pt>
                <c:pt idx="3">
                  <c:v>MEP - HVAC</c:v>
                </c:pt>
                <c:pt idx="4">
                  <c:v>Interior Fit-out</c:v>
                </c:pt>
              </c:strCache>
            </c:strRef>
          </c:cat>
          <c:val>
            <c:numRef>
              <c:f>'Analysis report'!$B$196:$B$200</c:f>
              <c:numCache>
                <c:formatCode>[$$-409]#,##0</c:formatCode>
                <c:ptCount val="5"/>
                <c:pt idx="0">
                  <c:v>1893094.2999999998</c:v>
                </c:pt>
                <c:pt idx="1">
                  <c:v>986727.76</c:v>
                </c:pt>
                <c:pt idx="2">
                  <c:v>765988.47</c:v>
                </c:pt>
                <c:pt idx="3">
                  <c:v>837434.33</c:v>
                </c:pt>
                <c:pt idx="4">
                  <c:v>1202994.94</c:v>
                </c:pt>
              </c:numCache>
            </c:numRef>
          </c:val>
          <c:extLst>
            <c:ext xmlns:c16="http://schemas.microsoft.com/office/drawing/2014/chart" uri="{C3380CC4-5D6E-409C-BE32-E72D297353CC}">
              <c16:uniqueId val="{00000000-B57F-46E4-B047-2FFCF74C4FA5}"/>
            </c:ext>
          </c:extLst>
        </c:ser>
        <c:ser>
          <c:idx val="1"/>
          <c:order val="1"/>
          <c:tx>
            <c:strRef>
              <c:f>'Analysis report'!$C$195</c:f>
              <c:strCache>
                <c:ptCount val="1"/>
                <c:pt idx="0">
                  <c:v>Actual Amount USD</c:v>
                </c:pt>
              </c:strCache>
            </c:strRef>
          </c:tx>
          <c:spPr>
            <a:solidFill>
              <a:schemeClr val="accent2"/>
            </a:solidFill>
            <a:ln>
              <a:noFill/>
            </a:ln>
            <a:effectLst/>
          </c:spPr>
          <c:invertIfNegative val="0"/>
          <c:cat>
            <c:strRef>
              <c:f>'Analysis report'!$A$196:$A$200</c:f>
              <c:strCache>
                <c:ptCount val="5"/>
                <c:pt idx="0">
                  <c:v>Civil &amp; Structure</c:v>
                </c:pt>
                <c:pt idx="1">
                  <c:v>MEP - Electrical</c:v>
                </c:pt>
                <c:pt idx="2">
                  <c:v>MEP - Plumbing</c:v>
                </c:pt>
                <c:pt idx="3">
                  <c:v>MEP - HVAC</c:v>
                </c:pt>
                <c:pt idx="4">
                  <c:v>Interior Fit-out</c:v>
                </c:pt>
              </c:strCache>
            </c:strRef>
          </c:cat>
          <c:val>
            <c:numRef>
              <c:f>'Analysis report'!$C$196:$C$200</c:f>
              <c:numCache>
                <c:formatCode>[$$-409]#,##0</c:formatCode>
                <c:ptCount val="5"/>
                <c:pt idx="0">
                  <c:v>2132023.62</c:v>
                </c:pt>
                <c:pt idx="1">
                  <c:v>1007358.05</c:v>
                </c:pt>
                <c:pt idx="2">
                  <c:v>756568.97</c:v>
                </c:pt>
                <c:pt idx="3">
                  <c:v>874041.79</c:v>
                </c:pt>
                <c:pt idx="4">
                  <c:v>1291902.3899999999</c:v>
                </c:pt>
              </c:numCache>
            </c:numRef>
          </c:val>
          <c:extLst>
            <c:ext xmlns:c16="http://schemas.microsoft.com/office/drawing/2014/chart" uri="{C3380CC4-5D6E-409C-BE32-E72D297353CC}">
              <c16:uniqueId val="{00000001-B57F-46E4-B047-2FFCF74C4FA5}"/>
            </c:ext>
          </c:extLst>
        </c:ser>
        <c:dLbls>
          <c:showLegendKey val="0"/>
          <c:showVal val="0"/>
          <c:showCatName val="0"/>
          <c:showSerName val="0"/>
          <c:showPercent val="0"/>
          <c:showBubbleSize val="0"/>
        </c:dLbls>
        <c:gapWidth val="219"/>
        <c:overlap val="-27"/>
        <c:axId val="107979312"/>
        <c:axId val="97579664"/>
      </c:barChart>
      <c:catAx>
        <c:axId val="1079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9664"/>
        <c:crosses val="autoZero"/>
        <c:auto val="1"/>
        <c:lblAlgn val="ctr"/>
        <c:lblOffset val="100"/>
        <c:noMultiLvlLbl val="0"/>
      </c:catAx>
      <c:valAx>
        <c:axId val="9757966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Price Trend — TMT Steel vs Cement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report'!$B$107</c:f>
              <c:strCache>
                <c:ptCount val="1"/>
                <c:pt idx="0">
                  <c:v>TMT Steel (Fe500) USD/MT</c:v>
                </c:pt>
              </c:strCache>
            </c:strRef>
          </c:tx>
          <c:spPr>
            <a:ln w="28575" cap="rnd">
              <a:solidFill>
                <a:schemeClr val="accent1"/>
              </a:solidFill>
              <a:round/>
            </a:ln>
            <a:effectLst/>
          </c:spPr>
          <c:marker>
            <c:symbol val="none"/>
          </c:marker>
          <c:cat>
            <c:strRef>
              <c:f>'Analysis report'!$A$108:$A$125</c:f>
              <c:strCache>
                <c:ptCount val="18"/>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strCache>
            </c:strRef>
          </c:cat>
          <c:val>
            <c:numRef>
              <c:f>'Analysis report'!$B$108:$B$125</c:f>
              <c:numCache>
                <c:formatCode>[$$-409]#,##0.00</c:formatCode>
                <c:ptCount val="18"/>
                <c:pt idx="0">
                  <c:v>#N/A</c:v>
                </c:pt>
                <c:pt idx="1">
                  <c:v>#N/A</c:v>
                </c:pt>
                <c:pt idx="2">
                  <c:v>710.14</c:v>
                </c:pt>
                <c:pt idx="3">
                  <c:v>#N/A</c:v>
                </c:pt>
                <c:pt idx="4">
                  <c:v>#N/A</c:v>
                </c:pt>
                <c:pt idx="5">
                  <c:v>#N/A</c:v>
                </c:pt>
                <c:pt idx="6">
                  <c:v>#N/A</c:v>
                </c:pt>
                <c:pt idx="7">
                  <c:v>#N/A</c:v>
                </c:pt>
                <c:pt idx="8">
                  <c:v>#N/A</c:v>
                </c:pt>
                <c:pt idx="9">
                  <c:v>#N/A</c:v>
                </c:pt>
                <c:pt idx="10">
                  <c:v>#N/A</c:v>
                </c:pt>
                <c:pt idx="11">
                  <c:v>#N/A</c:v>
                </c:pt>
                <c:pt idx="12">
                  <c:v>607.52</c:v>
                </c:pt>
                <c:pt idx="13">
                  <c:v>688.19</c:v>
                </c:pt>
                <c:pt idx="14">
                  <c:v>#N/A</c:v>
                </c:pt>
                <c:pt idx="15">
                  <c:v>#N/A</c:v>
                </c:pt>
                <c:pt idx="16">
                  <c:v>#N/A</c:v>
                </c:pt>
                <c:pt idx="17">
                  <c:v>695.91</c:v>
                </c:pt>
              </c:numCache>
            </c:numRef>
          </c:val>
          <c:smooth val="0"/>
          <c:extLst>
            <c:ext xmlns:c16="http://schemas.microsoft.com/office/drawing/2014/chart" uri="{C3380CC4-5D6E-409C-BE32-E72D297353CC}">
              <c16:uniqueId val="{00000000-8B4D-420B-87A8-E18DFEAB1439}"/>
            </c:ext>
          </c:extLst>
        </c:ser>
        <c:ser>
          <c:idx val="1"/>
          <c:order val="1"/>
          <c:tx>
            <c:strRef>
              <c:f>'Analysis report'!$C$107</c:f>
              <c:strCache>
                <c:ptCount val="1"/>
                <c:pt idx="0">
                  <c:v>Cement (OPC 53) USD/MT</c:v>
                </c:pt>
              </c:strCache>
            </c:strRef>
          </c:tx>
          <c:spPr>
            <a:ln w="28575" cap="rnd">
              <a:solidFill>
                <a:schemeClr val="accent2"/>
              </a:solidFill>
              <a:round/>
            </a:ln>
            <a:effectLst/>
          </c:spPr>
          <c:marker>
            <c:symbol val="none"/>
          </c:marker>
          <c:cat>
            <c:strRef>
              <c:f>'Analysis report'!$A$108:$A$125</c:f>
              <c:strCache>
                <c:ptCount val="18"/>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strCache>
            </c:strRef>
          </c:cat>
          <c:val>
            <c:numRef>
              <c:f>'Analysis report'!$C$108:$C$125</c:f>
              <c:numCache>
                <c:formatCode>[$$-409]#,##0.00</c:formatCode>
                <c:ptCount val="18"/>
                <c:pt idx="0">
                  <c:v>96.77</c:v>
                </c:pt>
                <c:pt idx="1">
                  <c:v>94.59</c:v>
                </c:pt>
                <c:pt idx="2">
                  <c:v>#N/A</c:v>
                </c:pt>
                <c:pt idx="3">
                  <c:v>#N/A</c:v>
                </c:pt>
                <c:pt idx="4">
                  <c:v>#N/A</c:v>
                </c:pt>
                <c:pt idx="5">
                  <c:v>81.11</c:v>
                </c:pt>
                <c:pt idx="6">
                  <c:v>#N/A</c:v>
                </c:pt>
                <c:pt idx="7">
                  <c:v>#N/A</c:v>
                </c:pt>
                <c:pt idx="8">
                  <c:v>105.52</c:v>
                </c:pt>
                <c:pt idx="9">
                  <c:v>#N/A</c:v>
                </c:pt>
                <c:pt idx="10">
                  <c:v>#N/A</c:v>
                </c:pt>
                <c:pt idx="11">
                  <c:v>90.44</c:v>
                </c:pt>
                <c:pt idx="12">
                  <c:v>#N/A</c:v>
                </c:pt>
                <c:pt idx="13">
                  <c:v>#N/A</c:v>
                </c:pt>
                <c:pt idx="14">
                  <c:v>#N/A</c:v>
                </c:pt>
                <c:pt idx="15">
                  <c:v>#N/A</c:v>
                </c:pt>
                <c:pt idx="16">
                  <c:v>102.04</c:v>
                </c:pt>
                <c:pt idx="17">
                  <c:v>#N/A</c:v>
                </c:pt>
              </c:numCache>
            </c:numRef>
          </c:val>
          <c:smooth val="0"/>
          <c:extLst>
            <c:ext xmlns:c16="http://schemas.microsoft.com/office/drawing/2014/chart" uri="{C3380CC4-5D6E-409C-BE32-E72D297353CC}">
              <c16:uniqueId val="{00000001-8B4D-420B-87A8-E18DFEAB1439}"/>
            </c:ext>
          </c:extLst>
        </c:ser>
        <c:dLbls>
          <c:showLegendKey val="0"/>
          <c:showVal val="0"/>
          <c:showCatName val="0"/>
          <c:showSerName val="0"/>
          <c:showPercent val="0"/>
          <c:showBubbleSize val="0"/>
        </c:dLbls>
        <c:smooth val="0"/>
        <c:axId val="2037379232"/>
        <c:axId val="97534064"/>
      </c:lineChart>
      <c:catAx>
        <c:axId val="203737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34064"/>
        <c:crosses val="autoZero"/>
        <c:auto val="1"/>
        <c:lblAlgn val="ctr"/>
        <c:lblOffset val="100"/>
        <c:noMultiLvlLbl val="0"/>
      </c:catAx>
      <c:valAx>
        <c:axId val="9753406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379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Bid Amount vs Completion Days (all 40 bids)</a:t>
            </a:r>
          </a:p>
        </c:rich>
      </c:tx>
      <c:layout>
        <c:manualLayout>
          <c:xMode val="edge"/>
          <c:yMode val="edge"/>
          <c:x val="0.118876312335958"/>
          <c:y val="2.8895766485802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 report'!$D$289</c:f>
              <c:strCache>
                <c:ptCount val="1"/>
                <c:pt idx="0">
                  <c:v>Completion Days</c:v>
                </c:pt>
              </c:strCache>
            </c:strRef>
          </c:tx>
          <c:spPr>
            <a:ln w="28575" cap="rnd">
              <a:noFill/>
              <a:round/>
            </a:ln>
            <a:effectLst/>
          </c:spPr>
          <c:marker>
            <c:symbol val="circle"/>
            <c:size val="5"/>
            <c:spPr>
              <a:solidFill>
                <a:schemeClr val="accent1"/>
              </a:solidFill>
              <a:ln w="9525">
                <a:solidFill>
                  <a:schemeClr val="accent1"/>
                </a:solidFill>
              </a:ln>
              <a:effectLst/>
            </c:spPr>
          </c:marker>
          <c:xVal>
            <c:numRef>
              <c:f>'Analysis report'!$C$290:$C$329</c:f>
              <c:numCache>
                <c:formatCode>[$$-409]#,##0</c:formatCode>
                <c:ptCount val="40"/>
                <c:pt idx="0">
                  <c:v>6124192</c:v>
                </c:pt>
                <c:pt idx="1">
                  <c:v>3366658</c:v>
                </c:pt>
                <c:pt idx="2">
                  <c:v>7111231</c:v>
                </c:pt>
                <c:pt idx="3">
                  <c:v>6052664</c:v>
                </c:pt>
                <c:pt idx="4">
                  <c:v>6312010</c:v>
                </c:pt>
                <c:pt idx="5">
                  <c:v>4226208</c:v>
                </c:pt>
                <c:pt idx="6">
                  <c:v>7079774</c:v>
                </c:pt>
                <c:pt idx="7">
                  <c:v>6954518</c:v>
                </c:pt>
                <c:pt idx="8">
                  <c:v>7221449</c:v>
                </c:pt>
                <c:pt idx="9">
                  <c:v>1360585</c:v>
                </c:pt>
                <c:pt idx="10">
                  <c:v>4806314</c:v>
                </c:pt>
                <c:pt idx="11">
                  <c:v>3432532</c:v>
                </c:pt>
                <c:pt idx="12">
                  <c:v>3644995</c:v>
                </c:pt>
                <c:pt idx="13">
                  <c:v>7138581</c:v>
                </c:pt>
                <c:pt idx="14">
                  <c:v>1664277</c:v>
                </c:pt>
                <c:pt idx="15">
                  <c:v>7504178</c:v>
                </c:pt>
                <c:pt idx="16">
                  <c:v>2916771</c:v>
                </c:pt>
                <c:pt idx="17">
                  <c:v>4334546</c:v>
                </c:pt>
                <c:pt idx="18">
                  <c:v>4823284</c:v>
                </c:pt>
                <c:pt idx="19">
                  <c:v>5287074</c:v>
                </c:pt>
                <c:pt idx="20">
                  <c:v>4912906</c:v>
                </c:pt>
                <c:pt idx="21">
                  <c:v>3745395</c:v>
                </c:pt>
                <c:pt idx="22">
                  <c:v>6648354</c:v>
                </c:pt>
                <c:pt idx="23">
                  <c:v>3339940</c:v>
                </c:pt>
                <c:pt idx="24">
                  <c:v>1631225</c:v>
                </c:pt>
                <c:pt idx="25">
                  <c:v>7136305</c:v>
                </c:pt>
                <c:pt idx="26">
                  <c:v>5055271</c:v>
                </c:pt>
                <c:pt idx="27">
                  <c:v>7050173</c:v>
                </c:pt>
                <c:pt idx="28">
                  <c:v>3855625</c:v>
                </c:pt>
                <c:pt idx="29">
                  <c:v>7188160</c:v>
                </c:pt>
                <c:pt idx="30">
                  <c:v>7398298</c:v>
                </c:pt>
                <c:pt idx="31">
                  <c:v>3071073</c:v>
                </c:pt>
                <c:pt idx="32">
                  <c:v>855300</c:v>
                </c:pt>
                <c:pt idx="33">
                  <c:v>1129490</c:v>
                </c:pt>
                <c:pt idx="34">
                  <c:v>1697720</c:v>
                </c:pt>
                <c:pt idx="35">
                  <c:v>3711615</c:v>
                </c:pt>
                <c:pt idx="36">
                  <c:v>6901216</c:v>
                </c:pt>
                <c:pt idx="37">
                  <c:v>2593894</c:v>
                </c:pt>
                <c:pt idx="38">
                  <c:v>1487850</c:v>
                </c:pt>
                <c:pt idx="39">
                  <c:v>4620485</c:v>
                </c:pt>
              </c:numCache>
            </c:numRef>
          </c:xVal>
          <c:yVal>
            <c:numRef>
              <c:f>'Analysis report'!$D$290:$D$329</c:f>
              <c:numCache>
                <c:formatCode>General</c:formatCode>
                <c:ptCount val="40"/>
                <c:pt idx="0">
                  <c:v>306</c:v>
                </c:pt>
                <c:pt idx="1">
                  <c:v>338</c:v>
                </c:pt>
                <c:pt idx="2">
                  <c:v>141</c:v>
                </c:pt>
                <c:pt idx="3">
                  <c:v>262</c:v>
                </c:pt>
                <c:pt idx="4">
                  <c:v>174</c:v>
                </c:pt>
                <c:pt idx="5">
                  <c:v>235</c:v>
                </c:pt>
                <c:pt idx="6">
                  <c:v>330</c:v>
                </c:pt>
                <c:pt idx="7">
                  <c:v>234</c:v>
                </c:pt>
                <c:pt idx="8">
                  <c:v>160</c:v>
                </c:pt>
                <c:pt idx="9">
                  <c:v>354</c:v>
                </c:pt>
                <c:pt idx="10">
                  <c:v>165</c:v>
                </c:pt>
                <c:pt idx="11">
                  <c:v>103</c:v>
                </c:pt>
                <c:pt idx="12">
                  <c:v>204</c:v>
                </c:pt>
                <c:pt idx="13">
                  <c:v>164</c:v>
                </c:pt>
                <c:pt idx="14">
                  <c:v>330</c:v>
                </c:pt>
                <c:pt idx="15">
                  <c:v>166</c:v>
                </c:pt>
                <c:pt idx="16">
                  <c:v>211</c:v>
                </c:pt>
                <c:pt idx="17">
                  <c:v>122</c:v>
                </c:pt>
                <c:pt idx="18">
                  <c:v>213</c:v>
                </c:pt>
                <c:pt idx="19">
                  <c:v>303</c:v>
                </c:pt>
                <c:pt idx="20">
                  <c:v>349</c:v>
                </c:pt>
                <c:pt idx="21">
                  <c:v>281</c:v>
                </c:pt>
                <c:pt idx="22">
                  <c:v>143</c:v>
                </c:pt>
                <c:pt idx="23">
                  <c:v>179</c:v>
                </c:pt>
                <c:pt idx="24">
                  <c:v>122</c:v>
                </c:pt>
                <c:pt idx="25">
                  <c:v>192</c:v>
                </c:pt>
                <c:pt idx="26">
                  <c:v>332</c:v>
                </c:pt>
                <c:pt idx="27">
                  <c:v>114</c:v>
                </c:pt>
                <c:pt idx="28">
                  <c:v>315</c:v>
                </c:pt>
                <c:pt idx="29">
                  <c:v>355</c:v>
                </c:pt>
                <c:pt idx="30">
                  <c:v>182</c:v>
                </c:pt>
                <c:pt idx="31">
                  <c:v>318</c:v>
                </c:pt>
                <c:pt idx="32">
                  <c:v>270</c:v>
                </c:pt>
                <c:pt idx="33">
                  <c:v>297</c:v>
                </c:pt>
                <c:pt idx="34">
                  <c:v>314</c:v>
                </c:pt>
                <c:pt idx="35">
                  <c:v>106</c:v>
                </c:pt>
                <c:pt idx="36">
                  <c:v>129</c:v>
                </c:pt>
                <c:pt idx="37">
                  <c:v>148</c:v>
                </c:pt>
                <c:pt idx="38">
                  <c:v>224</c:v>
                </c:pt>
                <c:pt idx="39">
                  <c:v>192</c:v>
                </c:pt>
              </c:numCache>
            </c:numRef>
          </c:yVal>
          <c:smooth val="0"/>
          <c:extLst>
            <c:ext xmlns:c16="http://schemas.microsoft.com/office/drawing/2014/chart" uri="{C3380CC4-5D6E-409C-BE32-E72D297353CC}">
              <c16:uniqueId val="{00000000-52F2-421B-962F-AAEF8BD356B4}"/>
            </c:ext>
          </c:extLst>
        </c:ser>
        <c:dLbls>
          <c:showLegendKey val="0"/>
          <c:showVal val="0"/>
          <c:showCatName val="0"/>
          <c:showSerName val="0"/>
          <c:showPercent val="0"/>
          <c:showBubbleSize val="0"/>
        </c:dLbls>
        <c:axId val="2119552048"/>
        <c:axId val="97589264"/>
      </c:scatterChart>
      <c:valAx>
        <c:axId val="2119552048"/>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89264"/>
        <c:crosses val="autoZero"/>
        <c:crossBetween val="midCat"/>
      </c:valAx>
      <c:valAx>
        <c:axId val="9758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5520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Pareto — Delay Events by Cause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report'!$C$386</c:f>
              <c:strCache>
                <c:ptCount val="1"/>
                <c:pt idx="0">
                  <c:v>Occurrences</c:v>
                </c:pt>
              </c:strCache>
            </c:strRef>
          </c:tx>
          <c:spPr>
            <a:solidFill>
              <a:schemeClr val="accent1"/>
            </a:solidFill>
            <a:ln>
              <a:noFill/>
            </a:ln>
            <a:effectLst/>
          </c:spPr>
          <c:invertIfNegative val="0"/>
          <c:cat>
            <c:strRef>
              <c:f>'Analysis report'!$B$387:$B$396</c:f>
              <c:strCache>
                <c:ptCount val="10"/>
                <c:pt idx="0">
                  <c:v>RFI Response Delay</c:v>
                </c:pt>
                <c:pt idx="1">
                  <c:v>Permit Delay</c:v>
                </c:pt>
                <c:pt idx="2">
                  <c:v>Material Delay</c:v>
                </c:pt>
                <c:pt idx="3">
                  <c:v>Client Decision Pending</c:v>
                </c:pt>
                <c:pt idx="4">
                  <c:v>Labour Shortage</c:v>
                </c:pt>
                <c:pt idx="5">
                  <c:v>Equipment Breakdown</c:v>
                </c:pt>
                <c:pt idx="6">
                  <c:v>Rework</c:v>
                </c:pt>
                <c:pt idx="7">
                  <c:v>Weather</c:v>
                </c:pt>
                <c:pt idx="8">
                  <c:v>Design Change</c:v>
                </c:pt>
                <c:pt idx="9">
                  <c:v>Subcontractor Default</c:v>
                </c:pt>
              </c:strCache>
            </c:strRef>
          </c:cat>
          <c:val>
            <c:numRef>
              <c:f>'Analysis report'!$C$387:$C$396</c:f>
              <c:numCache>
                <c:formatCode>General</c:formatCode>
                <c:ptCount val="10"/>
                <c:pt idx="0">
                  <c:v>11</c:v>
                </c:pt>
                <c:pt idx="1">
                  <c:v>8</c:v>
                </c:pt>
                <c:pt idx="2">
                  <c:v>8</c:v>
                </c:pt>
                <c:pt idx="3">
                  <c:v>6</c:v>
                </c:pt>
                <c:pt idx="4">
                  <c:v>5</c:v>
                </c:pt>
                <c:pt idx="5">
                  <c:v>5</c:v>
                </c:pt>
                <c:pt idx="6">
                  <c:v>5</c:v>
                </c:pt>
                <c:pt idx="7">
                  <c:v>5</c:v>
                </c:pt>
                <c:pt idx="8">
                  <c:v>4</c:v>
                </c:pt>
                <c:pt idx="9">
                  <c:v>3</c:v>
                </c:pt>
              </c:numCache>
            </c:numRef>
          </c:val>
          <c:extLst>
            <c:ext xmlns:c16="http://schemas.microsoft.com/office/drawing/2014/chart" uri="{C3380CC4-5D6E-409C-BE32-E72D297353CC}">
              <c16:uniqueId val="{00000000-C3BD-4FB1-9685-B5991EF6FA63}"/>
            </c:ext>
          </c:extLst>
        </c:ser>
        <c:dLbls>
          <c:showLegendKey val="0"/>
          <c:showVal val="0"/>
          <c:showCatName val="0"/>
          <c:showSerName val="0"/>
          <c:showPercent val="0"/>
          <c:showBubbleSize val="0"/>
        </c:dLbls>
        <c:gapWidth val="219"/>
        <c:overlap val="-27"/>
        <c:axId val="156221024"/>
        <c:axId val="97590704"/>
      </c:barChart>
      <c:catAx>
        <c:axId val="15622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0704"/>
        <c:crosses val="autoZero"/>
        <c:auto val="1"/>
        <c:lblAlgn val="ctr"/>
        <c:lblOffset val="100"/>
        <c:noMultiLvlLbl val="0"/>
      </c:catAx>
      <c:valAx>
        <c:axId val="9759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2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Net Cash Flow by Project (USD,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report'!$B$484</c:f>
              <c:strCache>
                <c:ptCount val="1"/>
                <c:pt idx="0">
                  <c:v>WT-DC-MUM-01</c:v>
                </c:pt>
              </c:strCache>
            </c:strRef>
          </c:tx>
          <c:spPr>
            <a:ln w="28575" cap="rnd">
              <a:solidFill>
                <a:schemeClr val="accent1"/>
              </a:solidFill>
              <a:round/>
            </a:ln>
            <a:effectLst/>
          </c:spPr>
          <c:marker>
            <c:symbol val="none"/>
          </c:marker>
          <c:cat>
            <c:strRef>
              <c:f>'Analysis report'!$A$485:$A$496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'Analysis report'!$B$485:$B$496</c:f>
              <c:numCache>
                <c:formatCode>[$$-409]#,##0</c:formatCode>
                <c:ptCount val="12"/>
                <c:pt idx="0">
                  <c:v>-574274</c:v>
                </c:pt>
                <c:pt idx="1">
                  <c:v>-868853</c:v>
                </c:pt>
                <c:pt idx="2">
                  <c:v>-221231</c:v>
                </c:pt>
                <c:pt idx="3">
                  <c:v>1074695</c:v>
                </c:pt>
                <c:pt idx="4">
                  <c:v>389471</c:v>
                </c:pt>
                <c:pt idx="5">
                  <c:v>676310</c:v>
                </c:pt>
                <c:pt idx="6">
                  <c:v>147369</c:v>
                </c:pt>
                <c:pt idx="7">
                  <c:v>-30373</c:v>
                </c:pt>
                <c:pt idx="8">
                  <c:v>-576106</c:v>
                </c:pt>
                <c:pt idx="9">
                  <c:v>701779</c:v>
                </c:pt>
                <c:pt idx="10">
                  <c:v>674262</c:v>
                </c:pt>
                <c:pt idx="11">
                  <c:v>-553291</c:v>
                </c:pt>
              </c:numCache>
            </c:numRef>
          </c:val>
          <c:smooth val="0"/>
          <c:extLst>
            <c:ext xmlns:c16="http://schemas.microsoft.com/office/drawing/2014/chart" uri="{C3380CC4-5D6E-409C-BE32-E72D297353CC}">
              <c16:uniqueId val="{00000000-C1CA-4EBA-94EE-781B6A6E6786}"/>
            </c:ext>
          </c:extLst>
        </c:ser>
        <c:ser>
          <c:idx val="1"/>
          <c:order val="1"/>
          <c:tx>
            <c:strRef>
              <c:f>'Analysis report'!$C$484</c:f>
              <c:strCache>
                <c:ptCount val="1"/>
                <c:pt idx="0">
                  <c:v>WT-OFF-SYD-02</c:v>
                </c:pt>
              </c:strCache>
            </c:strRef>
          </c:tx>
          <c:spPr>
            <a:ln w="28575" cap="rnd">
              <a:solidFill>
                <a:schemeClr val="accent2"/>
              </a:solidFill>
              <a:round/>
            </a:ln>
            <a:effectLst/>
          </c:spPr>
          <c:marker>
            <c:symbol val="none"/>
          </c:marker>
          <c:cat>
            <c:strRef>
              <c:f>'Analysis report'!$A$485:$A$496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'Analysis report'!$C$485:$C$496</c:f>
              <c:numCache>
                <c:formatCode>[$$-409]#,##0</c:formatCode>
                <c:ptCount val="12"/>
                <c:pt idx="0">
                  <c:v>-1317584</c:v>
                </c:pt>
                <c:pt idx="1">
                  <c:v>836765</c:v>
                </c:pt>
                <c:pt idx="2">
                  <c:v>586100</c:v>
                </c:pt>
                <c:pt idx="3">
                  <c:v>-455351</c:v>
                </c:pt>
                <c:pt idx="4">
                  <c:v>502180</c:v>
                </c:pt>
                <c:pt idx="5">
                  <c:v>767572</c:v>
                </c:pt>
                <c:pt idx="6">
                  <c:v>-195047</c:v>
                </c:pt>
                <c:pt idx="7">
                  <c:v>-1056516</c:v>
                </c:pt>
                <c:pt idx="8">
                  <c:v>226548</c:v>
                </c:pt>
                <c:pt idx="9">
                  <c:v>73497</c:v>
                </c:pt>
                <c:pt idx="10">
                  <c:v>-824642</c:v>
                </c:pt>
                <c:pt idx="11">
                  <c:v>-533709</c:v>
                </c:pt>
              </c:numCache>
            </c:numRef>
          </c:val>
          <c:smooth val="0"/>
          <c:extLst>
            <c:ext xmlns:c16="http://schemas.microsoft.com/office/drawing/2014/chart" uri="{C3380CC4-5D6E-409C-BE32-E72D297353CC}">
              <c16:uniqueId val="{00000001-C1CA-4EBA-94EE-781B6A6E6786}"/>
            </c:ext>
          </c:extLst>
        </c:ser>
        <c:ser>
          <c:idx val="2"/>
          <c:order val="2"/>
          <c:tx>
            <c:strRef>
              <c:f>'Analysis report'!$D$484</c:f>
              <c:strCache>
                <c:ptCount val="1"/>
                <c:pt idx="0">
                  <c:v>WT-HOS-AKL-03</c:v>
                </c:pt>
              </c:strCache>
            </c:strRef>
          </c:tx>
          <c:spPr>
            <a:ln w="28575" cap="rnd">
              <a:solidFill>
                <a:schemeClr val="accent3"/>
              </a:solidFill>
              <a:round/>
            </a:ln>
            <a:effectLst/>
          </c:spPr>
          <c:marker>
            <c:symbol val="none"/>
          </c:marker>
          <c:cat>
            <c:strRef>
              <c:f>'Analysis report'!$A$485:$A$496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'Analysis report'!$D$485:$D$496</c:f>
              <c:numCache>
                <c:formatCode>[$$-409]#,##0</c:formatCode>
                <c:ptCount val="12"/>
                <c:pt idx="0">
                  <c:v>-595005</c:v>
                </c:pt>
                <c:pt idx="1">
                  <c:v>-533153</c:v>
                </c:pt>
                <c:pt idx="2">
                  <c:v>61735</c:v>
                </c:pt>
                <c:pt idx="3">
                  <c:v>-572862</c:v>
                </c:pt>
                <c:pt idx="4">
                  <c:v>579339</c:v>
                </c:pt>
                <c:pt idx="5">
                  <c:v>-68464</c:v>
                </c:pt>
                <c:pt idx="6">
                  <c:v>102073</c:v>
                </c:pt>
                <c:pt idx="7">
                  <c:v>-436762</c:v>
                </c:pt>
                <c:pt idx="8">
                  <c:v>-958914</c:v>
                </c:pt>
                <c:pt idx="9">
                  <c:v>-345897</c:v>
                </c:pt>
                <c:pt idx="10">
                  <c:v>-106806</c:v>
                </c:pt>
                <c:pt idx="11">
                  <c:v>-992486</c:v>
                </c:pt>
              </c:numCache>
            </c:numRef>
          </c:val>
          <c:smooth val="0"/>
          <c:extLst>
            <c:ext xmlns:c16="http://schemas.microsoft.com/office/drawing/2014/chart" uri="{C3380CC4-5D6E-409C-BE32-E72D297353CC}">
              <c16:uniqueId val="{00000002-C1CA-4EBA-94EE-781B6A6E6786}"/>
            </c:ext>
          </c:extLst>
        </c:ser>
        <c:ser>
          <c:idx val="3"/>
          <c:order val="3"/>
          <c:tx>
            <c:strRef>
              <c:f>'Analysis report'!$E$484</c:f>
              <c:strCache>
                <c:ptCount val="1"/>
                <c:pt idx="0">
                  <c:v>WT-ITP-BLR-04</c:v>
                </c:pt>
              </c:strCache>
            </c:strRef>
          </c:tx>
          <c:spPr>
            <a:ln w="28575" cap="rnd">
              <a:solidFill>
                <a:schemeClr val="accent4"/>
              </a:solidFill>
              <a:round/>
            </a:ln>
            <a:effectLst/>
          </c:spPr>
          <c:marker>
            <c:symbol val="none"/>
          </c:marker>
          <c:cat>
            <c:strRef>
              <c:f>'Analysis report'!$A$485:$A$496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'Analysis report'!$E$485:$E$496</c:f>
              <c:numCache>
                <c:formatCode>[$$-409]#,##0</c:formatCode>
                <c:ptCount val="12"/>
                <c:pt idx="0">
                  <c:v>545759</c:v>
                </c:pt>
                <c:pt idx="1">
                  <c:v>-3935</c:v>
                </c:pt>
                <c:pt idx="2">
                  <c:v>-186915</c:v>
                </c:pt>
                <c:pt idx="3">
                  <c:v>-1331420</c:v>
                </c:pt>
                <c:pt idx="4">
                  <c:v>-107332</c:v>
                </c:pt>
                <c:pt idx="5">
                  <c:v>-1097039</c:v>
                </c:pt>
                <c:pt idx="6">
                  <c:v>103162</c:v>
                </c:pt>
                <c:pt idx="7">
                  <c:v>596012</c:v>
                </c:pt>
                <c:pt idx="8">
                  <c:v>-810634</c:v>
                </c:pt>
                <c:pt idx="9">
                  <c:v>-1038711</c:v>
                </c:pt>
                <c:pt idx="10">
                  <c:v>447192</c:v>
                </c:pt>
                <c:pt idx="11">
                  <c:v>-14995</c:v>
                </c:pt>
              </c:numCache>
            </c:numRef>
          </c:val>
          <c:smooth val="0"/>
          <c:extLst>
            <c:ext xmlns:c16="http://schemas.microsoft.com/office/drawing/2014/chart" uri="{C3380CC4-5D6E-409C-BE32-E72D297353CC}">
              <c16:uniqueId val="{00000003-C1CA-4EBA-94EE-781B6A6E6786}"/>
            </c:ext>
          </c:extLst>
        </c:ser>
        <c:dLbls>
          <c:showLegendKey val="0"/>
          <c:showVal val="0"/>
          <c:showCatName val="0"/>
          <c:showSerName val="0"/>
          <c:showPercent val="0"/>
          <c:showBubbleSize val="0"/>
        </c:dLbls>
        <c:smooth val="0"/>
        <c:axId val="114723360"/>
        <c:axId val="97587344"/>
      </c:lineChart>
      <c:catAx>
        <c:axId val="11472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87344"/>
        <c:crosses val="autoZero"/>
        <c:auto val="1"/>
        <c:lblAlgn val="ctr"/>
        <c:lblOffset val="100"/>
        <c:noMultiLvlLbl val="0"/>
      </c:catAx>
      <c:valAx>
        <c:axId val="9758734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23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 Cost Impact by Status and Project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'Analysis report'!$B$576</c:f>
              <c:strCache>
                <c:ptCount val="1"/>
                <c:pt idx="0">
                  <c:v>Approved USD</c:v>
                </c:pt>
              </c:strCache>
            </c:strRef>
          </c:tx>
          <c:spPr>
            <a:solidFill>
              <a:schemeClr val="accent1"/>
            </a:solidFill>
            <a:ln>
              <a:noFill/>
            </a:ln>
            <a:effectLst/>
          </c:spPr>
          <c:invertIfNegative val="0"/>
          <c:cat>
            <c:strRef>
              <c:f>'Analysis report'!$A$577:$A$580</c:f>
              <c:strCache>
                <c:ptCount val="4"/>
                <c:pt idx="0">
                  <c:v>WT-DC-MUM-01</c:v>
                </c:pt>
                <c:pt idx="1">
                  <c:v>WT-OFF-SYD-02</c:v>
                </c:pt>
                <c:pt idx="2">
                  <c:v>WT-HOS-AKL-03</c:v>
                </c:pt>
                <c:pt idx="3">
                  <c:v>WT-RES-MEL-05</c:v>
                </c:pt>
              </c:strCache>
            </c:strRef>
          </c:cat>
          <c:val>
            <c:numRef>
              <c:f>'Analysis report'!$B$577:$B$580</c:f>
              <c:numCache>
                <c:formatCode>[$$-409]#,##0</c:formatCode>
                <c:ptCount val="4"/>
                <c:pt idx="0">
                  <c:v>791101</c:v>
                </c:pt>
                <c:pt idx="1">
                  <c:v>583674</c:v>
                </c:pt>
                <c:pt idx="2">
                  <c:v>1919398</c:v>
                </c:pt>
                <c:pt idx="3">
                  <c:v>892260</c:v>
                </c:pt>
              </c:numCache>
            </c:numRef>
          </c:val>
          <c:extLst>
            <c:ext xmlns:c16="http://schemas.microsoft.com/office/drawing/2014/chart" uri="{C3380CC4-5D6E-409C-BE32-E72D297353CC}">
              <c16:uniqueId val="{00000000-FEF4-4BC8-B10F-AFAE0C42EB4D}"/>
            </c:ext>
          </c:extLst>
        </c:ser>
        <c:ser>
          <c:idx val="1"/>
          <c:order val="1"/>
          <c:tx>
            <c:strRef>
              <c:f>'Analysis report'!$C$576</c:f>
              <c:strCache>
                <c:ptCount val="1"/>
                <c:pt idx="0">
                  <c:v>Pending USD</c:v>
                </c:pt>
              </c:strCache>
            </c:strRef>
          </c:tx>
          <c:spPr>
            <a:solidFill>
              <a:schemeClr val="accent2"/>
            </a:solidFill>
            <a:ln>
              <a:noFill/>
            </a:ln>
            <a:effectLst/>
          </c:spPr>
          <c:invertIfNegative val="0"/>
          <c:cat>
            <c:strRef>
              <c:f>'Analysis report'!$A$577:$A$580</c:f>
              <c:strCache>
                <c:ptCount val="4"/>
                <c:pt idx="0">
                  <c:v>WT-DC-MUM-01</c:v>
                </c:pt>
                <c:pt idx="1">
                  <c:v>WT-OFF-SYD-02</c:v>
                </c:pt>
                <c:pt idx="2">
                  <c:v>WT-HOS-AKL-03</c:v>
                </c:pt>
                <c:pt idx="3">
                  <c:v>WT-RES-MEL-05</c:v>
                </c:pt>
              </c:strCache>
            </c:strRef>
          </c:cat>
          <c:val>
            <c:numRef>
              <c:f>'Analysis report'!$C$577:$C$580</c:f>
              <c:numCache>
                <c:formatCode>[$$-409]#,##0</c:formatCode>
                <c:ptCount val="4"/>
                <c:pt idx="0">
                  <c:v>758642</c:v>
                </c:pt>
                <c:pt idx="1">
                  <c:v>0</c:v>
                </c:pt>
                <c:pt idx="2">
                  <c:v>449749</c:v>
                </c:pt>
                <c:pt idx="3">
                  <c:v>114455</c:v>
                </c:pt>
              </c:numCache>
            </c:numRef>
          </c:val>
          <c:extLst>
            <c:ext xmlns:c16="http://schemas.microsoft.com/office/drawing/2014/chart" uri="{C3380CC4-5D6E-409C-BE32-E72D297353CC}">
              <c16:uniqueId val="{00000001-FEF4-4BC8-B10F-AFAE0C42EB4D}"/>
            </c:ext>
          </c:extLst>
        </c:ser>
        <c:ser>
          <c:idx val="2"/>
          <c:order val="2"/>
          <c:tx>
            <c:strRef>
              <c:f>'Analysis report'!$D$576</c:f>
              <c:strCache>
                <c:ptCount val="1"/>
                <c:pt idx="0">
                  <c:v>Under Review USD</c:v>
                </c:pt>
              </c:strCache>
            </c:strRef>
          </c:tx>
          <c:spPr>
            <a:solidFill>
              <a:schemeClr val="accent3"/>
            </a:solidFill>
            <a:ln>
              <a:noFill/>
            </a:ln>
            <a:effectLst/>
          </c:spPr>
          <c:invertIfNegative val="0"/>
          <c:cat>
            <c:strRef>
              <c:f>'Analysis report'!$A$577:$A$580</c:f>
              <c:strCache>
                <c:ptCount val="4"/>
                <c:pt idx="0">
                  <c:v>WT-DC-MUM-01</c:v>
                </c:pt>
                <c:pt idx="1">
                  <c:v>WT-OFF-SYD-02</c:v>
                </c:pt>
                <c:pt idx="2">
                  <c:v>WT-HOS-AKL-03</c:v>
                </c:pt>
                <c:pt idx="3">
                  <c:v>WT-RES-MEL-05</c:v>
                </c:pt>
              </c:strCache>
            </c:strRef>
          </c:cat>
          <c:val>
            <c:numRef>
              <c:f>'Analysis report'!$D$577:$D$580</c:f>
              <c:numCache>
                <c:formatCode>[$$-409]#,##0</c:formatCode>
                <c:ptCount val="4"/>
                <c:pt idx="0">
                  <c:v>675467</c:v>
                </c:pt>
                <c:pt idx="1">
                  <c:v>577493</c:v>
                </c:pt>
                <c:pt idx="2">
                  <c:v>158155</c:v>
                </c:pt>
                <c:pt idx="3">
                  <c:v>563191</c:v>
                </c:pt>
              </c:numCache>
            </c:numRef>
          </c:val>
          <c:extLst>
            <c:ext xmlns:c16="http://schemas.microsoft.com/office/drawing/2014/chart" uri="{C3380CC4-5D6E-409C-BE32-E72D297353CC}">
              <c16:uniqueId val="{00000002-FEF4-4BC8-B10F-AFAE0C42EB4D}"/>
            </c:ext>
          </c:extLst>
        </c:ser>
        <c:ser>
          <c:idx val="3"/>
          <c:order val="3"/>
          <c:tx>
            <c:strRef>
              <c:f>'Analysis report'!$E$576</c:f>
              <c:strCache>
                <c:ptCount val="1"/>
                <c:pt idx="0">
                  <c:v>Rejected USD</c:v>
                </c:pt>
              </c:strCache>
            </c:strRef>
          </c:tx>
          <c:spPr>
            <a:solidFill>
              <a:schemeClr val="accent4"/>
            </a:solidFill>
            <a:ln>
              <a:noFill/>
            </a:ln>
            <a:effectLst/>
          </c:spPr>
          <c:invertIfNegative val="0"/>
          <c:cat>
            <c:strRef>
              <c:f>'Analysis report'!$A$577:$A$580</c:f>
              <c:strCache>
                <c:ptCount val="4"/>
                <c:pt idx="0">
                  <c:v>WT-DC-MUM-01</c:v>
                </c:pt>
                <c:pt idx="1">
                  <c:v>WT-OFF-SYD-02</c:v>
                </c:pt>
                <c:pt idx="2">
                  <c:v>WT-HOS-AKL-03</c:v>
                </c:pt>
                <c:pt idx="3">
                  <c:v>WT-RES-MEL-05</c:v>
                </c:pt>
              </c:strCache>
            </c:strRef>
          </c:cat>
          <c:val>
            <c:numRef>
              <c:f>'Analysis report'!$E$577:$E$580</c:f>
              <c:numCache>
                <c:formatCode>[$$-409]#,##0</c:formatCode>
                <c:ptCount val="4"/>
                <c:pt idx="0">
                  <c:v>-142038</c:v>
                </c:pt>
                <c:pt idx="1">
                  <c:v>3723549</c:v>
                </c:pt>
                <c:pt idx="2">
                  <c:v>1081459</c:v>
                </c:pt>
                <c:pt idx="3">
                  <c:v>2200179</c:v>
                </c:pt>
              </c:numCache>
            </c:numRef>
          </c:val>
          <c:extLst>
            <c:ext xmlns:c16="http://schemas.microsoft.com/office/drawing/2014/chart" uri="{C3380CC4-5D6E-409C-BE32-E72D297353CC}">
              <c16:uniqueId val="{00000003-FEF4-4BC8-B10F-AFAE0C42EB4D}"/>
            </c:ext>
          </c:extLst>
        </c:ser>
        <c:dLbls>
          <c:showLegendKey val="0"/>
          <c:showVal val="0"/>
          <c:showCatName val="0"/>
          <c:showSerName val="0"/>
          <c:showPercent val="0"/>
          <c:showBubbleSize val="0"/>
        </c:dLbls>
        <c:gapWidth val="150"/>
        <c:overlap val="100"/>
        <c:axId val="114722432"/>
        <c:axId val="97573424"/>
      </c:barChart>
      <c:catAx>
        <c:axId val="11472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3424"/>
        <c:crosses val="autoZero"/>
        <c:auto val="1"/>
        <c:lblAlgn val="ctr"/>
        <c:lblOffset val="100"/>
        <c:noMultiLvlLbl val="0"/>
      </c:catAx>
      <c:valAx>
        <c:axId val="9757342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Subcontractor — 5-Dimension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'Analysis report'!$B$622</c:f>
              <c:strCache>
                <c:ptCount val="1"/>
                <c:pt idx="0">
                  <c:v>Score (out of 5)</c:v>
                </c:pt>
              </c:strCache>
            </c:strRef>
          </c:tx>
          <c:spPr>
            <a:ln w="28575" cap="rnd">
              <a:solidFill>
                <a:schemeClr val="accent1"/>
              </a:solidFill>
              <a:round/>
            </a:ln>
            <a:effectLst/>
          </c:spPr>
          <c:marker>
            <c:symbol val="none"/>
          </c:marker>
          <c:cat>
            <c:strRef>
              <c:f>'Analysis report'!$A$623:$A$627</c:f>
              <c:strCache>
                <c:ptCount val="5"/>
                <c:pt idx="0">
                  <c:v>Quality</c:v>
                </c:pt>
                <c:pt idx="1">
                  <c:v>Time</c:v>
                </c:pt>
                <c:pt idx="2">
                  <c:v>Safety</c:v>
                </c:pt>
                <c:pt idx="3">
                  <c:v>Cost</c:v>
                </c:pt>
                <c:pt idx="4">
                  <c:v>Communication</c:v>
                </c:pt>
              </c:strCache>
            </c:strRef>
          </c:cat>
          <c:val>
            <c:numRef>
              <c:f>'Analysis report'!$B$623:$B$627</c:f>
              <c:numCache>
                <c:formatCode>0.00</c:formatCode>
                <c:ptCount val="5"/>
                <c:pt idx="0">
                  <c:v>4</c:v>
                </c:pt>
                <c:pt idx="1">
                  <c:v>3.2</c:v>
                </c:pt>
                <c:pt idx="2">
                  <c:v>4.2</c:v>
                </c:pt>
                <c:pt idx="3">
                  <c:v>4.5999999999999996</c:v>
                </c:pt>
                <c:pt idx="4">
                  <c:v>3.3</c:v>
                </c:pt>
              </c:numCache>
            </c:numRef>
          </c:val>
          <c:extLst>
            <c:ext xmlns:c16="http://schemas.microsoft.com/office/drawing/2014/chart" uri="{C3380CC4-5D6E-409C-BE32-E72D297353CC}">
              <c16:uniqueId val="{00000000-34A8-4B54-B2BD-2326FC66833A}"/>
            </c:ext>
          </c:extLst>
        </c:ser>
        <c:dLbls>
          <c:showLegendKey val="0"/>
          <c:showVal val="0"/>
          <c:showCatName val="0"/>
          <c:showSerName val="0"/>
          <c:showPercent val="0"/>
          <c:showBubbleSize val="0"/>
        </c:dLbls>
        <c:axId val="164432256"/>
        <c:axId val="97573904"/>
      </c:radarChart>
      <c:catAx>
        <c:axId val="1644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3904"/>
        <c:crosses val="autoZero"/>
        <c:auto val="1"/>
        <c:lblAlgn val="ctr"/>
        <c:lblOffset val="100"/>
        <c:noMultiLvlLbl val="0"/>
      </c:catAx>
      <c:valAx>
        <c:axId val="97573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Construction Cost per sqm by Country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 report'!$B$651</c:f>
              <c:strCache>
                <c:ptCount val="1"/>
                <c:pt idx="0">
                  <c:v>Avg Cost per sqm USD</c:v>
                </c:pt>
              </c:strCache>
            </c:strRef>
          </c:tx>
          <c:spPr>
            <a:solidFill>
              <a:schemeClr val="accent1"/>
            </a:solidFill>
            <a:ln>
              <a:noFill/>
            </a:ln>
            <a:effectLst/>
          </c:spPr>
          <c:invertIfNegative val="0"/>
          <c:cat>
            <c:strRef>
              <c:f>'Analysis report'!$A$652:$A$654</c:f>
              <c:strCache>
                <c:ptCount val="3"/>
                <c:pt idx="0">
                  <c:v>Australia</c:v>
                </c:pt>
                <c:pt idx="1">
                  <c:v>India</c:v>
                </c:pt>
                <c:pt idx="2">
                  <c:v>New Zealand</c:v>
                </c:pt>
              </c:strCache>
            </c:strRef>
          </c:cat>
          <c:val>
            <c:numRef>
              <c:f>'Analysis report'!$B$652:$B$654</c:f>
              <c:numCache>
                <c:formatCode>[$$-409]#,##0</c:formatCode>
                <c:ptCount val="3"/>
                <c:pt idx="0">
                  <c:v>3677.1111111111113</c:v>
                </c:pt>
                <c:pt idx="1">
                  <c:v>670.4</c:v>
                </c:pt>
                <c:pt idx="2">
                  <c:v>2993</c:v>
                </c:pt>
              </c:numCache>
            </c:numRef>
          </c:val>
          <c:extLst>
            <c:ext xmlns:c16="http://schemas.microsoft.com/office/drawing/2014/chart" uri="{C3380CC4-5D6E-409C-BE32-E72D297353CC}">
              <c16:uniqueId val="{00000000-08B6-4435-B8BE-2F47ED958CE4}"/>
            </c:ext>
          </c:extLst>
        </c:ser>
        <c:dLbls>
          <c:showLegendKey val="0"/>
          <c:showVal val="0"/>
          <c:showCatName val="0"/>
          <c:showSerName val="0"/>
          <c:showPercent val="0"/>
          <c:showBubbleSize val="0"/>
        </c:dLbls>
        <c:gapWidth val="219"/>
        <c:overlap val="-27"/>
        <c:axId val="164453136"/>
        <c:axId val="97568144"/>
      </c:barChart>
      <c:catAx>
        <c:axId val="16445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68144"/>
        <c:crosses val="autoZero"/>
        <c:auto val="1"/>
        <c:lblAlgn val="ctr"/>
        <c:lblOffset val="100"/>
        <c:noMultiLvlLbl val="0"/>
      </c:catAx>
      <c:valAx>
        <c:axId val="9756814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5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EVM S-Curve — PV vs EV vs AC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report'!$B$731</c:f>
              <c:strCache>
                <c:ptCount val="1"/>
                <c:pt idx="0">
                  <c:v>PV — Planned Value USD</c:v>
                </c:pt>
              </c:strCache>
            </c:strRef>
          </c:tx>
          <c:spPr>
            <a:ln w="28575" cap="rnd">
              <a:solidFill>
                <a:schemeClr val="accent1"/>
              </a:solidFill>
              <a:round/>
            </a:ln>
            <a:effectLst/>
          </c:spPr>
          <c:marker>
            <c:symbol val="none"/>
          </c:marker>
          <c:cat>
            <c:strRef>
              <c:f>'Analysis report'!$A$732:$A$767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'Analysis report'!$B$732:$B$767</c:f>
              <c:numCache>
                <c:formatCode>[$$-409]#,##0</c:formatCode>
                <c:ptCount val="36"/>
                <c:pt idx="0">
                  <c:v>713955</c:v>
                </c:pt>
                <c:pt idx="1">
                  <c:v>1375080</c:v>
                </c:pt>
                <c:pt idx="2">
                  <c:v>1996674</c:v>
                </c:pt>
                <c:pt idx="3">
                  <c:v>2659718</c:v>
                </c:pt>
                <c:pt idx="4">
                  <c:v>3522912</c:v>
                </c:pt>
                <c:pt idx="5">
                  <c:v>4311364</c:v>
                </c:pt>
                <c:pt idx="6">
                  <c:v>5076108</c:v>
                </c:pt>
                <c:pt idx="7">
                  <c:v>5518420</c:v>
                </c:pt>
                <c:pt idx="8">
                  <c:v>6176705</c:v>
                </c:pt>
                <c:pt idx="9">
                  <c:v>7227989</c:v>
                </c:pt>
                <c:pt idx="10">
                  <c:v>7370482</c:v>
                </c:pt>
                <c:pt idx="11">
                  <c:v>8456065</c:v>
                </c:pt>
                <c:pt idx="12">
                  <c:v>9008847</c:v>
                </c:pt>
                <c:pt idx="13">
                  <c:v>9643700</c:v>
                </c:pt>
                <c:pt idx="14">
                  <c:v>10155362</c:v>
                </c:pt>
                <c:pt idx="15">
                  <c:v>10577255</c:v>
                </c:pt>
                <c:pt idx="16">
                  <c:v>11781571</c:v>
                </c:pt>
                <c:pt idx="17">
                  <c:v>12582063</c:v>
                </c:pt>
                <c:pt idx="18">
                  <c:v>12569110</c:v>
                </c:pt>
                <c:pt idx="19">
                  <c:v>14320401</c:v>
                </c:pt>
                <c:pt idx="20">
                  <c:v>14542039</c:v>
                </c:pt>
                <c:pt idx="21">
                  <c:v>14869497</c:v>
                </c:pt>
                <c:pt idx="22">
                  <c:v>15558785</c:v>
                </c:pt>
                <c:pt idx="23">
                  <c:v>17061766</c:v>
                </c:pt>
                <c:pt idx="24">
                  <c:v>17492521</c:v>
                </c:pt>
                <c:pt idx="25">
                  <c:v>18841344</c:v>
                </c:pt>
                <c:pt idx="26">
                  <c:v>18256033</c:v>
                </c:pt>
                <c:pt idx="27">
                  <c:v>19169856</c:v>
                </c:pt>
                <c:pt idx="28">
                  <c:v>19840193</c:v>
                </c:pt>
                <c:pt idx="29">
                  <c:v>21767434</c:v>
                </c:pt>
                <c:pt idx="30">
                  <c:v>22540417</c:v>
                </c:pt>
                <c:pt idx="31">
                  <c:v>21195474</c:v>
                </c:pt>
                <c:pt idx="32">
                  <c:v>21816501</c:v>
                </c:pt>
                <c:pt idx="33">
                  <c:v>23880595</c:v>
                </c:pt>
                <c:pt idx="34">
                  <c:v>23521603</c:v>
                </c:pt>
                <c:pt idx="35">
                  <c:v>23898889</c:v>
                </c:pt>
              </c:numCache>
            </c:numRef>
          </c:val>
          <c:smooth val="0"/>
          <c:extLst>
            <c:ext xmlns:c16="http://schemas.microsoft.com/office/drawing/2014/chart" uri="{C3380CC4-5D6E-409C-BE32-E72D297353CC}">
              <c16:uniqueId val="{00000000-7A96-4ABE-B8FF-65DD9B680A43}"/>
            </c:ext>
          </c:extLst>
        </c:ser>
        <c:ser>
          <c:idx val="1"/>
          <c:order val="1"/>
          <c:tx>
            <c:strRef>
              <c:f>'Analysis report'!$C$731</c:f>
              <c:strCache>
                <c:ptCount val="1"/>
                <c:pt idx="0">
                  <c:v>EV — Earned Value USD</c:v>
                </c:pt>
              </c:strCache>
            </c:strRef>
          </c:tx>
          <c:spPr>
            <a:ln w="28575" cap="rnd">
              <a:solidFill>
                <a:schemeClr val="accent2"/>
              </a:solidFill>
              <a:round/>
            </a:ln>
            <a:effectLst/>
          </c:spPr>
          <c:marker>
            <c:symbol val="none"/>
          </c:marker>
          <c:cat>
            <c:strRef>
              <c:f>'Analysis report'!$A$732:$A$767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'Analysis report'!$C$732:$C$767</c:f>
              <c:numCache>
                <c:formatCode>[$$-409]#,##0</c:formatCode>
                <c:ptCount val="36"/>
                <c:pt idx="0">
                  <c:v>583077</c:v>
                </c:pt>
                <c:pt idx="1">
                  <c:v>1314419</c:v>
                </c:pt>
                <c:pt idx="2">
                  <c:v>1848591</c:v>
                </c:pt>
                <c:pt idx="3">
                  <c:v>2790438</c:v>
                </c:pt>
                <c:pt idx="4">
                  <c:v>3497510</c:v>
                </c:pt>
                <c:pt idx="5">
                  <c:v>4279745</c:v>
                </c:pt>
                <c:pt idx="6">
                  <c:v>3884193</c:v>
                </c:pt>
                <c:pt idx="7">
                  <c:v>5338129</c:v>
                </c:pt>
                <c:pt idx="8">
                  <c:v>5423142</c:v>
                </c:pt>
                <c:pt idx="9">
                  <c:v>6017261</c:v>
                </c:pt>
                <c:pt idx="10">
                  <c:v>6885739</c:v>
                </c:pt>
                <c:pt idx="11">
                  <c:v>7607646</c:v>
                </c:pt>
                <c:pt idx="12">
                  <c:v>6993716</c:v>
                </c:pt>
                <c:pt idx="13">
                  <c:v>9092039</c:v>
                </c:pt>
                <c:pt idx="14">
                  <c:v>10645116</c:v>
                </c:pt>
                <c:pt idx="15">
                  <c:v>9146675</c:v>
                </c:pt>
                <c:pt idx="16">
                  <c:v>11598138</c:v>
                </c:pt>
                <c:pt idx="17">
                  <c:v>10650481</c:v>
                </c:pt>
                <c:pt idx="18">
                  <c:v>11678398</c:v>
                </c:pt>
                <c:pt idx="19">
                  <c:v>11947221</c:v>
                </c:pt>
                <c:pt idx="20">
                  <c:v>12465870</c:v>
                </c:pt>
                <c:pt idx="21">
                  <c:v>11864184</c:v>
                </c:pt>
                <c:pt idx="22">
                  <c:v>14160157</c:v>
                </c:pt>
                <c:pt idx="23">
                  <c:v>16707135</c:v>
                </c:pt>
                <c:pt idx="24">
                  <c:v>18276175</c:v>
                </c:pt>
                <c:pt idx="25">
                  <c:v>19735602</c:v>
                </c:pt>
                <c:pt idx="26">
                  <c:v>15433674</c:v>
                </c:pt>
                <c:pt idx="27">
                  <c:v>17779442</c:v>
                </c:pt>
                <c:pt idx="28">
                  <c:v>18258838</c:v>
                </c:pt>
                <c:pt idx="29">
                  <c:v>21789398</c:v>
                </c:pt>
                <c:pt idx="30">
                  <c:v>20571227</c:v>
                </c:pt>
                <c:pt idx="31">
                  <c:v>16253757</c:v>
                </c:pt>
                <c:pt idx="32">
                  <c:v>19490789</c:v>
                </c:pt>
                <c:pt idx="33">
                  <c:v>23687965</c:v>
                </c:pt>
                <c:pt idx="34">
                  <c:v>23303495</c:v>
                </c:pt>
                <c:pt idx="35">
                  <c:v>18983212</c:v>
                </c:pt>
              </c:numCache>
            </c:numRef>
          </c:val>
          <c:smooth val="0"/>
          <c:extLst>
            <c:ext xmlns:c16="http://schemas.microsoft.com/office/drawing/2014/chart" uri="{C3380CC4-5D6E-409C-BE32-E72D297353CC}">
              <c16:uniqueId val="{00000001-7A96-4ABE-B8FF-65DD9B680A43}"/>
            </c:ext>
          </c:extLst>
        </c:ser>
        <c:ser>
          <c:idx val="2"/>
          <c:order val="2"/>
          <c:tx>
            <c:strRef>
              <c:f>'Analysis report'!$D$731</c:f>
              <c:strCache>
                <c:ptCount val="1"/>
                <c:pt idx="0">
                  <c:v>AC — Actual Cost USD</c:v>
                </c:pt>
              </c:strCache>
            </c:strRef>
          </c:tx>
          <c:spPr>
            <a:ln w="28575" cap="rnd">
              <a:solidFill>
                <a:schemeClr val="accent3"/>
              </a:solidFill>
              <a:round/>
            </a:ln>
            <a:effectLst/>
          </c:spPr>
          <c:marker>
            <c:symbol val="none"/>
          </c:marker>
          <c:cat>
            <c:strRef>
              <c:f>'Analysis report'!$A$732:$A$767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'Analysis report'!$D$732:$D$767</c:f>
              <c:numCache>
                <c:formatCode>[$$-409]#,##0</c:formatCode>
                <c:ptCount val="36"/>
                <c:pt idx="0">
                  <c:v>559427</c:v>
                </c:pt>
                <c:pt idx="1">
                  <c:v>1552686</c:v>
                </c:pt>
                <c:pt idx="2">
                  <c:v>2172516</c:v>
                </c:pt>
                <c:pt idx="3">
                  <c:v>2676937</c:v>
                </c:pt>
                <c:pt idx="4">
                  <c:v>3244267</c:v>
                </c:pt>
                <c:pt idx="5">
                  <c:v>4009086</c:v>
                </c:pt>
                <c:pt idx="6">
                  <c:v>4572625</c:v>
                </c:pt>
                <c:pt idx="7">
                  <c:v>5598832</c:v>
                </c:pt>
                <c:pt idx="8">
                  <c:v>5456673</c:v>
                </c:pt>
                <c:pt idx="9">
                  <c:v>6220665</c:v>
                </c:pt>
                <c:pt idx="10">
                  <c:v>7471668</c:v>
                </c:pt>
                <c:pt idx="11">
                  <c:v>8861641</c:v>
                </c:pt>
                <c:pt idx="12">
                  <c:v>7097954</c:v>
                </c:pt>
                <c:pt idx="13">
                  <c:v>10357281</c:v>
                </c:pt>
                <c:pt idx="14">
                  <c:v>11316790</c:v>
                </c:pt>
                <c:pt idx="15">
                  <c:v>10189498</c:v>
                </c:pt>
                <c:pt idx="16">
                  <c:v>11635370</c:v>
                </c:pt>
                <c:pt idx="17">
                  <c:v>10449513</c:v>
                </c:pt>
                <c:pt idx="18">
                  <c:v>10613223</c:v>
                </c:pt>
                <c:pt idx="19">
                  <c:v>13650848</c:v>
                </c:pt>
                <c:pt idx="20">
                  <c:v>13403261</c:v>
                </c:pt>
                <c:pt idx="21">
                  <c:v>11559952</c:v>
                </c:pt>
                <c:pt idx="22">
                  <c:v>16105354</c:v>
                </c:pt>
                <c:pt idx="23">
                  <c:v>19786940</c:v>
                </c:pt>
                <c:pt idx="24">
                  <c:v>18578220</c:v>
                </c:pt>
                <c:pt idx="25">
                  <c:v>18790535</c:v>
                </c:pt>
                <c:pt idx="26">
                  <c:v>17307808</c:v>
                </c:pt>
                <c:pt idx="27">
                  <c:v>19753597</c:v>
                </c:pt>
                <c:pt idx="28">
                  <c:v>17211341</c:v>
                </c:pt>
                <c:pt idx="29">
                  <c:v>24907904</c:v>
                </c:pt>
                <c:pt idx="30">
                  <c:v>19597529</c:v>
                </c:pt>
                <c:pt idx="31">
                  <c:v>17562165</c:v>
                </c:pt>
                <c:pt idx="32">
                  <c:v>19481437</c:v>
                </c:pt>
                <c:pt idx="33">
                  <c:v>23740734</c:v>
                </c:pt>
                <c:pt idx="34">
                  <c:v>27042893</c:v>
                </c:pt>
                <c:pt idx="35">
                  <c:v>21098110</c:v>
                </c:pt>
              </c:numCache>
            </c:numRef>
          </c:val>
          <c:smooth val="0"/>
          <c:extLst>
            <c:ext xmlns:c16="http://schemas.microsoft.com/office/drawing/2014/chart" uri="{C3380CC4-5D6E-409C-BE32-E72D297353CC}">
              <c16:uniqueId val="{00000002-7A96-4ABE-B8FF-65DD9B680A43}"/>
            </c:ext>
          </c:extLst>
        </c:ser>
        <c:dLbls>
          <c:showLegendKey val="0"/>
          <c:showVal val="0"/>
          <c:showCatName val="0"/>
          <c:showSerName val="0"/>
          <c:showPercent val="0"/>
          <c:showBubbleSize val="0"/>
        </c:dLbls>
        <c:smooth val="0"/>
        <c:axId val="154005712"/>
        <c:axId val="97536464"/>
      </c:lineChart>
      <c:catAx>
        <c:axId val="15400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36464"/>
        <c:crosses val="autoZero"/>
        <c:auto val="1"/>
        <c:lblAlgn val="ctr"/>
        <c:lblOffset val="100"/>
        <c:noMultiLvlLbl val="0"/>
      </c:catAx>
      <c:valAx>
        <c:axId val="9753646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0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by Project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 report'!$B$918</c:f>
              <c:strCache>
                <c:ptCount val="1"/>
                <c:pt idx="0">
                  <c:v>Projects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92-4A18-99BE-C1BB3C2E0A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92-4A18-99BE-C1BB3C2E0A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92-4A18-99BE-C1BB3C2E0A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92-4A18-99BE-C1BB3C2E0A3C}"/>
              </c:ext>
            </c:extLst>
          </c:dPt>
          <c:cat>
            <c:strRef>
              <c:f>'Analysis report'!$A$919:$A$922</c:f>
              <c:strCache>
                <c:ptCount val="4"/>
                <c:pt idx="0">
                  <c:v>In Progress</c:v>
                </c:pt>
                <c:pt idx="1">
                  <c:v>On Hold</c:v>
                </c:pt>
                <c:pt idx="2">
                  <c:v>Completed</c:v>
                </c:pt>
                <c:pt idx="3">
                  <c:v>Planning</c:v>
                </c:pt>
              </c:strCache>
            </c:strRef>
          </c:cat>
          <c:val>
            <c:numRef>
              <c:f>'Analysis report'!$B$919:$B$922</c:f>
              <c:numCache>
                <c:formatCode>General</c:formatCode>
                <c:ptCount val="4"/>
                <c:pt idx="0">
                  <c:v>4</c:v>
                </c:pt>
                <c:pt idx="1">
                  <c:v>8</c:v>
                </c:pt>
                <c:pt idx="2">
                  <c:v>8</c:v>
                </c:pt>
                <c:pt idx="3">
                  <c:v>5</c:v>
                </c:pt>
              </c:numCache>
            </c:numRef>
          </c:val>
          <c:extLst>
            <c:ext xmlns:c16="http://schemas.microsoft.com/office/drawing/2014/chart" uri="{C3380CC4-5D6E-409C-BE32-E72D297353CC}">
              <c16:uniqueId val="{00000000-AD10-4055-9AC8-75818894A4C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SPI vs CPI (bubble size =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'Analysis report'!$B$945</c:f>
              <c:strCache>
                <c:ptCount val="1"/>
                <c:pt idx="0">
                  <c:v>CPI</c:v>
                </c:pt>
              </c:strCache>
            </c:strRef>
          </c:tx>
          <c:spPr>
            <a:solidFill>
              <a:schemeClr val="accent1">
                <a:alpha val="75000"/>
              </a:schemeClr>
            </a:solidFill>
            <a:ln>
              <a:noFill/>
            </a:ln>
            <a:effectLst/>
          </c:spPr>
          <c:invertIfNegative val="0"/>
          <c:xVal>
            <c:numRef>
              <c:f>'Analysis report'!$A$946:$A$970</c:f>
              <c:numCache>
                <c:formatCode>0.00</c:formatCode>
                <c:ptCount val="25"/>
                <c:pt idx="0">
                  <c:v>0.91</c:v>
                </c:pt>
                <c:pt idx="1">
                  <c:v>1</c:v>
                </c:pt>
                <c:pt idx="2">
                  <c:v>1.06</c:v>
                </c:pt>
                <c:pt idx="3">
                  <c:v>0.9</c:v>
                </c:pt>
                <c:pt idx="4">
                  <c:v>0.81</c:v>
                </c:pt>
                <c:pt idx="5">
                  <c:v>0.78</c:v>
                </c:pt>
                <c:pt idx="6">
                  <c:v>1.1599999999999999</c:v>
                </c:pt>
                <c:pt idx="7">
                  <c:v>1.1100000000000001</c:v>
                </c:pt>
                <c:pt idx="8">
                  <c:v>1.1599999999999999</c:v>
                </c:pt>
                <c:pt idx="9">
                  <c:v>1.02</c:v>
                </c:pt>
                <c:pt idx="10">
                  <c:v>0.86</c:v>
                </c:pt>
                <c:pt idx="11">
                  <c:v>0.75</c:v>
                </c:pt>
                <c:pt idx="12">
                  <c:v>0.72</c:v>
                </c:pt>
                <c:pt idx="13">
                  <c:v>0.77</c:v>
                </c:pt>
                <c:pt idx="14">
                  <c:v>0.96</c:v>
                </c:pt>
                <c:pt idx="15">
                  <c:v>0.88</c:v>
                </c:pt>
                <c:pt idx="16">
                  <c:v>1.1000000000000001</c:v>
                </c:pt>
                <c:pt idx="17">
                  <c:v>1.06</c:v>
                </c:pt>
                <c:pt idx="18">
                  <c:v>1.1000000000000001</c:v>
                </c:pt>
                <c:pt idx="19">
                  <c:v>0.96</c:v>
                </c:pt>
                <c:pt idx="20">
                  <c:v>0.96</c:v>
                </c:pt>
                <c:pt idx="21">
                  <c:v>0.7</c:v>
                </c:pt>
                <c:pt idx="22">
                  <c:v>1.19</c:v>
                </c:pt>
                <c:pt idx="23">
                  <c:v>0.93</c:v>
                </c:pt>
                <c:pt idx="24">
                  <c:v>0.78</c:v>
                </c:pt>
              </c:numCache>
            </c:numRef>
          </c:xVal>
          <c:yVal>
            <c:numRef>
              <c:f>'Analysis report'!$B$946:$B$970</c:f>
              <c:numCache>
                <c:formatCode>0.00</c:formatCode>
                <c:ptCount val="25"/>
                <c:pt idx="0">
                  <c:v>0.79</c:v>
                </c:pt>
                <c:pt idx="1">
                  <c:v>1.1200000000000001</c:v>
                </c:pt>
                <c:pt idx="2">
                  <c:v>0.99</c:v>
                </c:pt>
                <c:pt idx="3">
                  <c:v>1.04</c:v>
                </c:pt>
                <c:pt idx="4">
                  <c:v>1.0900000000000001</c:v>
                </c:pt>
                <c:pt idx="5">
                  <c:v>0.86</c:v>
                </c:pt>
                <c:pt idx="6">
                  <c:v>1.04</c:v>
                </c:pt>
                <c:pt idx="7">
                  <c:v>0.79</c:v>
                </c:pt>
                <c:pt idx="8">
                  <c:v>0.88</c:v>
                </c:pt>
                <c:pt idx="9">
                  <c:v>1</c:v>
                </c:pt>
                <c:pt idx="10">
                  <c:v>1.03</c:v>
                </c:pt>
                <c:pt idx="11">
                  <c:v>0.92</c:v>
                </c:pt>
                <c:pt idx="12">
                  <c:v>0.91</c:v>
                </c:pt>
                <c:pt idx="13">
                  <c:v>0.97</c:v>
                </c:pt>
                <c:pt idx="14">
                  <c:v>0.85</c:v>
                </c:pt>
                <c:pt idx="15">
                  <c:v>0.83</c:v>
                </c:pt>
                <c:pt idx="16">
                  <c:v>1</c:v>
                </c:pt>
                <c:pt idx="17">
                  <c:v>0.78</c:v>
                </c:pt>
                <c:pt idx="18">
                  <c:v>0.87</c:v>
                </c:pt>
                <c:pt idx="19">
                  <c:v>0.85</c:v>
                </c:pt>
                <c:pt idx="20">
                  <c:v>0.85</c:v>
                </c:pt>
                <c:pt idx="21">
                  <c:v>0.91</c:v>
                </c:pt>
                <c:pt idx="22">
                  <c:v>0.95</c:v>
                </c:pt>
                <c:pt idx="23">
                  <c:v>1.1200000000000001</c:v>
                </c:pt>
                <c:pt idx="24">
                  <c:v>0.89</c:v>
                </c:pt>
              </c:numCache>
            </c:numRef>
          </c:yVal>
          <c:bubbleSize>
            <c:numRef>
              <c:f>'Analysis report'!$C$946:$C$970</c:f>
              <c:numCache>
                <c:formatCode>[$$-409]#,##0</c:formatCode>
                <c:ptCount val="25"/>
                <c:pt idx="0">
                  <c:v>95528859</c:v>
                </c:pt>
                <c:pt idx="1">
                  <c:v>93252435</c:v>
                </c:pt>
                <c:pt idx="2">
                  <c:v>60343779</c:v>
                </c:pt>
                <c:pt idx="3">
                  <c:v>53319528</c:v>
                </c:pt>
                <c:pt idx="4">
                  <c:v>45512501</c:v>
                </c:pt>
                <c:pt idx="5">
                  <c:v>17655004</c:v>
                </c:pt>
                <c:pt idx="6">
                  <c:v>17335296</c:v>
                </c:pt>
                <c:pt idx="7">
                  <c:v>97555887</c:v>
                </c:pt>
                <c:pt idx="8">
                  <c:v>15533057</c:v>
                </c:pt>
                <c:pt idx="9">
                  <c:v>92614538</c:v>
                </c:pt>
                <c:pt idx="10">
                  <c:v>47857940</c:v>
                </c:pt>
                <c:pt idx="11">
                  <c:v>84877290</c:v>
                </c:pt>
                <c:pt idx="12">
                  <c:v>16079017</c:v>
                </c:pt>
                <c:pt idx="13">
                  <c:v>98666595</c:v>
                </c:pt>
                <c:pt idx="14">
                  <c:v>80318641</c:v>
                </c:pt>
                <c:pt idx="15">
                  <c:v>20103503</c:v>
                </c:pt>
                <c:pt idx="16">
                  <c:v>51938140</c:v>
                </c:pt>
                <c:pt idx="17">
                  <c:v>96987358</c:v>
                </c:pt>
                <c:pt idx="18">
                  <c:v>43612439</c:v>
                </c:pt>
                <c:pt idx="19">
                  <c:v>77209870</c:v>
                </c:pt>
                <c:pt idx="20">
                  <c:v>83249598</c:v>
                </c:pt>
                <c:pt idx="21">
                  <c:v>12124981</c:v>
                </c:pt>
                <c:pt idx="22">
                  <c:v>44258091</c:v>
                </c:pt>
                <c:pt idx="23">
                  <c:v>30020518</c:v>
                </c:pt>
                <c:pt idx="24">
                  <c:v>49770958</c:v>
                </c:pt>
              </c:numCache>
            </c:numRef>
          </c:bubbleSize>
          <c:bubble3D val="0"/>
          <c:extLst>
            <c:ext xmlns:c16="http://schemas.microsoft.com/office/drawing/2014/chart" uri="{C3380CC4-5D6E-409C-BE32-E72D297353CC}">
              <c16:uniqueId val="{00000000-00E0-4717-9669-B2856E20646C}"/>
            </c:ext>
          </c:extLst>
        </c:ser>
        <c:dLbls>
          <c:showLegendKey val="0"/>
          <c:showVal val="0"/>
          <c:showCatName val="0"/>
          <c:showSerName val="0"/>
          <c:showPercent val="0"/>
          <c:showBubbleSize val="0"/>
        </c:dLbls>
        <c:bubbleScale val="100"/>
        <c:showNegBubbles val="0"/>
        <c:axId val="161254720"/>
        <c:axId val="97571024"/>
      </c:bubbleChart>
      <c:valAx>
        <c:axId val="1612547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71024"/>
        <c:crosses val="autoZero"/>
        <c:crossBetween val="midCat"/>
      </c:valAx>
      <c:valAx>
        <c:axId val="97571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47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P01 Q1 — Avg cost overrun % by country</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report'!$B$7</c:f>
              <c:strCache>
                <c:ptCount val="1"/>
                <c:pt idx="0">
                  <c:v>Avg Overrun %</c:v>
                </c:pt>
              </c:strCache>
            </c:strRef>
          </c:tx>
          <c:spPr>
            <a:solidFill>
              <a:schemeClr val="accent1"/>
            </a:solidFill>
            <a:ln>
              <a:noFill/>
            </a:ln>
            <a:effectLst/>
          </c:spPr>
          <c:invertIfNegative val="0"/>
          <c:cat>
            <c:strRef>
              <c:f>'Analysis report'!$A$8:$A$10</c:f>
              <c:strCache>
                <c:ptCount val="3"/>
                <c:pt idx="0">
                  <c:v>Australia</c:v>
                </c:pt>
                <c:pt idx="1">
                  <c:v>India</c:v>
                </c:pt>
                <c:pt idx="2">
                  <c:v>New Zealand</c:v>
                </c:pt>
              </c:strCache>
            </c:strRef>
          </c:cat>
          <c:val>
            <c:numRef>
              <c:f>'Analysis report'!$B$8:$B$10</c:f>
              <c:numCache>
                <c:formatCode>0.0%</c:formatCode>
                <c:ptCount val="3"/>
                <c:pt idx="0">
                  <c:v>0.16732436817697408</c:v>
                </c:pt>
                <c:pt idx="1">
                  <c:v>0.15763933156400675</c:v>
                </c:pt>
                <c:pt idx="2">
                  <c:v>0.19747604341132344</c:v>
                </c:pt>
              </c:numCache>
            </c:numRef>
          </c:val>
          <c:extLst>
            <c:ext xmlns:c16="http://schemas.microsoft.com/office/drawing/2014/chart" uri="{C3380CC4-5D6E-409C-BE32-E72D297353CC}">
              <c16:uniqueId val="{00000000-46FB-4AB1-A401-CAE7F8536E22}"/>
            </c:ext>
          </c:extLst>
        </c:ser>
        <c:dLbls>
          <c:showLegendKey val="0"/>
          <c:showVal val="0"/>
          <c:showCatName val="0"/>
          <c:showSerName val="0"/>
          <c:showPercent val="0"/>
          <c:showBubbleSize val="0"/>
        </c:dLbls>
        <c:gapWidth val="219"/>
        <c:overlap val="-27"/>
        <c:axId val="363751312"/>
        <c:axId val="105683536"/>
      </c:barChart>
      <c:catAx>
        <c:axId val="36375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83536"/>
        <c:crosses val="autoZero"/>
        <c:auto val="1"/>
        <c:lblAlgn val="ctr"/>
        <c:lblOffset val="100"/>
        <c:noMultiLvlLbl val="0"/>
      </c:catAx>
      <c:valAx>
        <c:axId val="105683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375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P01 Q2 — Budget vs actual cost by project type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report'!$B$14</c:f>
              <c:strCache>
                <c:ptCount val="1"/>
                <c:pt idx="0">
                  <c:v>Total Budget USD</c:v>
                </c:pt>
              </c:strCache>
            </c:strRef>
          </c:tx>
          <c:spPr>
            <a:solidFill>
              <a:schemeClr val="accent1"/>
            </a:solidFill>
            <a:ln>
              <a:noFill/>
            </a:ln>
            <a:effectLst/>
          </c:spPr>
          <c:invertIfNegative val="0"/>
          <c:cat>
            <c:strRef>
              <c:f>'Analysis report'!$A$15:$A$24</c:f>
              <c:strCache>
                <c:ptCount val="10"/>
                <c:pt idx="0">
                  <c:v>Residential Tower</c:v>
                </c:pt>
                <c:pt idx="1">
                  <c:v>IT Park</c:v>
                </c:pt>
                <c:pt idx="2">
                  <c:v>University Campus</c:v>
                </c:pt>
                <c:pt idx="3">
                  <c:v>Industrial Warehouse</c:v>
                </c:pt>
                <c:pt idx="4">
                  <c:v>Data Centre</c:v>
                </c:pt>
                <c:pt idx="5">
                  <c:v>Hospital</c:v>
                </c:pt>
                <c:pt idx="6">
                  <c:v>Commercial Office</c:v>
                </c:pt>
                <c:pt idx="7">
                  <c:v>Hotel</c:v>
                </c:pt>
                <c:pt idx="8">
                  <c:v>Metro Station</c:v>
                </c:pt>
                <c:pt idx="9">
                  <c:v>Shopping Mall</c:v>
                </c:pt>
              </c:strCache>
            </c:strRef>
          </c:cat>
          <c:val>
            <c:numRef>
              <c:f>'Analysis report'!$B$15:$B$24</c:f>
              <c:numCache>
                <c:formatCode>[$$-409]#,##0</c:formatCode>
                <c:ptCount val="10"/>
                <c:pt idx="0">
                  <c:v>238232594</c:v>
                </c:pt>
                <c:pt idx="1">
                  <c:v>207257585</c:v>
                </c:pt>
                <c:pt idx="2">
                  <c:v>304580669</c:v>
                </c:pt>
                <c:pt idx="3">
                  <c:v>162936980</c:v>
                </c:pt>
                <c:pt idx="4">
                  <c:v>377404871</c:v>
                </c:pt>
                <c:pt idx="5">
                  <c:v>202218749</c:v>
                </c:pt>
                <c:pt idx="6">
                  <c:v>139292114</c:v>
                </c:pt>
                <c:pt idx="7">
                  <c:v>276402274</c:v>
                </c:pt>
                <c:pt idx="8">
                  <c:v>194389591</c:v>
                </c:pt>
                <c:pt idx="9">
                  <c:v>49683626</c:v>
                </c:pt>
              </c:numCache>
            </c:numRef>
          </c:val>
          <c:extLst>
            <c:ext xmlns:c16="http://schemas.microsoft.com/office/drawing/2014/chart" uri="{C3380CC4-5D6E-409C-BE32-E72D297353CC}">
              <c16:uniqueId val="{00000000-7521-4C2F-B9B2-546E5836D11E}"/>
            </c:ext>
          </c:extLst>
        </c:ser>
        <c:ser>
          <c:idx val="1"/>
          <c:order val="1"/>
          <c:tx>
            <c:strRef>
              <c:f>'Analysis report'!$C$14</c:f>
              <c:strCache>
                <c:ptCount val="1"/>
                <c:pt idx="0">
                  <c:v>Total Actual USD</c:v>
                </c:pt>
              </c:strCache>
            </c:strRef>
          </c:tx>
          <c:spPr>
            <a:solidFill>
              <a:schemeClr val="accent2"/>
            </a:solidFill>
            <a:ln>
              <a:noFill/>
            </a:ln>
            <a:effectLst/>
          </c:spPr>
          <c:invertIfNegative val="0"/>
          <c:cat>
            <c:strRef>
              <c:f>'Analysis report'!$A$15:$A$24</c:f>
              <c:strCache>
                <c:ptCount val="10"/>
                <c:pt idx="0">
                  <c:v>Residential Tower</c:v>
                </c:pt>
                <c:pt idx="1">
                  <c:v>IT Park</c:v>
                </c:pt>
                <c:pt idx="2">
                  <c:v>University Campus</c:v>
                </c:pt>
                <c:pt idx="3">
                  <c:v>Industrial Warehouse</c:v>
                </c:pt>
                <c:pt idx="4">
                  <c:v>Data Centre</c:v>
                </c:pt>
                <c:pt idx="5">
                  <c:v>Hospital</c:v>
                </c:pt>
                <c:pt idx="6">
                  <c:v>Commercial Office</c:v>
                </c:pt>
                <c:pt idx="7">
                  <c:v>Hotel</c:v>
                </c:pt>
                <c:pt idx="8">
                  <c:v>Metro Station</c:v>
                </c:pt>
                <c:pt idx="9">
                  <c:v>Shopping Mall</c:v>
                </c:pt>
              </c:strCache>
            </c:strRef>
          </c:cat>
          <c:val>
            <c:numRef>
              <c:f>'Analysis report'!$C$15:$C$24</c:f>
              <c:numCache>
                <c:formatCode>[$$-409]#,##0</c:formatCode>
                <c:ptCount val="10"/>
                <c:pt idx="0">
                  <c:v>300895518</c:v>
                </c:pt>
                <c:pt idx="1">
                  <c:v>251957838</c:v>
                </c:pt>
                <c:pt idx="2">
                  <c:v>370758337</c:v>
                </c:pt>
                <c:pt idx="3">
                  <c:v>186876390</c:v>
                </c:pt>
                <c:pt idx="4">
                  <c:v>423300399</c:v>
                </c:pt>
                <c:pt idx="5">
                  <c:v>252196787</c:v>
                </c:pt>
                <c:pt idx="6">
                  <c:v>159577657</c:v>
                </c:pt>
                <c:pt idx="7">
                  <c:v>314328476</c:v>
                </c:pt>
                <c:pt idx="8">
                  <c:v>220692772</c:v>
                </c:pt>
                <c:pt idx="9">
                  <c:v>51363072</c:v>
                </c:pt>
              </c:numCache>
            </c:numRef>
          </c:val>
          <c:extLst>
            <c:ext xmlns:c16="http://schemas.microsoft.com/office/drawing/2014/chart" uri="{C3380CC4-5D6E-409C-BE32-E72D297353CC}">
              <c16:uniqueId val="{00000001-7521-4C2F-B9B2-546E5836D11E}"/>
            </c:ext>
          </c:extLst>
        </c:ser>
        <c:dLbls>
          <c:showLegendKey val="0"/>
          <c:showVal val="0"/>
          <c:showCatName val="0"/>
          <c:showSerName val="0"/>
          <c:showPercent val="0"/>
          <c:showBubbleSize val="0"/>
        </c:dLbls>
        <c:gapWidth val="219"/>
        <c:overlap val="-27"/>
        <c:axId val="363759664"/>
        <c:axId val="105692656"/>
      </c:barChart>
      <c:catAx>
        <c:axId val="36375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92656"/>
        <c:crosses val="autoZero"/>
        <c:auto val="1"/>
        <c:lblAlgn val="ctr"/>
        <c:lblOffset val="100"/>
        <c:noMultiLvlLbl val="0"/>
      </c:catAx>
      <c:valAx>
        <c:axId val="105692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375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P01 Q3 — Top 5 projects by absolute overrun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'Q&amp;A Chart Dashboard'!$BB$3</c:f>
              <c:strCache>
                <c:ptCount val="1"/>
                <c:pt idx="0">
                  <c:v>Absolute overrun USD</c:v>
                </c:pt>
              </c:strCache>
            </c:strRef>
          </c:tx>
          <c:spPr>
            <a:solidFill>
              <a:schemeClr val="accent1"/>
            </a:solidFill>
            <a:ln>
              <a:noFill/>
            </a:ln>
            <a:effectLst/>
          </c:spPr>
          <c:invertIfNegative val="0"/>
          <c:cat>
            <c:strRef>
              <c:f>'Q&amp;A Chart Dashboard'!$BA$4:$BA$8</c:f>
              <c:strCache>
                <c:ptCount val="5"/>
                <c:pt idx="0">
                  <c:v>Residential Tower Per-29</c:v>
                </c:pt>
                <c:pt idx="1">
                  <c:v>Residential Tower Hyd-33</c:v>
                </c:pt>
                <c:pt idx="2">
                  <c:v>IT Park Syd-34</c:v>
                </c:pt>
                <c:pt idx="3">
                  <c:v>University Campus Kol-35</c:v>
                </c:pt>
                <c:pt idx="4">
                  <c:v>Industrial Warehouse Can-44</c:v>
                </c:pt>
              </c:strCache>
            </c:strRef>
          </c:cat>
          <c:val>
            <c:numRef>
              <c:f>'Q&amp;A Chart Dashboard'!$BB$4:$BB$8</c:f>
              <c:numCache>
                <c:formatCode>[$$-409]#,##0</c:formatCode>
                <c:ptCount val="5"/>
                <c:pt idx="0">
                  <c:v>24654239</c:v>
                </c:pt>
                <c:pt idx="1">
                  <c:v>21628203</c:v>
                </c:pt>
                <c:pt idx="2">
                  <c:v>19739335</c:v>
                </c:pt>
                <c:pt idx="3">
                  <c:v>19335358</c:v>
                </c:pt>
                <c:pt idx="4">
                  <c:v>19116067</c:v>
                </c:pt>
              </c:numCache>
            </c:numRef>
          </c:val>
          <c:extLst>
            <c:ext xmlns:c16="http://schemas.microsoft.com/office/drawing/2014/chart" uri="{C3380CC4-5D6E-409C-BE32-E72D297353CC}">
              <c16:uniqueId val="{00000000-14E5-47A6-95A2-5976470F6A62}"/>
            </c:ext>
          </c:extLst>
        </c:ser>
        <c:dLbls>
          <c:showLegendKey val="0"/>
          <c:showVal val="0"/>
          <c:showCatName val="0"/>
          <c:showSerName val="0"/>
          <c:showPercent val="0"/>
          <c:showBubbleSize val="0"/>
        </c:dLbls>
        <c:gapWidth val="182"/>
        <c:axId val="363793536"/>
        <c:axId val="105594736"/>
      </c:barChart>
      <c:catAx>
        <c:axId val="36379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94736"/>
        <c:crosses val="autoZero"/>
        <c:auto val="1"/>
        <c:lblAlgn val="ctr"/>
        <c:lblOffset val="100"/>
        <c:noMultiLvlLbl val="0"/>
      </c:catAx>
      <c:valAx>
        <c:axId val="105594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379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P01 Q4 — Duration (months) vs cost overrun % — r = -0.156</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scatterChart>
        <c:scatterStyle val="lineMarker"/>
        <c:varyColors val="0"/>
        <c:ser>
          <c:idx val="0"/>
          <c:order val="0"/>
          <c:tx>
            <c:strRef>
              <c:f>'Q&amp;A Chart Dashboard'!$BB$11</c:f>
              <c:strCache>
                <c:ptCount val="1"/>
                <c:pt idx="0">
                  <c:v>Cost overrun %</c:v>
                </c:pt>
              </c:strCache>
            </c:strRef>
          </c:tx>
          <c:spPr>
            <a:ln w="28575" cap="rnd">
              <a:noFill/>
              <a:round/>
            </a:ln>
            <a:effectLst/>
          </c:spPr>
          <c:marker>
            <c:symbol val="circle"/>
            <c:size val="5"/>
            <c:spPr>
              <a:solidFill>
                <a:schemeClr val="accent1"/>
              </a:solidFill>
              <a:ln w="9525">
                <a:solidFill>
                  <a:schemeClr val="accent1"/>
                </a:solidFill>
              </a:ln>
              <a:effectLst/>
            </c:spPr>
          </c:marker>
          <c:xVal>
            <c:numRef>
              <c:f>'Q&amp;A Chart Dashboard'!$BA$12:$BA$61</c:f>
              <c:numCache>
                <c:formatCode>0</c:formatCode>
                <c:ptCount val="50"/>
                <c:pt idx="0">
                  <c:v>39</c:v>
                </c:pt>
                <c:pt idx="1">
                  <c:v>16</c:v>
                </c:pt>
                <c:pt idx="2">
                  <c:v>40</c:v>
                </c:pt>
                <c:pt idx="3">
                  <c:v>47</c:v>
                </c:pt>
                <c:pt idx="4">
                  <c:v>9</c:v>
                </c:pt>
                <c:pt idx="5">
                  <c:v>40</c:v>
                </c:pt>
                <c:pt idx="6">
                  <c:v>47</c:v>
                </c:pt>
                <c:pt idx="7">
                  <c:v>38</c:v>
                </c:pt>
                <c:pt idx="8">
                  <c:v>16</c:v>
                </c:pt>
                <c:pt idx="9">
                  <c:v>15</c:v>
                </c:pt>
                <c:pt idx="10">
                  <c:v>12</c:v>
                </c:pt>
                <c:pt idx="11">
                  <c:v>9</c:v>
                </c:pt>
                <c:pt idx="12">
                  <c:v>29</c:v>
                </c:pt>
                <c:pt idx="13">
                  <c:v>6</c:v>
                </c:pt>
                <c:pt idx="14">
                  <c:v>30</c:v>
                </c:pt>
                <c:pt idx="15">
                  <c:v>41</c:v>
                </c:pt>
                <c:pt idx="16">
                  <c:v>35</c:v>
                </c:pt>
                <c:pt idx="17">
                  <c:v>21</c:v>
                </c:pt>
                <c:pt idx="18">
                  <c:v>33</c:v>
                </c:pt>
                <c:pt idx="19">
                  <c:v>32</c:v>
                </c:pt>
                <c:pt idx="20">
                  <c:v>40</c:v>
                </c:pt>
                <c:pt idx="21">
                  <c:v>13</c:v>
                </c:pt>
                <c:pt idx="22">
                  <c:v>8</c:v>
                </c:pt>
                <c:pt idx="23">
                  <c:v>10</c:v>
                </c:pt>
                <c:pt idx="24">
                  <c:v>35</c:v>
                </c:pt>
                <c:pt idx="25">
                  <c:v>10</c:v>
                </c:pt>
                <c:pt idx="26">
                  <c:v>42</c:v>
                </c:pt>
                <c:pt idx="27">
                  <c:v>14</c:v>
                </c:pt>
                <c:pt idx="28">
                  <c:v>21</c:v>
                </c:pt>
                <c:pt idx="29">
                  <c:v>12</c:v>
                </c:pt>
                <c:pt idx="30">
                  <c:v>13</c:v>
                </c:pt>
                <c:pt idx="31">
                  <c:v>27</c:v>
                </c:pt>
                <c:pt idx="32">
                  <c:v>28</c:v>
                </c:pt>
                <c:pt idx="33">
                  <c:v>46</c:v>
                </c:pt>
                <c:pt idx="34">
                  <c:v>19</c:v>
                </c:pt>
                <c:pt idx="35">
                  <c:v>8</c:v>
                </c:pt>
                <c:pt idx="36">
                  <c:v>37</c:v>
                </c:pt>
                <c:pt idx="37">
                  <c:v>41</c:v>
                </c:pt>
                <c:pt idx="38">
                  <c:v>14</c:v>
                </c:pt>
                <c:pt idx="39">
                  <c:v>14</c:v>
                </c:pt>
                <c:pt idx="40">
                  <c:v>23</c:v>
                </c:pt>
                <c:pt idx="41">
                  <c:v>37</c:v>
                </c:pt>
                <c:pt idx="42">
                  <c:v>46</c:v>
                </c:pt>
                <c:pt idx="43">
                  <c:v>28</c:v>
                </c:pt>
                <c:pt idx="44">
                  <c:v>44</c:v>
                </c:pt>
                <c:pt idx="45">
                  <c:v>21</c:v>
                </c:pt>
                <c:pt idx="46">
                  <c:v>24</c:v>
                </c:pt>
                <c:pt idx="47">
                  <c:v>42</c:v>
                </c:pt>
                <c:pt idx="48">
                  <c:v>37</c:v>
                </c:pt>
                <c:pt idx="49">
                  <c:v>40</c:v>
                </c:pt>
              </c:numCache>
            </c:numRef>
          </c:xVal>
          <c:yVal>
            <c:numRef>
              <c:f>'Q&amp;A Chart Dashboard'!$BB$12:$BB$61</c:f>
              <c:numCache>
                <c:formatCode>0.0%</c:formatCode>
                <c:ptCount val="50"/>
                <c:pt idx="0">
                  <c:v>0.33139989477946991</c:v>
                </c:pt>
                <c:pt idx="1">
                  <c:v>0.32873945985579861</c:v>
                </c:pt>
                <c:pt idx="2">
                  <c:v>0.33574516131380588</c:v>
                </c:pt>
                <c:pt idx="3">
                  <c:v>0.34805972849971717</c:v>
                </c:pt>
                <c:pt idx="4">
                  <c:v>0.29553468841707359</c:v>
                </c:pt>
                <c:pt idx="5">
                  <c:v>0.27640929554689836</c:v>
                </c:pt>
                <c:pt idx="6">
                  <c:v>0.25035111949508615</c:v>
                </c:pt>
                <c:pt idx="7">
                  <c:v>0.2547848723606696</c:v>
                </c:pt>
                <c:pt idx="8">
                  <c:v>0.31097713145082723</c:v>
                </c:pt>
                <c:pt idx="9">
                  <c:v>0.19358807327758196</c:v>
                </c:pt>
                <c:pt idx="10">
                  <c:v>0.24128542607527023</c:v>
                </c:pt>
                <c:pt idx="11">
                  <c:v>0.28714076122234955</c:v>
                </c:pt>
                <c:pt idx="12">
                  <c:v>0.20427377310251896</c:v>
                </c:pt>
                <c:pt idx="13">
                  <c:v>0.1857062702152355</c:v>
                </c:pt>
                <c:pt idx="14">
                  <c:v>0.18856360809010347</c:v>
                </c:pt>
                <c:pt idx="15">
                  <c:v>0.16164573134413829</c:v>
                </c:pt>
                <c:pt idx="16">
                  <c:v>0.27285128818624899</c:v>
                </c:pt>
                <c:pt idx="17">
                  <c:v>0.1305944506266335</c:v>
                </c:pt>
                <c:pt idx="18">
                  <c:v>0.24880550783597968</c:v>
                </c:pt>
                <c:pt idx="19">
                  <c:v>0.26384775852989167</c:v>
                </c:pt>
                <c:pt idx="20">
                  <c:v>0.23640781709492872</c:v>
                </c:pt>
                <c:pt idx="21">
                  <c:v>0.14544228093973718</c:v>
                </c:pt>
                <c:pt idx="22">
                  <c:v>0.2318287006612394</c:v>
                </c:pt>
                <c:pt idx="23">
                  <c:v>0.13505121250110699</c:v>
                </c:pt>
                <c:pt idx="24">
                  <c:v>0.12390609311930639</c:v>
                </c:pt>
                <c:pt idx="25">
                  <c:v>0.11046590603826742</c:v>
                </c:pt>
                <c:pt idx="26">
                  <c:v>0.23934100577495515</c:v>
                </c:pt>
                <c:pt idx="27">
                  <c:v>0.16451429556764519</c:v>
                </c:pt>
                <c:pt idx="28">
                  <c:v>0.16365591449524708</c:v>
                </c:pt>
                <c:pt idx="29">
                  <c:v>0.29212706057525328</c:v>
                </c:pt>
                <c:pt idx="30">
                  <c:v>0.25231279398864387</c:v>
                </c:pt>
                <c:pt idx="31">
                  <c:v>0.31216800023319985</c:v>
                </c:pt>
                <c:pt idx="32">
                  <c:v>0.21359304930308018</c:v>
                </c:pt>
                <c:pt idx="33">
                  <c:v>5.7979113293538498E-2</c:v>
                </c:pt>
                <c:pt idx="34">
                  <c:v>6.1148534464179914E-2</c:v>
                </c:pt>
                <c:pt idx="35">
                  <c:v>0.18619693472664472</c:v>
                </c:pt>
                <c:pt idx="36">
                  <c:v>6.1390876933280478E-2</c:v>
                </c:pt>
                <c:pt idx="37">
                  <c:v>-4.1586314866708954E-2</c:v>
                </c:pt>
                <c:pt idx="38">
                  <c:v>3.7728287913298332E-2</c:v>
                </c:pt>
                <c:pt idx="39">
                  <c:v>4.7956727958531946E-2</c:v>
                </c:pt>
                <c:pt idx="40">
                  <c:v>3.3802806582595241E-2</c:v>
                </c:pt>
                <c:pt idx="41">
                  <c:v>3.5050609975958144E-2</c:v>
                </c:pt>
                <c:pt idx="42">
                  <c:v>-4.7123692729843132E-2</c:v>
                </c:pt>
                <c:pt idx="43">
                  <c:v>0.10197087015238505</c:v>
                </c:pt>
                <c:pt idx="44">
                  <c:v>4.3064349595783605E-2</c:v>
                </c:pt>
                <c:pt idx="45">
                  <c:v>5.5952049263549603E-2</c:v>
                </c:pt>
                <c:pt idx="46">
                  <c:v>-1.847993706172614E-2</c:v>
                </c:pt>
                <c:pt idx="47">
                  <c:v>-2.6829955231218956E-2</c:v>
                </c:pt>
                <c:pt idx="48">
                  <c:v>1.6524424634791146E-2</c:v>
                </c:pt>
                <c:pt idx="49">
                  <c:v>-2.9764705796882351E-2</c:v>
                </c:pt>
              </c:numCache>
            </c:numRef>
          </c:yVal>
          <c:smooth val="0"/>
          <c:extLst>
            <c:ext xmlns:c16="http://schemas.microsoft.com/office/drawing/2014/chart" uri="{C3380CC4-5D6E-409C-BE32-E72D297353CC}">
              <c16:uniqueId val="{00000000-7745-4BB4-8013-021E6C5C17E0}"/>
            </c:ext>
          </c:extLst>
        </c:ser>
        <c:dLbls>
          <c:showLegendKey val="0"/>
          <c:showVal val="0"/>
          <c:showCatName val="0"/>
          <c:showSerName val="0"/>
          <c:showPercent val="0"/>
          <c:showBubbleSize val="0"/>
        </c:dLbls>
        <c:axId val="363785184"/>
        <c:axId val="105615856"/>
      </c:scatterChart>
      <c:valAx>
        <c:axId val="363785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15856"/>
        <c:crosses val="autoZero"/>
        <c:crossBetween val="midCat"/>
      </c:valAx>
      <c:valAx>
        <c:axId val="1056158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37851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P01 Q5 — Avg overrun % by project type x country</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report'!$D$42:$D$51</c:f>
              <c:strCache>
                <c:ptCount val="10"/>
                <c:pt idx="0">
                  <c:v>New Zealand</c:v>
                </c:pt>
                <c:pt idx="1">
                  <c:v>-</c:v>
                </c:pt>
                <c:pt idx="2">
                  <c:v>24.9%</c:v>
                </c:pt>
                <c:pt idx="3">
                  <c:v>-</c:v>
                </c:pt>
                <c:pt idx="4">
                  <c:v>3.8%</c:v>
                </c:pt>
                <c:pt idx="5">
                  <c:v>-1.8%</c:v>
                </c:pt>
                <c:pt idx="6">
                  <c:v>29.9%</c:v>
                </c:pt>
                <c:pt idx="7">
                  <c:v>-</c:v>
                </c:pt>
                <c:pt idx="8">
                  <c:v>-</c:v>
                </c:pt>
                <c:pt idx="9">
                  <c:v>25.8%</c:v>
                </c:pt>
              </c:strCache>
            </c:strRef>
          </c:tx>
          <c:spPr>
            <a:solidFill>
              <a:schemeClr val="accent1"/>
            </a:solidFill>
            <a:ln>
              <a:noFill/>
            </a:ln>
            <a:effectLst/>
          </c:spPr>
          <c:invertIfNegative val="0"/>
          <c:cat>
            <c:strRef>
              <c:f>'Analysis report'!$A$52:$C$52</c:f>
              <c:strCache>
                <c:ptCount val="3"/>
                <c:pt idx="0">
                  <c:v>Shopping Mall</c:v>
                </c:pt>
                <c:pt idx="1">
                  <c:v>-</c:v>
                </c:pt>
                <c:pt idx="2">
                  <c:v>3.4%</c:v>
                </c:pt>
              </c:strCache>
            </c:strRef>
          </c:cat>
          <c:val>
            <c:numRef>
              <c:f>'Analysis report'!$D$52</c:f>
              <c:numCache>
                <c:formatCode>0.0%</c:formatCode>
                <c:ptCount val="1"/>
                <c:pt idx="0">
                  <c:v>0</c:v>
                </c:pt>
              </c:numCache>
            </c:numRef>
          </c:val>
          <c:extLst>
            <c:ext xmlns:c16="http://schemas.microsoft.com/office/drawing/2014/chart" uri="{C3380CC4-5D6E-409C-BE32-E72D297353CC}">
              <c16:uniqueId val="{00000000-B2FD-4093-9141-39542E6A056B}"/>
            </c:ext>
          </c:extLst>
        </c:ser>
        <c:dLbls>
          <c:showLegendKey val="0"/>
          <c:showVal val="0"/>
          <c:showCatName val="0"/>
          <c:showSerName val="0"/>
          <c:showPercent val="0"/>
          <c:showBubbleSize val="0"/>
        </c:dLbls>
        <c:gapWidth val="219"/>
        <c:overlap val="-27"/>
        <c:axId val="213907472"/>
        <c:axId val="105640336"/>
      </c:barChart>
      <c:catAx>
        <c:axId val="21390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40336"/>
        <c:crosses val="autoZero"/>
        <c:auto val="1"/>
        <c:lblAlgn val="ctr"/>
        <c:lblOffset val="100"/>
        <c:noMultiLvlLbl val="0"/>
      </c:catAx>
      <c:valAx>
        <c:axId val="1056403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3907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P01 Q6 — Projects over vs under budget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doughnutChart>
        <c:varyColors val="1"/>
        <c:ser>
          <c:idx val="0"/>
          <c:order val="0"/>
          <c:tx>
            <c:strRef>
              <c:f>'Analysis report'!$B$58</c:f>
              <c:strCache>
                <c:ptCount val="1"/>
                <c:pt idx="0">
                  <c:v>No. of Projects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B7-47E6-B4D2-1A0F6A2485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B7-47E6-B4D2-1A0F6A248539}"/>
              </c:ext>
            </c:extLst>
          </c:dPt>
          <c:cat>
            <c:strRef>
              <c:f>'Analysis report'!$A$59:$A$60</c:f>
              <c:strCache>
                <c:ptCount val="2"/>
                <c:pt idx="0">
                  <c:v>Over budget (variance &gt; 0)</c:v>
                </c:pt>
                <c:pt idx="1">
                  <c:v>Under budget (variance &lt; 0)</c:v>
                </c:pt>
              </c:strCache>
            </c:strRef>
          </c:cat>
          <c:val>
            <c:numRef>
              <c:f>'Analysis report'!$B$59:$B$60</c:f>
              <c:numCache>
                <c:formatCode>0.0%</c:formatCode>
                <c:ptCount val="2"/>
                <c:pt idx="0">
                  <c:v>45</c:v>
                </c:pt>
                <c:pt idx="1">
                  <c:v>5</c:v>
                </c:pt>
              </c:numCache>
            </c:numRef>
          </c:val>
          <c:extLst>
            <c:ext xmlns:c16="http://schemas.microsoft.com/office/drawing/2014/chart" uri="{C3380CC4-5D6E-409C-BE32-E72D297353CC}">
              <c16:uniqueId val="{00000000-ED05-460A-B15D-F3DFB8E1AD8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P01 Q7 — Avg cost overrun % by city</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'Analysis report'!$B$65</c:f>
              <c:strCache>
                <c:ptCount val="1"/>
                <c:pt idx="0">
                  <c:v>Avg Overrun %</c:v>
                </c:pt>
              </c:strCache>
            </c:strRef>
          </c:tx>
          <c:spPr>
            <a:solidFill>
              <a:schemeClr val="accent1"/>
            </a:solidFill>
            <a:ln>
              <a:noFill/>
            </a:ln>
            <a:effectLst/>
          </c:spPr>
          <c:invertIfNegative val="0"/>
          <c:cat>
            <c:strRef>
              <c:f>'Analysis report'!$A$66:$A$83</c:f>
              <c:strCache>
                <c:ptCount val="18"/>
                <c:pt idx="0">
                  <c:v>Perth</c:v>
                </c:pt>
                <c:pt idx="1">
                  <c:v>Hyderabad</c:v>
                </c:pt>
                <c:pt idx="2">
                  <c:v>Sydney</c:v>
                </c:pt>
                <c:pt idx="3">
                  <c:v>Kolkata</c:v>
                </c:pt>
                <c:pt idx="4">
                  <c:v>Canberra</c:v>
                </c:pt>
                <c:pt idx="5">
                  <c:v>Delhi</c:v>
                </c:pt>
                <c:pt idx="6">
                  <c:v>Mumbai</c:v>
                </c:pt>
                <c:pt idx="7">
                  <c:v>Auckland</c:v>
                </c:pt>
                <c:pt idx="8">
                  <c:v>Chennai</c:v>
                </c:pt>
                <c:pt idx="9">
                  <c:v>Christchurch</c:v>
                </c:pt>
                <c:pt idx="10">
                  <c:v>Adelaide</c:v>
                </c:pt>
                <c:pt idx="11">
                  <c:v>Hamilton</c:v>
                </c:pt>
                <c:pt idx="12">
                  <c:v>Brisbane</c:v>
                </c:pt>
                <c:pt idx="13">
                  <c:v>Ahmedabad</c:v>
                </c:pt>
                <c:pt idx="14">
                  <c:v>Wellington</c:v>
                </c:pt>
                <c:pt idx="15">
                  <c:v>Bangalore</c:v>
                </c:pt>
                <c:pt idx="16">
                  <c:v>Pune</c:v>
                </c:pt>
                <c:pt idx="17">
                  <c:v>Gold Coast</c:v>
                </c:pt>
              </c:strCache>
            </c:strRef>
          </c:cat>
          <c:val>
            <c:numRef>
              <c:f>'Analysis report'!$B$66:$B$83</c:f>
              <c:numCache>
                <c:formatCode>0.0%</c:formatCode>
                <c:ptCount val="18"/>
                <c:pt idx="0">
                  <c:v>0.18796887580447455</c:v>
                </c:pt>
                <c:pt idx="1">
                  <c:v>0.25865153397295104</c:v>
                </c:pt>
                <c:pt idx="2">
                  <c:v>0.33574516131380588</c:v>
                </c:pt>
                <c:pt idx="3">
                  <c:v>0.20901109838842766</c:v>
                </c:pt>
                <c:pt idx="4">
                  <c:v>0.20543072371113869</c:v>
                </c:pt>
                <c:pt idx="5">
                  <c:v>0.16715202899180862</c:v>
                </c:pt>
                <c:pt idx="6">
                  <c:v>0.15776247735349944</c:v>
                </c:pt>
                <c:pt idx="7">
                  <c:v>0.31097713145082723</c:v>
                </c:pt>
                <c:pt idx="8">
                  <c:v>0.1672567905095072</c:v>
                </c:pt>
                <c:pt idx="9">
                  <c:v>0.17248877733220103</c:v>
                </c:pt>
                <c:pt idx="10">
                  <c:v>0.1406238512367356</c:v>
                </c:pt>
                <c:pt idx="11">
                  <c:v>0.15078802322159501</c:v>
                </c:pt>
                <c:pt idx="12">
                  <c:v>0.11293848163584572</c:v>
                </c:pt>
                <c:pt idx="13">
                  <c:v>9.5679450916922773E-2</c:v>
                </c:pt>
                <c:pt idx="14">
                  <c:v>0.25231279398864387</c:v>
                </c:pt>
                <c:pt idx="15">
                  <c:v>0.31216800023319985</c:v>
                </c:pt>
                <c:pt idx="16">
                  <c:v>5.0976818113437884E-2</c:v>
                </c:pt>
                <c:pt idx="17">
                  <c:v>-2.9764705796882351E-2</c:v>
                </c:pt>
              </c:numCache>
            </c:numRef>
          </c:val>
          <c:extLst>
            <c:ext xmlns:c16="http://schemas.microsoft.com/office/drawing/2014/chart" uri="{C3380CC4-5D6E-409C-BE32-E72D297353CC}">
              <c16:uniqueId val="{00000000-2FC6-4EC7-B663-2C04BDFC845A}"/>
            </c:ext>
          </c:extLst>
        </c:ser>
        <c:dLbls>
          <c:showLegendKey val="0"/>
          <c:showVal val="0"/>
          <c:showCatName val="0"/>
          <c:showSerName val="0"/>
          <c:showPercent val="0"/>
          <c:showBubbleSize val="0"/>
        </c:dLbls>
        <c:gapWidth val="182"/>
        <c:axId val="213883808"/>
        <c:axId val="105577936"/>
      </c:barChart>
      <c:catAx>
        <c:axId val="21388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77936"/>
        <c:crosses val="autoZero"/>
        <c:auto val="1"/>
        <c:lblAlgn val="ctr"/>
        <c:lblOffset val="100"/>
        <c:noMultiLvlLbl val="0"/>
      </c:catAx>
      <c:valAx>
        <c:axId val="10557793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388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P02 Q1 — Avg price change % by material (18 months)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'Q&amp;A Chart Dashboard'!$BB$64</c:f>
              <c:strCache>
                <c:ptCount val="1"/>
                <c:pt idx="0">
                  <c:v>Avg price change %</c:v>
                </c:pt>
              </c:strCache>
            </c:strRef>
          </c:tx>
          <c:spPr>
            <a:solidFill>
              <a:schemeClr val="accent1"/>
            </a:solidFill>
            <a:ln>
              <a:noFill/>
            </a:ln>
            <a:effectLst/>
          </c:spPr>
          <c:invertIfNegative val="0"/>
          <c:cat>
            <c:strRef>
              <c:f>'Q&amp;A Chart Dashboard'!$BA$65:$BA$79</c:f>
              <c:strCache>
                <c:ptCount val="15"/>
                <c:pt idx="0">
                  <c:v>Waterproofing Membrane</c:v>
                </c:pt>
                <c:pt idx="1">
                  <c:v>Cement (OPC 53)</c:v>
                </c:pt>
                <c:pt idx="2">
                  <c:v>Aluminium Facade</c:v>
                </c:pt>
                <c:pt idx="3">
                  <c:v>Bricks (AAC)</c:v>
                </c:pt>
                <c:pt idx="4">
                  <c:v>Tiles (Vitrified)</c:v>
                </c:pt>
                <c:pt idx="5">
                  <c:v>PVC Conduits</c:v>
                </c:pt>
                <c:pt idx="6">
                  <c:v>Sand (River)</c:v>
                </c:pt>
                <c:pt idx="7">
                  <c:v>Structural Steel</c:v>
                </c:pt>
                <c:pt idx="8">
                  <c:v>Aggregate (20mm)</c:v>
                </c:pt>
                <c:pt idx="9">
                  <c:v>MS Pipes</c:v>
                </c:pt>
                <c:pt idx="10">
                  <c:v>RMC M30</c:v>
                </c:pt>
                <c:pt idx="11">
                  <c:v>Glass (DGU)</c:v>
                </c:pt>
                <c:pt idx="12">
                  <c:v>Copper Wiring</c:v>
                </c:pt>
                <c:pt idx="13">
                  <c:v>Plywood (Marine)</c:v>
                </c:pt>
                <c:pt idx="14">
                  <c:v>TMT Steel (Fe500)</c:v>
                </c:pt>
              </c:strCache>
            </c:strRef>
          </c:cat>
          <c:val>
            <c:numRef>
              <c:f>'Q&amp;A Chart Dashboard'!$BB$65:$BB$79</c:f>
              <c:numCache>
                <c:formatCode>0.0%</c:formatCode>
                <c:ptCount val="15"/>
                <c:pt idx="0">
                  <c:v>2.5200000000000007E-2</c:v>
                </c:pt>
                <c:pt idx="1">
                  <c:v>0.11856862745098039</c:v>
                </c:pt>
                <c:pt idx="2">
                  <c:v>0.11697916666666666</c:v>
                </c:pt>
                <c:pt idx="3">
                  <c:v>7.7399122807017537E-2</c:v>
                </c:pt>
                <c:pt idx="4">
                  <c:v>8.3611111111111081E-2</c:v>
                </c:pt>
                <c:pt idx="5">
                  <c:v>3.0416666666666654E-2</c:v>
                </c:pt>
                <c:pt idx="6">
                  <c:v>9.5199999999999993E-2</c:v>
                </c:pt>
                <c:pt idx="7">
                  <c:v>6.9677192982456157E-2</c:v>
                </c:pt>
                <c:pt idx="8">
                  <c:v>0.14609090909090908</c:v>
                </c:pt>
                <c:pt idx="9">
                  <c:v>9.9374999999999991E-2</c:v>
                </c:pt>
                <c:pt idx="10">
                  <c:v>0.14779999999999999</c:v>
                </c:pt>
                <c:pt idx="11">
                  <c:v>4.3934210526315812E-2</c:v>
                </c:pt>
                <c:pt idx="12">
                  <c:v>1.9249999999999989E-2</c:v>
                </c:pt>
                <c:pt idx="13">
                  <c:v>9.2555555555555558E-2</c:v>
                </c:pt>
                <c:pt idx="14">
                  <c:v>3.9138461538461539E-2</c:v>
                </c:pt>
              </c:numCache>
            </c:numRef>
          </c:val>
          <c:extLst>
            <c:ext xmlns:c16="http://schemas.microsoft.com/office/drawing/2014/chart" uri="{C3380CC4-5D6E-409C-BE32-E72D297353CC}">
              <c16:uniqueId val="{00000000-F0C0-4DBB-82CC-36C64CFEB2B2}"/>
            </c:ext>
          </c:extLst>
        </c:ser>
        <c:dLbls>
          <c:showLegendKey val="0"/>
          <c:showVal val="0"/>
          <c:showCatName val="0"/>
          <c:showSerName val="0"/>
          <c:showPercent val="0"/>
          <c:showBubbleSize val="0"/>
        </c:dLbls>
        <c:gapWidth val="182"/>
        <c:axId val="361652992"/>
        <c:axId val="105598576"/>
      </c:barChart>
      <c:catAx>
        <c:axId val="36165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98576"/>
        <c:crosses val="autoZero"/>
        <c:auto val="1"/>
        <c:lblAlgn val="ctr"/>
        <c:lblOffset val="100"/>
        <c:noMultiLvlLbl val="0"/>
      </c:catAx>
      <c:valAx>
        <c:axId val="10559857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165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P02 Q2 — Monthly price trend — TMT Steel &amp; Cement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'Analysis report'!$B$107</c:f>
              <c:strCache>
                <c:ptCount val="1"/>
                <c:pt idx="0">
                  <c:v>TMT Steel (Fe500) USD/MT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 report'!$A$108:$A$125</c:f>
              <c:strCache>
                <c:ptCount val="18"/>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strCache>
            </c:strRef>
          </c:cat>
          <c:val>
            <c:numRef>
              <c:f>'Analysis report'!$B$108:$B$125</c:f>
              <c:numCache>
                <c:formatCode>[$$-409]#,##0.00</c:formatCode>
                <c:ptCount val="18"/>
                <c:pt idx="0">
                  <c:v>#N/A</c:v>
                </c:pt>
                <c:pt idx="1">
                  <c:v>#N/A</c:v>
                </c:pt>
                <c:pt idx="2">
                  <c:v>710.14</c:v>
                </c:pt>
                <c:pt idx="3">
                  <c:v>#N/A</c:v>
                </c:pt>
                <c:pt idx="4">
                  <c:v>#N/A</c:v>
                </c:pt>
                <c:pt idx="5">
                  <c:v>#N/A</c:v>
                </c:pt>
                <c:pt idx="6">
                  <c:v>#N/A</c:v>
                </c:pt>
                <c:pt idx="7">
                  <c:v>#N/A</c:v>
                </c:pt>
                <c:pt idx="8">
                  <c:v>#N/A</c:v>
                </c:pt>
                <c:pt idx="9">
                  <c:v>#N/A</c:v>
                </c:pt>
                <c:pt idx="10">
                  <c:v>#N/A</c:v>
                </c:pt>
                <c:pt idx="11">
                  <c:v>#N/A</c:v>
                </c:pt>
                <c:pt idx="12">
                  <c:v>607.52</c:v>
                </c:pt>
                <c:pt idx="13">
                  <c:v>688.19</c:v>
                </c:pt>
                <c:pt idx="14">
                  <c:v>#N/A</c:v>
                </c:pt>
                <c:pt idx="15">
                  <c:v>#N/A</c:v>
                </c:pt>
                <c:pt idx="16">
                  <c:v>#N/A</c:v>
                </c:pt>
                <c:pt idx="17">
                  <c:v>695.91</c:v>
                </c:pt>
              </c:numCache>
            </c:numRef>
          </c:val>
          <c:smooth val="0"/>
          <c:extLst>
            <c:ext xmlns:c16="http://schemas.microsoft.com/office/drawing/2014/chart" uri="{C3380CC4-5D6E-409C-BE32-E72D297353CC}">
              <c16:uniqueId val="{00000000-EC30-4B8B-B961-EDB69AFF4B50}"/>
            </c:ext>
          </c:extLst>
        </c:ser>
        <c:ser>
          <c:idx val="1"/>
          <c:order val="1"/>
          <c:tx>
            <c:strRef>
              <c:f>'Analysis report'!$C$107</c:f>
              <c:strCache>
                <c:ptCount val="1"/>
                <c:pt idx="0">
                  <c:v>Cement (OPC 53) USD/MT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 report'!$A$108:$A$125</c:f>
              <c:strCache>
                <c:ptCount val="18"/>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strCache>
            </c:strRef>
          </c:cat>
          <c:val>
            <c:numRef>
              <c:f>'Analysis report'!$C$108:$C$125</c:f>
              <c:numCache>
                <c:formatCode>[$$-409]#,##0.00</c:formatCode>
                <c:ptCount val="18"/>
                <c:pt idx="0">
                  <c:v>96.77</c:v>
                </c:pt>
                <c:pt idx="1">
                  <c:v>94.59</c:v>
                </c:pt>
                <c:pt idx="2">
                  <c:v>#N/A</c:v>
                </c:pt>
                <c:pt idx="3">
                  <c:v>#N/A</c:v>
                </c:pt>
                <c:pt idx="4">
                  <c:v>#N/A</c:v>
                </c:pt>
                <c:pt idx="5">
                  <c:v>81.11</c:v>
                </c:pt>
                <c:pt idx="6">
                  <c:v>#N/A</c:v>
                </c:pt>
                <c:pt idx="7">
                  <c:v>#N/A</c:v>
                </c:pt>
                <c:pt idx="8">
                  <c:v>105.52</c:v>
                </c:pt>
                <c:pt idx="9">
                  <c:v>#N/A</c:v>
                </c:pt>
                <c:pt idx="10">
                  <c:v>#N/A</c:v>
                </c:pt>
                <c:pt idx="11">
                  <c:v>90.44</c:v>
                </c:pt>
                <c:pt idx="12">
                  <c:v>#N/A</c:v>
                </c:pt>
                <c:pt idx="13">
                  <c:v>#N/A</c:v>
                </c:pt>
                <c:pt idx="14">
                  <c:v>#N/A</c:v>
                </c:pt>
                <c:pt idx="15">
                  <c:v>#N/A</c:v>
                </c:pt>
                <c:pt idx="16">
                  <c:v>102.04</c:v>
                </c:pt>
                <c:pt idx="17">
                  <c:v>#N/A</c:v>
                </c:pt>
              </c:numCache>
            </c:numRef>
          </c:val>
          <c:smooth val="0"/>
          <c:extLst>
            <c:ext xmlns:c16="http://schemas.microsoft.com/office/drawing/2014/chart" uri="{C3380CC4-5D6E-409C-BE32-E72D297353CC}">
              <c16:uniqueId val="{00000001-EC30-4B8B-B961-EDB69AFF4B50}"/>
            </c:ext>
          </c:extLst>
        </c:ser>
        <c:dLbls>
          <c:showLegendKey val="0"/>
          <c:showVal val="0"/>
          <c:showCatName val="0"/>
          <c:showSerName val="0"/>
          <c:showPercent val="0"/>
          <c:showBubbleSize val="0"/>
        </c:dLbls>
        <c:marker val="1"/>
        <c:smooth val="0"/>
        <c:axId val="361660416"/>
        <c:axId val="105618256"/>
      </c:lineChart>
      <c:catAx>
        <c:axId val="36166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18256"/>
        <c:crosses val="autoZero"/>
        <c:auto val="1"/>
        <c:lblAlgn val="ctr"/>
        <c:lblOffset val="100"/>
        <c:noMultiLvlLbl val="0"/>
      </c:catAx>
      <c:valAx>
        <c:axId val="10561825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1660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P02 Q3 — Price volatility by country — std dev vs avg change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report'!$B$129</c:f>
              <c:strCache>
                <c:ptCount val="1"/>
                <c:pt idx="0">
                  <c:v>StDev of Price Change %</c:v>
                </c:pt>
              </c:strCache>
            </c:strRef>
          </c:tx>
          <c:spPr>
            <a:solidFill>
              <a:schemeClr val="accent1"/>
            </a:solidFill>
            <a:ln>
              <a:noFill/>
            </a:ln>
            <a:effectLst/>
          </c:spPr>
          <c:invertIfNegative val="0"/>
          <c:cat>
            <c:strRef>
              <c:f>'Analysis report'!$A$130:$A$132</c:f>
              <c:strCache>
                <c:ptCount val="3"/>
                <c:pt idx="0">
                  <c:v>Australia</c:v>
                </c:pt>
                <c:pt idx="1">
                  <c:v>India</c:v>
                </c:pt>
                <c:pt idx="2">
                  <c:v>New Zealand</c:v>
                </c:pt>
              </c:strCache>
            </c:strRef>
          </c:cat>
          <c:val>
            <c:numRef>
              <c:f>'Analysis report'!$B$130:$B$132</c:f>
              <c:numCache>
                <c:formatCode>0.0%</c:formatCode>
                <c:ptCount val="3"/>
                <c:pt idx="0">
                  <c:v>9.2102807435095038E-2</c:v>
                </c:pt>
                <c:pt idx="1">
                  <c:v>9.7922415236652322E-2</c:v>
                </c:pt>
                <c:pt idx="2">
                  <c:v>8.9924745734892925E-2</c:v>
                </c:pt>
              </c:numCache>
            </c:numRef>
          </c:val>
          <c:extLst>
            <c:ext xmlns:c16="http://schemas.microsoft.com/office/drawing/2014/chart" uri="{C3380CC4-5D6E-409C-BE32-E72D297353CC}">
              <c16:uniqueId val="{00000000-ABF4-4A7C-BA61-740B8B744BAF}"/>
            </c:ext>
          </c:extLst>
        </c:ser>
        <c:ser>
          <c:idx val="1"/>
          <c:order val="1"/>
          <c:tx>
            <c:strRef>
              <c:f>'Analysis report'!$C$129</c:f>
              <c:strCache>
                <c:ptCount val="1"/>
                <c:pt idx="0">
                  <c:v>Avg Price Change %</c:v>
                </c:pt>
              </c:strCache>
            </c:strRef>
          </c:tx>
          <c:spPr>
            <a:solidFill>
              <a:schemeClr val="accent2"/>
            </a:solidFill>
            <a:ln>
              <a:noFill/>
            </a:ln>
            <a:effectLst/>
          </c:spPr>
          <c:invertIfNegative val="0"/>
          <c:cat>
            <c:strRef>
              <c:f>'Analysis report'!$A$130:$A$132</c:f>
              <c:strCache>
                <c:ptCount val="3"/>
                <c:pt idx="0">
                  <c:v>Australia</c:v>
                </c:pt>
                <c:pt idx="1">
                  <c:v>India</c:v>
                </c:pt>
                <c:pt idx="2">
                  <c:v>New Zealand</c:v>
                </c:pt>
              </c:strCache>
            </c:strRef>
          </c:cat>
          <c:val>
            <c:numRef>
              <c:f>'Analysis report'!$C$130:$C$132</c:f>
              <c:numCache>
                <c:formatCode>0.0%</c:formatCode>
                <c:ptCount val="3"/>
                <c:pt idx="0">
                  <c:v>7.8753840391400196E-2</c:v>
                </c:pt>
                <c:pt idx="1">
                  <c:v>7.0880220478982056E-2</c:v>
                </c:pt>
                <c:pt idx="2">
                  <c:v>7.9059059462877834E-2</c:v>
                </c:pt>
              </c:numCache>
            </c:numRef>
          </c:val>
          <c:extLst>
            <c:ext xmlns:c16="http://schemas.microsoft.com/office/drawing/2014/chart" uri="{C3380CC4-5D6E-409C-BE32-E72D297353CC}">
              <c16:uniqueId val="{00000001-ABF4-4A7C-BA61-740B8B744BAF}"/>
            </c:ext>
          </c:extLst>
        </c:ser>
        <c:dLbls>
          <c:showLegendKey val="0"/>
          <c:showVal val="0"/>
          <c:showCatName val="0"/>
          <c:showSerName val="0"/>
          <c:showPercent val="0"/>
          <c:showBubbleSize val="0"/>
        </c:dLbls>
        <c:gapWidth val="219"/>
        <c:overlap val="-27"/>
        <c:axId val="361704960"/>
        <c:axId val="105656176"/>
      </c:barChart>
      <c:catAx>
        <c:axId val="3617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56176"/>
        <c:crosses val="autoZero"/>
        <c:auto val="1"/>
        <c:lblAlgn val="ctr"/>
        <c:lblOffset val="100"/>
        <c:noMultiLvlLbl val="0"/>
      </c:catAx>
      <c:valAx>
        <c:axId val="1056561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1704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P02 Q4 — Top 3 procurement-risk materials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report'!$C$136</c:f>
              <c:strCache>
                <c:ptCount val="1"/>
                <c:pt idx="0">
                  <c:v>Avg Price Change %</c:v>
                </c:pt>
              </c:strCache>
            </c:strRef>
          </c:tx>
          <c:spPr>
            <a:solidFill>
              <a:schemeClr val="accent1"/>
            </a:solidFill>
            <a:ln>
              <a:noFill/>
            </a:ln>
            <a:effectLst/>
          </c:spPr>
          <c:invertIfNegative val="0"/>
          <c:cat>
            <c:strRef>
              <c:f>'Analysis report'!$B$137:$B$139</c:f>
              <c:strCache>
                <c:ptCount val="3"/>
                <c:pt idx="0">
                  <c:v>RMC M30</c:v>
                </c:pt>
                <c:pt idx="1">
                  <c:v>Aggregate (20mm)</c:v>
                </c:pt>
                <c:pt idx="2">
                  <c:v>Cement (OPC 53)</c:v>
                </c:pt>
              </c:strCache>
            </c:strRef>
          </c:cat>
          <c:val>
            <c:numRef>
              <c:f>'Analysis report'!$C$137:$C$139</c:f>
              <c:numCache>
                <c:formatCode>0.0%</c:formatCode>
                <c:ptCount val="3"/>
                <c:pt idx="0">
                  <c:v>0.14779999999999999</c:v>
                </c:pt>
                <c:pt idx="1">
                  <c:v>0.14609090909090908</c:v>
                </c:pt>
                <c:pt idx="2">
                  <c:v>0.11856862745098039</c:v>
                </c:pt>
              </c:numCache>
            </c:numRef>
          </c:val>
          <c:extLst>
            <c:ext xmlns:c16="http://schemas.microsoft.com/office/drawing/2014/chart" uri="{C3380CC4-5D6E-409C-BE32-E72D297353CC}">
              <c16:uniqueId val="{00000000-1D7F-4184-AA7E-17CC399D066A}"/>
            </c:ext>
          </c:extLst>
        </c:ser>
        <c:dLbls>
          <c:showLegendKey val="0"/>
          <c:showVal val="0"/>
          <c:showCatName val="0"/>
          <c:showSerName val="0"/>
          <c:showPercent val="0"/>
          <c:showBubbleSize val="0"/>
        </c:dLbls>
        <c:gapWidth val="219"/>
        <c:overlap val="-27"/>
        <c:axId val="361659952"/>
        <c:axId val="105678256"/>
      </c:barChart>
      <c:catAx>
        <c:axId val="36165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78256"/>
        <c:crosses val="autoZero"/>
        <c:auto val="1"/>
        <c:lblAlgn val="ctr"/>
        <c:lblOffset val="100"/>
        <c:noMultiLvlLbl val="0"/>
      </c:catAx>
      <c:valAx>
        <c:axId val="1056782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165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P02 Q5 — Material price change vs the 7.5% portfolio average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'Q&amp;A Chart Dashboard'!$BB$64</c:f>
              <c:strCache>
                <c:ptCount val="1"/>
                <c:pt idx="0">
                  <c:v>Avg price change %</c:v>
                </c:pt>
              </c:strCache>
            </c:strRef>
          </c:tx>
          <c:spPr>
            <a:solidFill>
              <a:schemeClr val="accent1"/>
            </a:solidFill>
            <a:ln>
              <a:noFill/>
            </a:ln>
            <a:effectLst/>
          </c:spPr>
          <c:invertIfNegative val="0"/>
          <c:cat>
            <c:strRef>
              <c:f>'Q&amp;A Chart Dashboard'!$BA$65:$BA$79</c:f>
              <c:strCache>
                <c:ptCount val="15"/>
                <c:pt idx="0">
                  <c:v>Waterproofing Membrane</c:v>
                </c:pt>
                <c:pt idx="1">
                  <c:v>Cement (OPC 53)</c:v>
                </c:pt>
                <c:pt idx="2">
                  <c:v>Aluminium Facade</c:v>
                </c:pt>
                <c:pt idx="3">
                  <c:v>Bricks (AAC)</c:v>
                </c:pt>
                <c:pt idx="4">
                  <c:v>Tiles (Vitrified)</c:v>
                </c:pt>
                <c:pt idx="5">
                  <c:v>PVC Conduits</c:v>
                </c:pt>
                <c:pt idx="6">
                  <c:v>Sand (River)</c:v>
                </c:pt>
                <c:pt idx="7">
                  <c:v>Structural Steel</c:v>
                </c:pt>
                <c:pt idx="8">
                  <c:v>Aggregate (20mm)</c:v>
                </c:pt>
                <c:pt idx="9">
                  <c:v>MS Pipes</c:v>
                </c:pt>
                <c:pt idx="10">
                  <c:v>RMC M30</c:v>
                </c:pt>
                <c:pt idx="11">
                  <c:v>Glass (DGU)</c:v>
                </c:pt>
                <c:pt idx="12">
                  <c:v>Copper Wiring</c:v>
                </c:pt>
                <c:pt idx="13">
                  <c:v>Plywood (Marine)</c:v>
                </c:pt>
                <c:pt idx="14">
                  <c:v>TMT Steel (Fe500)</c:v>
                </c:pt>
              </c:strCache>
            </c:strRef>
          </c:cat>
          <c:val>
            <c:numRef>
              <c:f>'Q&amp;A Chart Dashboard'!$BB$65:$BB$79</c:f>
              <c:numCache>
                <c:formatCode>0.0%</c:formatCode>
                <c:ptCount val="15"/>
                <c:pt idx="0">
                  <c:v>2.5200000000000007E-2</c:v>
                </c:pt>
                <c:pt idx="1">
                  <c:v>0.11856862745098039</c:v>
                </c:pt>
                <c:pt idx="2">
                  <c:v>0.11697916666666666</c:v>
                </c:pt>
                <c:pt idx="3">
                  <c:v>7.7399122807017537E-2</c:v>
                </c:pt>
                <c:pt idx="4">
                  <c:v>8.3611111111111081E-2</c:v>
                </c:pt>
                <c:pt idx="5">
                  <c:v>3.0416666666666654E-2</c:v>
                </c:pt>
                <c:pt idx="6">
                  <c:v>9.5199999999999993E-2</c:v>
                </c:pt>
                <c:pt idx="7">
                  <c:v>6.9677192982456157E-2</c:v>
                </c:pt>
                <c:pt idx="8">
                  <c:v>0.14609090909090908</c:v>
                </c:pt>
                <c:pt idx="9">
                  <c:v>9.9374999999999991E-2</c:v>
                </c:pt>
                <c:pt idx="10">
                  <c:v>0.14779999999999999</c:v>
                </c:pt>
                <c:pt idx="11">
                  <c:v>4.3934210526315812E-2</c:v>
                </c:pt>
                <c:pt idx="12">
                  <c:v>1.9249999999999989E-2</c:v>
                </c:pt>
                <c:pt idx="13">
                  <c:v>9.2555555555555558E-2</c:v>
                </c:pt>
                <c:pt idx="14">
                  <c:v>3.9138461538461539E-2</c:v>
                </c:pt>
              </c:numCache>
            </c:numRef>
          </c:val>
          <c:extLst>
            <c:ext xmlns:c16="http://schemas.microsoft.com/office/drawing/2014/chart" uri="{C3380CC4-5D6E-409C-BE32-E72D297353CC}">
              <c16:uniqueId val="{00000000-F585-446D-BC77-57EDC61C76EA}"/>
            </c:ext>
          </c:extLst>
        </c:ser>
        <c:dLbls>
          <c:showLegendKey val="0"/>
          <c:showVal val="0"/>
          <c:showCatName val="0"/>
          <c:showSerName val="0"/>
          <c:showPercent val="0"/>
          <c:showBubbleSize val="0"/>
        </c:dLbls>
        <c:gapWidth val="182"/>
        <c:axId val="361666912"/>
        <c:axId val="105585136"/>
      </c:barChart>
      <c:catAx>
        <c:axId val="36166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85136"/>
        <c:crosses val="autoZero"/>
        <c:auto val="1"/>
        <c:lblAlgn val="ctr"/>
        <c:lblOffset val="100"/>
        <c:noMultiLvlLbl val="0"/>
      </c:catAx>
      <c:valAx>
        <c:axId val="10558513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166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P02 Q6 — TMT Steel price trend and month-21 forecast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'Q&amp;A Chart Dashboard'!$BB$82</c:f>
              <c:strCache>
                <c:ptCount val="1"/>
                <c:pt idx="0">
                  <c:v>TMT Steel USD/MT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'Q&amp;A Chart Dashboard'!$BA$83:$BA$87</c:f>
              <c:strCache>
                <c:ptCount val="5"/>
                <c:pt idx="0">
                  <c:v>2024-03</c:v>
                </c:pt>
                <c:pt idx="1">
                  <c:v>2025-01</c:v>
                </c:pt>
                <c:pt idx="2">
                  <c:v>2025-02</c:v>
                </c:pt>
                <c:pt idx="3">
                  <c:v>2025-06</c:v>
                </c:pt>
                <c:pt idx="4">
                  <c:v>Forecast · month 21</c:v>
                </c:pt>
              </c:strCache>
            </c:strRef>
          </c:cat>
          <c:val>
            <c:numRef>
              <c:f>'Q&amp;A Chart Dashboard'!$BB$83:$BB$87</c:f>
              <c:numCache>
                <c:formatCode>[$$-409]#,##0</c:formatCode>
                <c:ptCount val="5"/>
                <c:pt idx="0">
                  <c:v>710.14</c:v>
                </c:pt>
                <c:pt idx="1">
                  <c:v>607.52</c:v>
                </c:pt>
                <c:pt idx="2">
                  <c:v>688.19</c:v>
                </c:pt>
                <c:pt idx="3">
                  <c:v>695.91</c:v>
                </c:pt>
                <c:pt idx="4">
                  <c:v>658.33262295081965</c:v>
                </c:pt>
              </c:numCache>
            </c:numRef>
          </c:val>
          <c:smooth val="0"/>
          <c:extLst>
            <c:ext xmlns:c16="http://schemas.microsoft.com/office/drawing/2014/chart" uri="{C3380CC4-5D6E-409C-BE32-E72D297353CC}">
              <c16:uniqueId val="{00000000-0E82-433E-9968-FA514E9514C3}"/>
            </c:ext>
          </c:extLst>
        </c:ser>
        <c:dLbls>
          <c:showLegendKey val="0"/>
          <c:showVal val="0"/>
          <c:showCatName val="0"/>
          <c:showSerName val="0"/>
          <c:showPercent val="0"/>
          <c:showBubbleSize val="0"/>
        </c:dLbls>
        <c:marker val="1"/>
        <c:smooth val="0"/>
        <c:axId val="361707744"/>
        <c:axId val="105610096"/>
      </c:lineChart>
      <c:catAx>
        <c:axId val="36170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10096"/>
        <c:crosses val="autoZero"/>
        <c:auto val="1"/>
        <c:lblAlgn val="ctr"/>
        <c:lblOffset val="100"/>
        <c:noMultiLvlLbl val="0"/>
      </c:catAx>
      <c:valAx>
        <c:axId val="105610096"/>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17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P03 Q1 — BOQ vs actual amount by project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report'!$B$161</c:f>
              <c:strCache>
                <c:ptCount val="1"/>
                <c:pt idx="0">
                  <c:v>Total BOQ Amount USD</c:v>
                </c:pt>
              </c:strCache>
            </c:strRef>
          </c:tx>
          <c:spPr>
            <a:solidFill>
              <a:schemeClr val="accent1"/>
            </a:solidFill>
            <a:ln>
              <a:noFill/>
            </a:ln>
            <a:effectLst/>
          </c:spPr>
          <c:invertIfNegative val="0"/>
          <c:cat>
            <c:strRef>
              <c:f>'Analysis report'!$A$162:$A$164</c:f>
              <c:strCache>
                <c:ptCount val="3"/>
                <c:pt idx="0">
                  <c:v>WT-DC-MUM-01</c:v>
                </c:pt>
                <c:pt idx="1">
                  <c:v>WT-OFF-SYD-02</c:v>
                </c:pt>
                <c:pt idx="2">
                  <c:v>WT-HOS-AKL-03</c:v>
                </c:pt>
              </c:strCache>
            </c:strRef>
          </c:cat>
          <c:val>
            <c:numRef>
              <c:f>'Analysis report'!$B$162:$B$164</c:f>
              <c:numCache>
                <c:formatCode>[$$-409]#,##0</c:formatCode>
                <c:ptCount val="3"/>
                <c:pt idx="0">
                  <c:v>5686239.7999999998</c:v>
                </c:pt>
                <c:pt idx="1">
                  <c:v>5691799.9000000004</c:v>
                </c:pt>
                <c:pt idx="2">
                  <c:v>4619527.8900000006</c:v>
                </c:pt>
              </c:numCache>
            </c:numRef>
          </c:val>
          <c:extLst>
            <c:ext xmlns:c16="http://schemas.microsoft.com/office/drawing/2014/chart" uri="{C3380CC4-5D6E-409C-BE32-E72D297353CC}">
              <c16:uniqueId val="{00000000-850F-4D4E-AABC-9A82E26435C6}"/>
            </c:ext>
          </c:extLst>
        </c:ser>
        <c:ser>
          <c:idx val="1"/>
          <c:order val="1"/>
          <c:tx>
            <c:strRef>
              <c:f>'Analysis report'!$C$161</c:f>
              <c:strCache>
                <c:ptCount val="1"/>
                <c:pt idx="0">
                  <c:v>Total Actual Amount USD</c:v>
                </c:pt>
              </c:strCache>
            </c:strRef>
          </c:tx>
          <c:spPr>
            <a:solidFill>
              <a:schemeClr val="accent2"/>
            </a:solidFill>
            <a:ln>
              <a:noFill/>
            </a:ln>
            <a:effectLst/>
          </c:spPr>
          <c:invertIfNegative val="0"/>
          <c:cat>
            <c:strRef>
              <c:f>'Analysis report'!$A$162:$A$164</c:f>
              <c:strCache>
                <c:ptCount val="3"/>
                <c:pt idx="0">
                  <c:v>WT-DC-MUM-01</c:v>
                </c:pt>
                <c:pt idx="1">
                  <c:v>WT-OFF-SYD-02</c:v>
                </c:pt>
                <c:pt idx="2">
                  <c:v>WT-HOS-AKL-03</c:v>
                </c:pt>
              </c:strCache>
            </c:strRef>
          </c:cat>
          <c:val>
            <c:numRef>
              <c:f>'Analysis report'!$C$162:$C$164</c:f>
              <c:numCache>
                <c:formatCode>[$$-409]#,##0</c:formatCode>
                <c:ptCount val="3"/>
                <c:pt idx="0">
                  <c:v>6061894.8200000012</c:v>
                </c:pt>
                <c:pt idx="1">
                  <c:v>6408709.8499999996</c:v>
                </c:pt>
                <c:pt idx="2">
                  <c:v>5117552.2400000012</c:v>
                </c:pt>
              </c:numCache>
            </c:numRef>
          </c:val>
          <c:extLst>
            <c:ext xmlns:c16="http://schemas.microsoft.com/office/drawing/2014/chart" uri="{C3380CC4-5D6E-409C-BE32-E72D297353CC}">
              <c16:uniqueId val="{00000001-850F-4D4E-AABC-9A82E26435C6}"/>
            </c:ext>
          </c:extLst>
        </c:ser>
        <c:dLbls>
          <c:showLegendKey val="0"/>
          <c:showVal val="0"/>
          <c:showCatName val="0"/>
          <c:showSerName val="0"/>
          <c:showPercent val="0"/>
          <c:showBubbleSize val="0"/>
        </c:dLbls>
        <c:gapWidth val="219"/>
        <c:overlap val="-27"/>
        <c:axId val="361665984"/>
        <c:axId val="105630736"/>
      </c:barChart>
      <c:catAx>
        <c:axId val="36166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30736"/>
        <c:crosses val="autoZero"/>
        <c:auto val="1"/>
        <c:lblAlgn val="ctr"/>
        <c:lblOffset val="100"/>
        <c:noMultiLvlLbl val="0"/>
      </c:catAx>
      <c:valAx>
        <c:axId val="105630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166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P03 Q2 — Quantity variance % by trade across 3 projects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report'!$B$169</c:f>
              <c:strCache>
                <c:ptCount val="1"/>
                <c:pt idx="0">
                  <c:v>WT-DC-MUM-01</c:v>
                </c:pt>
              </c:strCache>
            </c:strRef>
          </c:tx>
          <c:spPr>
            <a:solidFill>
              <a:schemeClr val="accent1"/>
            </a:solidFill>
            <a:ln>
              <a:noFill/>
            </a:ln>
            <a:effectLst/>
          </c:spPr>
          <c:invertIfNegative val="0"/>
          <c:cat>
            <c:strRef>
              <c:f>'Analysis report'!$A$170:$A$174</c:f>
              <c:strCache>
                <c:ptCount val="5"/>
                <c:pt idx="0">
                  <c:v>Civil &amp; Structure</c:v>
                </c:pt>
                <c:pt idx="1">
                  <c:v>MEP - Electrical</c:v>
                </c:pt>
                <c:pt idx="2">
                  <c:v>MEP - Plumbing</c:v>
                </c:pt>
                <c:pt idx="3">
                  <c:v>MEP - HVAC</c:v>
                </c:pt>
                <c:pt idx="4">
                  <c:v>Interior Fit-out</c:v>
                </c:pt>
              </c:strCache>
            </c:strRef>
          </c:cat>
          <c:val>
            <c:numRef>
              <c:f>'Analysis report'!$B$170:$B$174</c:f>
              <c:numCache>
                <c:formatCode>0.0%</c:formatCode>
                <c:ptCount val="5"/>
                <c:pt idx="0">
                  <c:v>0.13631471422892108</c:v>
                </c:pt>
                <c:pt idx="1">
                  <c:v>5.4365945916400024E-2</c:v>
                </c:pt>
                <c:pt idx="2">
                  <c:v>-3.7988954686413279E-2</c:v>
                </c:pt>
                <c:pt idx="3">
                  <c:v>4.9469818746694524E-2</c:v>
                </c:pt>
                <c:pt idx="4">
                  <c:v>7.6789476751611491E-2</c:v>
                </c:pt>
              </c:numCache>
            </c:numRef>
          </c:val>
          <c:extLst>
            <c:ext xmlns:c16="http://schemas.microsoft.com/office/drawing/2014/chart" uri="{C3380CC4-5D6E-409C-BE32-E72D297353CC}">
              <c16:uniqueId val="{00000000-E679-480F-82C4-187E3A635509}"/>
            </c:ext>
          </c:extLst>
        </c:ser>
        <c:ser>
          <c:idx val="1"/>
          <c:order val="1"/>
          <c:tx>
            <c:strRef>
              <c:f>'Analysis report'!$C$169</c:f>
              <c:strCache>
                <c:ptCount val="1"/>
                <c:pt idx="0">
                  <c:v>WT-OFF-SYD-02</c:v>
                </c:pt>
              </c:strCache>
            </c:strRef>
          </c:tx>
          <c:spPr>
            <a:solidFill>
              <a:schemeClr val="accent2"/>
            </a:solidFill>
            <a:ln>
              <a:noFill/>
            </a:ln>
            <a:effectLst/>
          </c:spPr>
          <c:invertIfNegative val="0"/>
          <c:cat>
            <c:strRef>
              <c:f>'Analysis report'!$A$170:$A$174</c:f>
              <c:strCache>
                <c:ptCount val="5"/>
                <c:pt idx="0">
                  <c:v>Civil &amp; Structure</c:v>
                </c:pt>
                <c:pt idx="1">
                  <c:v>MEP - Electrical</c:v>
                </c:pt>
                <c:pt idx="2">
                  <c:v>MEP - Plumbing</c:v>
                </c:pt>
                <c:pt idx="3">
                  <c:v>MEP - HVAC</c:v>
                </c:pt>
                <c:pt idx="4">
                  <c:v>Interior Fit-out</c:v>
                </c:pt>
              </c:strCache>
            </c:strRef>
          </c:cat>
          <c:val>
            <c:numRef>
              <c:f>'Analysis report'!$C$170:$C$174</c:f>
              <c:numCache>
                <c:formatCode>0.0%</c:formatCode>
                <c:ptCount val="5"/>
                <c:pt idx="0">
                  <c:v>0.12689335477029387</c:v>
                </c:pt>
                <c:pt idx="1">
                  <c:v>0.14529125304060236</c:v>
                </c:pt>
                <c:pt idx="2">
                  <c:v>0.20311374173206639</c:v>
                </c:pt>
                <c:pt idx="3">
                  <c:v>0.11898909784267311</c:v>
                </c:pt>
                <c:pt idx="4">
                  <c:v>0.11713877762587799</c:v>
                </c:pt>
              </c:numCache>
            </c:numRef>
          </c:val>
          <c:extLst>
            <c:ext xmlns:c16="http://schemas.microsoft.com/office/drawing/2014/chart" uri="{C3380CC4-5D6E-409C-BE32-E72D297353CC}">
              <c16:uniqueId val="{00000001-E679-480F-82C4-187E3A635509}"/>
            </c:ext>
          </c:extLst>
        </c:ser>
        <c:ser>
          <c:idx val="2"/>
          <c:order val="2"/>
          <c:tx>
            <c:strRef>
              <c:f>'Analysis report'!$D$169</c:f>
              <c:strCache>
                <c:ptCount val="1"/>
                <c:pt idx="0">
                  <c:v>WT-HOS-AKL-03</c:v>
                </c:pt>
              </c:strCache>
            </c:strRef>
          </c:tx>
          <c:spPr>
            <a:solidFill>
              <a:schemeClr val="accent3"/>
            </a:solidFill>
            <a:ln>
              <a:noFill/>
            </a:ln>
            <a:effectLst/>
          </c:spPr>
          <c:invertIfNegative val="0"/>
          <c:cat>
            <c:strRef>
              <c:f>'Analysis report'!$A$170:$A$174</c:f>
              <c:strCache>
                <c:ptCount val="5"/>
                <c:pt idx="0">
                  <c:v>Civil &amp; Structure</c:v>
                </c:pt>
                <c:pt idx="1">
                  <c:v>MEP - Electrical</c:v>
                </c:pt>
                <c:pt idx="2">
                  <c:v>MEP - Plumbing</c:v>
                </c:pt>
                <c:pt idx="3">
                  <c:v>MEP - HVAC</c:v>
                </c:pt>
                <c:pt idx="4">
                  <c:v>Interior Fit-out</c:v>
                </c:pt>
              </c:strCache>
            </c:strRef>
          </c:cat>
          <c:val>
            <c:numRef>
              <c:f>'Analysis report'!$D$170:$D$174</c:f>
              <c:numCache>
                <c:formatCode>0.0%</c:formatCode>
                <c:ptCount val="5"/>
                <c:pt idx="0">
                  <c:v>2.5584857918462267E-2</c:v>
                </c:pt>
                <c:pt idx="1">
                  <c:v>0.13383069377978904</c:v>
                </c:pt>
                <c:pt idx="2">
                  <c:v>0.16649673812729715</c:v>
                </c:pt>
                <c:pt idx="3">
                  <c:v>5.4206722354845416E-2</c:v>
                </c:pt>
                <c:pt idx="4">
                  <c:v>0.10686438462912395</c:v>
                </c:pt>
              </c:numCache>
            </c:numRef>
          </c:val>
          <c:extLst>
            <c:ext xmlns:c16="http://schemas.microsoft.com/office/drawing/2014/chart" uri="{C3380CC4-5D6E-409C-BE32-E72D297353CC}">
              <c16:uniqueId val="{00000002-E679-480F-82C4-187E3A635509}"/>
            </c:ext>
          </c:extLst>
        </c:ser>
        <c:dLbls>
          <c:showLegendKey val="0"/>
          <c:showVal val="0"/>
          <c:showCatName val="0"/>
          <c:showSerName val="0"/>
          <c:showPercent val="0"/>
          <c:showBubbleSize val="0"/>
        </c:dLbls>
        <c:gapWidth val="219"/>
        <c:overlap val="-27"/>
        <c:axId val="361655776"/>
        <c:axId val="105655216"/>
      </c:barChart>
      <c:catAx>
        <c:axId val="36165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55216"/>
        <c:crosses val="autoZero"/>
        <c:auto val="1"/>
        <c:lblAlgn val="ctr"/>
        <c:lblOffset val="100"/>
        <c:noMultiLvlLbl val="0"/>
      </c:catAx>
      <c:valAx>
        <c:axId val="1056552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1655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P03 Q3 — Top 5 BOQ items by quantity variance %</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'Analysis report'!$E$178</c:f>
              <c:strCache>
                <c:ptCount val="1"/>
                <c:pt idx="0">
                  <c:v>Qty Variance %</c:v>
                </c:pt>
              </c:strCache>
            </c:strRef>
          </c:tx>
          <c:spPr>
            <a:solidFill>
              <a:schemeClr val="accent1"/>
            </a:solidFill>
            <a:ln>
              <a:noFill/>
            </a:ln>
            <a:effectLst/>
          </c:spPr>
          <c:invertIfNegative val="0"/>
          <c:cat>
            <c:strRef>
              <c:f>'Analysis report'!$D$179:$D$183</c:f>
              <c:strCache>
                <c:ptCount val="5"/>
                <c:pt idx="0">
                  <c:v>Plastering</c:v>
                </c:pt>
                <c:pt idx="1">
                  <c:v>LT Panels</c:v>
                </c:pt>
                <c:pt idx="2">
                  <c:v>Excavation</c:v>
                </c:pt>
                <c:pt idx="3">
                  <c:v>Conduit Laying</c:v>
                </c:pt>
                <c:pt idx="4">
                  <c:v>False Ceiling</c:v>
                </c:pt>
              </c:strCache>
            </c:strRef>
          </c:cat>
          <c:val>
            <c:numRef>
              <c:f>'Analysis report'!$E$179:$E$183</c:f>
              <c:numCache>
                <c:formatCode>0.0%</c:formatCode>
                <c:ptCount val="5"/>
                <c:pt idx="0">
                  <c:v>0.28940356630457059</c:v>
                </c:pt>
                <c:pt idx="1">
                  <c:v>0.28445883441258096</c:v>
                </c:pt>
                <c:pt idx="2">
                  <c:v>0.27746319365798416</c:v>
                </c:pt>
                <c:pt idx="3">
                  <c:v>0.27703862660944206</c:v>
                </c:pt>
                <c:pt idx="4">
                  <c:v>0.27610208816705334</c:v>
                </c:pt>
              </c:numCache>
            </c:numRef>
          </c:val>
          <c:extLst>
            <c:ext xmlns:c16="http://schemas.microsoft.com/office/drawing/2014/chart" uri="{C3380CC4-5D6E-409C-BE32-E72D297353CC}">
              <c16:uniqueId val="{00000000-D744-4926-8BC9-0EF2EF9FF83E}"/>
            </c:ext>
          </c:extLst>
        </c:ser>
        <c:dLbls>
          <c:showLegendKey val="0"/>
          <c:showVal val="0"/>
          <c:showCatName val="0"/>
          <c:showSerName val="0"/>
          <c:showPercent val="0"/>
          <c:showBubbleSize val="0"/>
        </c:dLbls>
        <c:gapWidth val="182"/>
        <c:axId val="480471808"/>
        <c:axId val="105695056"/>
      </c:barChart>
      <c:catAx>
        <c:axId val="48047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95056"/>
        <c:crosses val="autoZero"/>
        <c:auto val="1"/>
        <c:lblAlgn val="ctr"/>
        <c:lblOffset val="100"/>
        <c:noMultiLvlLbl val="0"/>
      </c:catAx>
      <c:valAx>
        <c:axId val="10569505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47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P03 Q4 — Overrun, savings and net impact by project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report'!$B$187</c:f>
              <c:strCache>
                <c:ptCount val="1"/>
                <c:pt idx="0">
                  <c:v>Overrun Impact USD (items over BOQ)</c:v>
                </c:pt>
              </c:strCache>
            </c:strRef>
          </c:tx>
          <c:spPr>
            <a:solidFill>
              <a:schemeClr val="accent1"/>
            </a:solidFill>
            <a:ln>
              <a:noFill/>
            </a:ln>
            <a:effectLst/>
          </c:spPr>
          <c:invertIfNegative val="0"/>
          <c:cat>
            <c:strRef>
              <c:f>'Analysis report'!$A$188:$A$190</c:f>
              <c:strCache>
                <c:ptCount val="3"/>
                <c:pt idx="0">
                  <c:v>WT-DC-MUM-01</c:v>
                </c:pt>
                <c:pt idx="1">
                  <c:v>WT-OFF-SYD-02</c:v>
                </c:pt>
                <c:pt idx="2">
                  <c:v>WT-HOS-AKL-03</c:v>
                </c:pt>
              </c:strCache>
            </c:strRef>
          </c:cat>
          <c:val>
            <c:numRef>
              <c:f>'Analysis report'!$B$188:$B$190</c:f>
              <c:numCache>
                <c:formatCode>[$$-409]#,##0</c:formatCode>
                <c:ptCount val="3"/>
                <c:pt idx="0">
                  <c:v>502032.70000000019</c:v>
                </c:pt>
                <c:pt idx="1">
                  <c:v>768547.75000000012</c:v>
                </c:pt>
                <c:pt idx="2">
                  <c:v>557911.04000000004</c:v>
                </c:pt>
              </c:numCache>
            </c:numRef>
          </c:val>
          <c:extLst>
            <c:ext xmlns:c16="http://schemas.microsoft.com/office/drawing/2014/chart" uri="{C3380CC4-5D6E-409C-BE32-E72D297353CC}">
              <c16:uniqueId val="{00000000-2F1B-4A08-BFC9-405D73603230}"/>
            </c:ext>
          </c:extLst>
        </c:ser>
        <c:ser>
          <c:idx val="1"/>
          <c:order val="1"/>
          <c:tx>
            <c:strRef>
              <c:f>'Analysis report'!$C$187</c:f>
              <c:strCache>
                <c:ptCount val="1"/>
                <c:pt idx="0">
                  <c:v>Savings USD (items under BOQ)</c:v>
                </c:pt>
              </c:strCache>
            </c:strRef>
          </c:tx>
          <c:spPr>
            <a:solidFill>
              <a:schemeClr val="accent2"/>
            </a:solidFill>
            <a:ln>
              <a:noFill/>
            </a:ln>
            <a:effectLst/>
          </c:spPr>
          <c:invertIfNegative val="0"/>
          <c:cat>
            <c:strRef>
              <c:f>'Analysis report'!$A$188:$A$190</c:f>
              <c:strCache>
                <c:ptCount val="3"/>
                <c:pt idx="0">
                  <c:v>WT-DC-MUM-01</c:v>
                </c:pt>
                <c:pt idx="1">
                  <c:v>WT-OFF-SYD-02</c:v>
                </c:pt>
                <c:pt idx="2">
                  <c:v>WT-HOS-AKL-03</c:v>
                </c:pt>
              </c:strCache>
            </c:strRef>
          </c:cat>
          <c:val>
            <c:numRef>
              <c:f>'Analysis report'!$C$188:$C$190</c:f>
              <c:numCache>
                <c:formatCode>[$$-409]#,##0</c:formatCode>
                <c:ptCount val="3"/>
                <c:pt idx="0">
                  <c:v>-126377.68000000004</c:v>
                </c:pt>
                <c:pt idx="1">
                  <c:v>-51637.799999999988</c:v>
                </c:pt>
                <c:pt idx="2">
                  <c:v>-59886.689999999988</c:v>
                </c:pt>
              </c:numCache>
            </c:numRef>
          </c:val>
          <c:extLst>
            <c:ext xmlns:c16="http://schemas.microsoft.com/office/drawing/2014/chart" uri="{C3380CC4-5D6E-409C-BE32-E72D297353CC}">
              <c16:uniqueId val="{00000001-2F1B-4A08-BFC9-405D73603230}"/>
            </c:ext>
          </c:extLst>
        </c:ser>
        <c:ser>
          <c:idx val="2"/>
          <c:order val="2"/>
          <c:tx>
            <c:strRef>
              <c:f>'Analysis report'!$D$187</c:f>
              <c:strCache>
                <c:ptCount val="1"/>
                <c:pt idx="0">
                  <c:v>Net Impact USD</c:v>
                </c:pt>
              </c:strCache>
            </c:strRef>
          </c:tx>
          <c:spPr>
            <a:solidFill>
              <a:schemeClr val="accent3"/>
            </a:solidFill>
            <a:ln>
              <a:noFill/>
            </a:ln>
            <a:effectLst/>
          </c:spPr>
          <c:invertIfNegative val="0"/>
          <c:cat>
            <c:strRef>
              <c:f>'Analysis report'!$A$188:$A$190</c:f>
              <c:strCache>
                <c:ptCount val="3"/>
                <c:pt idx="0">
                  <c:v>WT-DC-MUM-01</c:v>
                </c:pt>
                <c:pt idx="1">
                  <c:v>WT-OFF-SYD-02</c:v>
                </c:pt>
                <c:pt idx="2">
                  <c:v>WT-HOS-AKL-03</c:v>
                </c:pt>
              </c:strCache>
            </c:strRef>
          </c:cat>
          <c:val>
            <c:numRef>
              <c:f>'Analysis report'!$D$188:$D$190</c:f>
              <c:numCache>
                <c:formatCode>[$$-409]#,##0</c:formatCode>
                <c:ptCount val="3"/>
                <c:pt idx="0">
                  <c:v>375655.02000000014</c:v>
                </c:pt>
                <c:pt idx="1">
                  <c:v>716909.95000000019</c:v>
                </c:pt>
                <c:pt idx="2">
                  <c:v>498024.35000000003</c:v>
                </c:pt>
              </c:numCache>
            </c:numRef>
          </c:val>
          <c:extLst>
            <c:ext xmlns:c16="http://schemas.microsoft.com/office/drawing/2014/chart" uri="{C3380CC4-5D6E-409C-BE32-E72D297353CC}">
              <c16:uniqueId val="{00000002-2F1B-4A08-BFC9-405D73603230}"/>
            </c:ext>
          </c:extLst>
        </c:ser>
        <c:dLbls>
          <c:showLegendKey val="0"/>
          <c:showVal val="0"/>
          <c:showCatName val="0"/>
          <c:showSerName val="0"/>
          <c:showPercent val="0"/>
          <c:showBubbleSize val="0"/>
        </c:dLbls>
        <c:gapWidth val="219"/>
        <c:overlap val="-27"/>
        <c:axId val="480482016"/>
        <c:axId val="105603376"/>
      </c:barChart>
      <c:catAx>
        <c:axId val="4804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03376"/>
        <c:crosses val="autoZero"/>
        <c:auto val="1"/>
        <c:lblAlgn val="ctr"/>
        <c:lblOffset val="100"/>
        <c:noMultiLvlLbl val="0"/>
      </c:catAx>
      <c:valAx>
        <c:axId val="10560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482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P03 Q5 — WT-DC-MUM-01 — BOQ vs actual by trade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report'!$B$195</c:f>
              <c:strCache>
                <c:ptCount val="1"/>
                <c:pt idx="0">
                  <c:v>BOQ Amount USD</c:v>
                </c:pt>
              </c:strCache>
            </c:strRef>
          </c:tx>
          <c:spPr>
            <a:solidFill>
              <a:schemeClr val="accent1"/>
            </a:solidFill>
            <a:ln>
              <a:noFill/>
            </a:ln>
            <a:effectLst/>
          </c:spPr>
          <c:invertIfNegative val="0"/>
          <c:cat>
            <c:strRef>
              <c:f>'Analysis report'!$A$196:$A$200</c:f>
              <c:strCache>
                <c:ptCount val="5"/>
                <c:pt idx="0">
                  <c:v>Civil &amp; Structure</c:v>
                </c:pt>
                <c:pt idx="1">
                  <c:v>MEP - Electrical</c:v>
                </c:pt>
                <c:pt idx="2">
                  <c:v>MEP - Plumbing</c:v>
                </c:pt>
                <c:pt idx="3">
                  <c:v>MEP - HVAC</c:v>
                </c:pt>
                <c:pt idx="4">
                  <c:v>Interior Fit-out</c:v>
                </c:pt>
              </c:strCache>
            </c:strRef>
          </c:cat>
          <c:val>
            <c:numRef>
              <c:f>'Analysis report'!$B$196:$B$200</c:f>
              <c:numCache>
                <c:formatCode>[$$-409]#,##0</c:formatCode>
                <c:ptCount val="5"/>
                <c:pt idx="0">
                  <c:v>1893094.2999999998</c:v>
                </c:pt>
                <c:pt idx="1">
                  <c:v>986727.76</c:v>
                </c:pt>
                <c:pt idx="2">
                  <c:v>765988.47</c:v>
                </c:pt>
                <c:pt idx="3">
                  <c:v>837434.33</c:v>
                </c:pt>
                <c:pt idx="4">
                  <c:v>1202994.94</c:v>
                </c:pt>
              </c:numCache>
            </c:numRef>
          </c:val>
          <c:extLst>
            <c:ext xmlns:c16="http://schemas.microsoft.com/office/drawing/2014/chart" uri="{C3380CC4-5D6E-409C-BE32-E72D297353CC}">
              <c16:uniqueId val="{00000000-8E6C-44B7-B6A7-1C834E4CBCC4}"/>
            </c:ext>
          </c:extLst>
        </c:ser>
        <c:ser>
          <c:idx val="1"/>
          <c:order val="1"/>
          <c:tx>
            <c:strRef>
              <c:f>'Analysis report'!$C$195</c:f>
              <c:strCache>
                <c:ptCount val="1"/>
                <c:pt idx="0">
                  <c:v>Actual Amount USD</c:v>
                </c:pt>
              </c:strCache>
            </c:strRef>
          </c:tx>
          <c:spPr>
            <a:solidFill>
              <a:schemeClr val="accent2"/>
            </a:solidFill>
            <a:ln>
              <a:noFill/>
            </a:ln>
            <a:effectLst/>
          </c:spPr>
          <c:invertIfNegative val="0"/>
          <c:cat>
            <c:strRef>
              <c:f>'Analysis report'!$A$196:$A$200</c:f>
              <c:strCache>
                <c:ptCount val="5"/>
                <c:pt idx="0">
                  <c:v>Civil &amp; Structure</c:v>
                </c:pt>
                <c:pt idx="1">
                  <c:v>MEP - Electrical</c:v>
                </c:pt>
                <c:pt idx="2">
                  <c:v>MEP - Plumbing</c:v>
                </c:pt>
                <c:pt idx="3">
                  <c:v>MEP - HVAC</c:v>
                </c:pt>
                <c:pt idx="4">
                  <c:v>Interior Fit-out</c:v>
                </c:pt>
              </c:strCache>
            </c:strRef>
          </c:cat>
          <c:val>
            <c:numRef>
              <c:f>'Analysis report'!$C$196:$C$200</c:f>
              <c:numCache>
                <c:formatCode>[$$-409]#,##0</c:formatCode>
                <c:ptCount val="5"/>
                <c:pt idx="0">
                  <c:v>2132023.62</c:v>
                </c:pt>
                <c:pt idx="1">
                  <c:v>1007358.05</c:v>
                </c:pt>
                <c:pt idx="2">
                  <c:v>756568.97</c:v>
                </c:pt>
                <c:pt idx="3">
                  <c:v>874041.79</c:v>
                </c:pt>
                <c:pt idx="4">
                  <c:v>1291902.3899999999</c:v>
                </c:pt>
              </c:numCache>
            </c:numRef>
          </c:val>
          <c:extLst>
            <c:ext xmlns:c16="http://schemas.microsoft.com/office/drawing/2014/chart" uri="{C3380CC4-5D6E-409C-BE32-E72D297353CC}">
              <c16:uniqueId val="{00000001-8E6C-44B7-B6A7-1C834E4CBCC4}"/>
            </c:ext>
          </c:extLst>
        </c:ser>
        <c:dLbls>
          <c:showLegendKey val="0"/>
          <c:showVal val="0"/>
          <c:showCatName val="0"/>
          <c:showSerName val="0"/>
          <c:showPercent val="0"/>
          <c:showBubbleSize val="0"/>
        </c:dLbls>
        <c:gapWidth val="219"/>
        <c:overlap val="-27"/>
        <c:axId val="480499648"/>
        <c:axId val="105614416"/>
      </c:barChart>
      <c:catAx>
        <c:axId val="48049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14416"/>
        <c:crosses val="autoZero"/>
        <c:auto val="1"/>
        <c:lblAlgn val="ctr"/>
        <c:lblOffset val="100"/>
        <c:noMultiLvlLbl val="0"/>
      </c:catAx>
      <c:valAx>
        <c:axId val="10561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499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P03 Q6 — Savings on items that came under BOQ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Dashboard'!$BB$90</c:f>
              <c:strCache>
                <c:ptCount val="1"/>
                <c:pt idx="0">
                  <c:v>Savings USD (items under BOQ)</c:v>
                </c:pt>
              </c:strCache>
            </c:strRef>
          </c:tx>
          <c:spPr>
            <a:solidFill>
              <a:schemeClr val="accent1"/>
            </a:solidFill>
            <a:ln>
              <a:noFill/>
            </a:ln>
            <a:effectLst/>
          </c:spPr>
          <c:invertIfNegative val="0"/>
          <c:cat>
            <c:strRef>
              <c:f>'Q&amp;A Chart Dashboard'!$BA$91:$BA$93</c:f>
              <c:strCache>
                <c:ptCount val="3"/>
                <c:pt idx="0">
                  <c:v>WT-DC-MUM-01</c:v>
                </c:pt>
                <c:pt idx="1">
                  <c:v>WT-OFF-SYD-02</c:v>
                </c:pt>
                <c:pt idx="2">
                  <c:v>WT-HOS-AKL-03</c:v>
                </c:pt>
              </c:strCache>
            </c:strRef>
          </c:cat>
          <c:val>
            <c:numRef>
              <c:f>'Q&amp;A Chart Dashboard'!$BB$91:$BB$93</c:f>
              <c:numCache>
                <c:formatCode>[$$-409]#,##0</c:formatCode>
                <c:ptCount val="3"/>
                <c:pt idx="0">
                  <c:v>-126377.68000000004</c:v>
                </c:pt>
                <c:pt idx="1">
                  <c:v>-51637.799999999988</c:v>
                </c:pt>
                <c:pt idx="2">
                  <c:v>-59886.689999999988</c:v>
                </c:pt>
              </c:numCache>
            </c:numRef>
          </c:val>
          <c:extLst>
            <c:ext xmlns:c16="http://schemas.microsoft.com/office/drawing/2014/chart" uri="{C3380CC4-5D6E-409C-BE32-E72D297353CC}">
              <c16:uniqueId val="{00000000-3D48-4043-BC08-578EEBBB7993}"/>
            </c:ext>
          </c:extLst>
        </c:ser>
        <c:dLbls>
          <c:showLegendKey val="0"/>
          <c:showVal val="0"/>
          <c:showCatName val="0"/>
          <c:showSerName val="0"/>
          <c:showPercent val="0"/>
          <c:showBubbleSize val="0"/>
        </c:dLbls>
        <c:gapWidth val="219"/>
        <c:overlap val="-27"/>
        <c:axId val="480514496"/>
        <c:axId val="105672016"/>
      </c:barChart>
      <c:catAx>
        <c:axId val="48051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72016"/>
        <c:crosses val="autoZero"/>
        <c:auto val="1"/>
        <c:lblAlgn val="ctr"/>
        <c:lblOffset val="100"/>
        <c:noMultiLvlLbl val="0"/>
      </c:catAx>
      <c:valAx>
        <c:axId val="105672016"/>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1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P04 Q1 — Avg productivity per man-hour by trade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report'!$B$214</c:f>
              <c:strCache>
                <c:ptCount val="1"/>
                <c:pt idx="0">
                  <c:v>Avg Productivity / man-hour</c:v>
                </c:pt>
              </c:strCache>
            </c:strRef>
          </c:tx>
          <c:spPr>
            <a:solidFill>
              <a:schemeClr val="accent1"/>
            </a:solidFill>
            <a:ln>
              <a:noFill/>
            </a:ln>
            <a:effectLst/>
          </c:spPr>
          <c:invertIfNegative val="0"/>
          <c:cat>
            <c:strRef>
              <c:f>'Analysis report'!$A$215:$A$220</c:f>
              <c:strCache>
                <c:ptCount val="6"/>
                <c:pt idx="0">
                  <c:v>Civil &amp; Structure</c:v>
                </c:pt>
                <c:pt idx="1">
                  <c:v>MEP - Electrical</c:v>
                </c:pt>
                <c:pt idx="2">
                  <c:v>MEP - Plumbing</c:v>
                </c:pt>
                <c:pt idx="3">
                  <c:v>MEP - HVAC</c:v>
                </c:pt>
                <c:pt idx="4">
                  <c:v>Facade &amp; Cladding</c:v>
                </c:pt>
                <c:pt idx="5">
                  <c:v>Interior Fit-out</c:v>
                </c:pt>
              </c:strCache>
            </c:strRef>
          </c:cat>
          <c:val>
            <c:numRef>
              <c:f>'Analysis report'!$B$215:$B$220</c:f>
              <c:numCache>
                <c:formatCode>0.00</c:formatCode>
                <c:ptCount val="6"/>
                <c:pt idx="0">
                  <c:v>3.5419657331959788</c:v>
                </c:pt>
                <c:pt idx="1">
                  <c:v>3.0066486427553256</c:v>
                </c:pt>
                <c:pt idx="2">
                  <c:v>2.233621400753854</c:v>
                </c:pt>
                <c:pt idx="3">
                  <c:v>2.8316314679449435</c:v>
                </c:pt>
                <c:pt idx="4">
                  <c:v>3.1030490430538764</c:v>
                </c:pt>
                <c:pt idx="5">
                  <c:v>3.4295886700845348</c:v>
                </c:pt>
              </c:numCache>
            </c:numRef>
          </c:val>
          <c:extLst>
            <c:ext xmlns:c16="http://schemas.microsoft.com/office/drawing/2014/chart" uri="{C3380CC4-5D6E-409C-BE32-E72D297353CC}">
              <c16:uniqueId val="{00000000-800B-4BBC-B935-C452D5CB49F9}"/>
            </c:ext>
          </c:extLst>
        </c:ser>
        <c:dLbls>
          <c:showLegendKey val="0"/>
          <c:showVal val="0"/>
          <c:showCatName val="0"/>
          <c:showSerName val="0"/>
          <c:showPercent val="0"/>
          <c:showBubbleSize val="0"/>
        </c:dLbls>
        <c:gapWidth val="219"/>
        <c:overlap val="-27"/>
        <c:axId val="480522384"/>
        <c:axId val="105589456"/>
      </c:barChart>
      <c:catAx>
        <c:axId val="48052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89456"/>
        <c:crosses val="autoZero"/>
        <c:auto val="1"/>
        <c:lblAlgn val="ctr"/>
        <c:lblOffset val="100"/>
        <c:noMultiLvlLbl val="0"/>
      </c:catAx>
      <c:valAx>
        <c:axId val="1055894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2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P04 Q2 — Avg productivity per man-hour by country</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Dashboard'!$BB$96</c:f>
              <c:strCache>
                <c:ptCount val="1"/>
                <c:pt idx="0">
                  <c:v>Avg productivity / man-hour</c:v>
                </c:pt>
              </c:strCache>
            </c:strRef>
          </c:tx>
          <c:spPr>
            <a:solidFill>
              <a:schemeClr val="accent1"/>
            </a:solidFill>
            <a:ln>
              <a:noFill/>
            </a:ln>
            <a:effectLst/>
          </c:spPr>
          <c:invertIfNegative val="0"/>
          <c:cat>
            <c:strRef>
              <c:f>'Q&amp;A Chart Dashboard'!$BA$97:$BA$99</c:f>
              <c:strCache>
                <c:ptCount val="3"/>
                <c:pt idx="0">
                  <c:v>India</c:v>
                </c:pt>
                <c:pt idx="1">
                  <c:v>Australia</c:v>
                </c:pt>
                <c:pt idx="2">
                  <c:v>New Zealand</c:v>
                </c:pt>
              </c:strCache>
            </c:strRef>
          </c:cat>
          <c:val>
            <c:numRef>
              <c:f>'Q&amp;A Chart Dashboard'!$BB$97:$BB$99</c:f>
              <c:numCache>
                <c:formatCode>0.00</c:formatCode>
                <c:ptCount val="3"/>
                <c:pt idx="0">
                  <c:v>3.2471035296527093</c:v>
                </c:pt>
                <c:pt idx="1">
                  <c:v>3.0498317018105663</c:v>
                </c:pt>
                <c:pt idx="2">
                  <c:v>2.5591891771520516</c:v>
                </c:pt>
              </c:numCache>
            </c:numRef>
          </c:val>
          <c:extLst>
            <c:ext xmlns:c16="http://schemas.microsoft.com/office/drawing/2014/chart" uri="{C3380CC4-5D6E-409C-BE32-E72D297353CC}">
              <c16:uniqueId val="{00000000-363D-4C95-A601-FED7D6F0B860}"/>
            </c:ext>
          </c:extLst>
        </c:ser>
        <c:dLbls>
          <c:showLegendKey val="0"/>
          <c:showVal val="0"/>
          <c:showCatName val="0"/>
          <c:showSerName val="0"/>
          <c:showPercent val="0"/>
          <c:showBubbleSize val="0"/>
        </c:dLbls>
        <c:gapWidth val="219"/>
        <c:overlap val="-27"/>
        <c:axId val="480522848"/>
        <c:axId val="105609616"/>
      </c:barChart>
      <c:catAx>
        <c:axId val="48052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09616"/>
        <c:crosses val="autoZero"/>
        <c:auto val="1"/>
        <c:lblAlgn val="ctr"/>
        <c:lblOffset val="100"/>
        <c:noMultiLvlLbl val="0"/>
      </c:catAx>
      <c:valAx>
        <c:axId val="105609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2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P04 Q3 — Productivity spread by trade — min / median / max / std dev</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report'!$B$232</c:f>
              <c:strCache>
                <c:ptCount val="1"/>
                <c:pt idx="0">
                  <c:v>Minimum</c:v>
                </c:pt>
              </c:strCache>
            </c:strRef>
          </c:tx>
          <c:spPr>
            <a:solidFill>
              <a:schemeClr val="accent1"/>
            </a:solidFill>
            <a:ln>
              <a:noFill/>
            </a:ln>
            <a:effectLst/>
          </c:spPr>
          <c:invertIfNegative val="0"/>
          <c:cat>
            <c:strRef>
              <c:f>'Analysis report'!$A$233:$A$238</c:f>
              <c:strCache>
                <c:ptCount val="6"/>
                <c:pt idx="0">
                  <c:v>Civil &amp; Structure</c:v>
                </c:pt>
                <c:pt idx="1">
                  <c:v>MEP - Electrical</c:v>
                </c:pt>
                <c:pt idx="2">
                  <c:v>MEP - Plumbing</c:v>
                </c:pt>
                <c:pt idx="3">
                  <c:v>MEP - HVAC</c:v>
                </c:pt>
                <c:pt idx="4">
                  <c:v>Facade &amp; Cladding</c:v>
                </c:pt>
                <c:pt idx="5">
                  <c:v>Interior Fit-out</c:v>
                </c:pt>
              </c:strCache>
            </c:strRef>
          </c:cat>
          <c:val>
            <c:numRef>
              <c:f>'Analysis report'!$B$233:$B$238</c:f>
              <c:numCache>
                <c:formatCode>0.00</c:formatCode>
                <c:ptCount val="6"/>
                <c:pt idx="0">
                  <c:v>0.32695035460992911</c:v>
                </c:pt>
                <c:pt idx="1">
                  <c:v>0.48567119155354455</c:v>
                </c:pt>
                <c:pt idx="2">
                  <c:v>0.27</c:v>
                </c:pt>
                <c:pt idx="3">
                  <c:v>0.52113271344040579</c:v>
                </c:pt>
                <c:pt idx="4">
                  <c:v>0.23240740740740742</c:v>
                </c:pt>
                <c:pt idx="5">
                  <c:v>1.3351254480286738</c:v>
                </c:pt>
              </c:numCache>
            </c:numRef>
          </c:val>
          <c:extLst>
            <c:ext xmlns:c16="http://schemas.microsoft.com/office/drawing/2014/chart" uri="{C3380CC4-5D6E-409C-BE32-E72D297353CC}">
              <c16:uniqueId val="{00000000-AB97-483F-A362-578C8E58CB23}"/>
            </c:ext>
          </c:extLst>
        </c:ser>
        <c:ser>
          <c:idx val="1"/>
          <c:order val="1"/>
          <c:tx>
            <c:strRef>
              <c:f>'Analysis report'!$C$232</c:f>
              <c:strCache>
                <c:ptCount val="1"/>
                <c:pt idx="0">
                  <c:v>Median</c:v>
                </c:pt>
              </c:strCache>
            </c:strRef>
          </c:tx>
          <c:spPr>
            <a:solidFill>
              <a:schemeClr val="accent2"/>
            </a:solidFill>
            <a:ln>
              <a:noFill/>
            </a:ln>
            <a:effectLst/>
          </c:spPr>
          <c:invertIfNegative val="0"/>
          <c:cat>
            <c:strRef>
              <c:f>'Analysis report'!$A$233:$A$238</c:f>
              <c:strCache>
                <c:ptCount val="6"/>
                <c:pt idx="0">
                  <c:v>Civil &amp; Structure</c:v>
                </c:pt>
                <c:pt idx="1">
                  <c:v>MEP - Electrical</c:v>
                </c:pt>
                <c:pt idx="2">
                  <c:v>MEP - Plumbing</c:v>
                </c:pt>
                <c:pt idx="3">
                  <c:v>MEP - HVAC</c:v>
                </c:pt>
                <c:pt idx="4">
                  <c:v>Facade &amp; Cladding</c:v>
                </c:pt>
                <c:pt idx="5">
                  <c:v>Interior Fit-out</c:v>
                </c:pt>
              </c:strCache>
            </c:strRef>
          </c:cat>
          <c:val>
            <c:numRef>
              <c:f>'Analysis report'!$C$233:$C$238</c:f>
              <c:numCache>
                <c:formatCode>0.00</c:formatCode>
                <c:ptCount val="6"/>
                <c:pt idx="0">
                  <c:v>3.9617918313570484</c:v>
                </c:pt>
                <c:pt idx="1">
                  <c:v>2.3250000000000002</c:v>
                </c:pt>
                <c:pt idx="2">
                  <c:v>1.7284217100422634</c:v>
                </c:pt>
                <c:pt idx="3">
                  <c:v>2.9683878194630884</c:v>
                </c:pt>
                <c:pt idx="4">
                  <c:v>3.3027950310559007</c:v>
                </c:pt>
                <c:pt idx="5">
                  <c:v>3.4834586466165414</c:v>
                </c:pt>
              </c:numCache>
            </c:numRef>
          </c:val>
          <c:extLst>
            <c:ext xmlns:c16="http://schemas.microsoft.com/office/drawing/2014/chart" uri="{C3380CC4-5D6E-409C-BE32-E72D297353CC}">
              <c16:uniqueId val="{00000001-AB97-483F-A362-578C8E58CB23}"/>
            </c:ext>
          </c:extLst>
        </c:ser>
        <c:ser>
          <c:idx val="2"/>
          <c:order val="2"/>
          <c:tx>
            <c:strRef>
              <c:f>'Analysis report'!$D$232</c:f>
              <c:strCache>
                <c:ptCount val="1"/>
                <c:pt idx="0">
                  <c:v>Maximum</c:v>
                </c:pt>
              </c:strCache>
            </c:strRef>
          </c:tx>
          <c:spPr>
            <a:solidFill>
              <a:schemeClr val="accent3"/>
            </a:solidFill>
            <a:ln>
              <a:noFill/>
            </a:ln>
            <a:effectLst/>
          </c:spPr>
          <c:invertIfNegative val="0"/>
          <c:cat>
            <c:strRef>
              <c:f>'Analysis report'!$A$233:$A$238</c:f>
              <c:strCache>
                <c:ptCount val="6"/>
                <c:pt idx="0">
                  <c:v>Civil &amp; Structure</c:v>
                </c:pt>
                <c:pt idx="1">
                  <c:v>MEP - Electrical</c:v>
                </c:pt>
                <c:pt idx="2">
                  <c:v>MEP - Plumbing</c:v>
                </c:pt>
                <c:pt idx="3">
                  <c:v>MEP - HVAC</c:v>
                </c:pt>
                <c:pt idx="4">
                  <c:v>Facade &amp; Cladding</c:v>
                </c:pt>
                <c:pt idx="5">
                  <c:v>Interior Fit-out</c:v>
                </c:pt>
              </c:strCache>
            </c:strRef>
          </c:cat>
          <c:val>
            <c:numRef>
              <c:f>'Analysis report'!$D$233:$D$238</c:f>
              <c:numCache>
                <c:formatCode>0.00</c:formatCode>
                <c:ptCount val="6"/>
                <c:pt idx="0">
                  <c:v>7.0794029850746263</c:v>
                </c:pt>
                <c:pt idx="1">
                  <c:v>6.6490541422048279</c:v>
                </c:pt>
                <c:pt idx="2">
                  <c:v>5.1778872468527641</c:v>
                </c:pt>
                <c:pt idx="3">
                  <c:v>4.2199095022624435</c:v>
                </c:pt>
                <c:pt idx="4">
                  <c:v>5.7642543859649136</c:v>
                </c:pt>
                <c:pt idx="5">
                  <c:v>5.7540322580645151</c:v>
                </c:pt>
              </c:numCache>
            </c:numRef>
          </c:val>
          <c:extLst>
            <c:ext xmlns:c16="http://schemas.microsoft.com/office/drawing/2014/chart" uri="{C3380CC4-5D6E-409C-BE32-E72D297353CC}">
              <c16:uniqueId val="{00000002-AB97-483F-A362-578C8E58CB23}"/>
            </c:ext>
          </c:extLst>
        </c:ser>
        <c:ser>
          <c:idx val="3"/>
          <c:order val="3"/>
          <c:tx>
            <c:strRef>
              <c:f>'Analysis report'!$E$232</c:f>
              <c:strCache>
                <c:ptCount val="1"/>
                <c:pt idx="0">
                  <c:v>Std Deviation</c:v>
                </c:pt>
              </c:strCache>
            </c:strRef>
          </c:tx>
          <c:spPr>
            <a:solidFill>
              <a:schemeClr val="accent4"/>
            </a:solidFill>
            <a:ln>
              <a:noFill/>
            </a:ln>
            <a:effectLst/>
          </c:spPr>
          <c:invertIfNegative val="0"/>
          <c:cat>
            <c:strRef>
              <c:f>'Analysis report'!$A$233:$A$238</c:f>
              <c:strCache>
                <c:ptCount val="6"/>
                <c:pt idx="0">
                  <c:v>Civil &amp; Structure</c:v>
                </c:pt>
                <c:pt idx="1">
                  <c:v>MEP - Electrical</c:v>
                </c:pt>
                <c:pt idx="2">
                  <c:v>MEP - Plumbing</c:v>
                </c:pt>
                <c:pt idx="3">
                  <c:v>MEP - HVAC</c:v>
                </c:pt>
                <c:pt idx="4">
                  <c:v>Facade &amp; Cladding</c:v>
                </c:pt>
                <c:pt idx="5">
                  <c:v>Interior Fit-out</c:v>
                </c:pt>
              </c:strCache>
            </c:strRef>
          </c:cat>
          <c:val>
            <c:numRef>
              <c:f>'Analysis report'!$E$233:$E$238</c:f>
              <c:numCache>
                <c:formatCode>0.00</c:formatCode>
                <c:ptCount val="6"/>
                <c:pt idx="0">
                  <c:v>1.9964981291701234</c:v>
                </c:pt>
                <c:pt idx="1">
                  <c:v>1.9614250683160221</c:v>
                </c:pt>
                <c:pt idx="2">
                  <c:v>1.5879864703220927</c:v>
                </c:pt>
                <c:pt idx="3">
                  <c:v>1.128213604097376</c:v>
                </c:pt>
                <c:pt idx="4">
                  <c:v>1.8013443899464197</c:v>
                </c:pt>
                <c:pt idx="5">
                  <c:v>1.4766187511449393</c:v>
                </c:pt>
              </c:numCache>
            </c:numRef>
          </c:val>
          <c:extLst>
            <c:ext xmlns:c16="http://schemas.microsoft.com/office/drawing/2014/chart" uri="{C3380CC4-5D6E-409C-BE32-E72D297353CC}">
              <c16:uniqueId val="{00000003-AB97-483F-A362-578C8E58CB23}"/>
            </c:ext>
          </c:extLst>
        </c:ser>
        <c:dLbls>
          <c:showLegendKey val="0"/>
          <c:showVal val="0"/>
          <c:showCatName val="0"/>
          <c:showSerName val="0"/>
          <c:showPercent val="0"/>
          <c:showBubbleSize val="0"/>
        </c:dLbls>
        <c:gapWidth val="219"/>
        <c:overlap val="-27"/>
        <c:axId val="480540016"/>
        <c:axId val="105636976"/>
      </c:barChart>
      <c:catAx>
        <c:axId val="48054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36976"/>
        <c:crosses val="autoZero"/>
        <c:auto val="1"/>
        <c:lblAlgn val="ctr"/>
        <c:lblOffset val="100"/>
        <c:noMultiLvlLbl val="0"/>
      </c:catAx>
      <c:valAx>
        <c:axId val="105636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40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P04 Q4 — 10 lowest productivity days (P25 = 1.50)</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'Q&amp;A Chart Dashboard'!$BB$102</c:f>
              <c:strCache>
                <c:ptCount val="1"/>
                <c:pt idx="0">
                  <c:v>Productivity / man-hour</c:v>
                </c:pt>
              </c:strCache>
            </c:strRef>
          </c:tx>
          <c:spPr>
            <a:solidFill>
              <a:schemeClr val="accent1"/>
            </a:solidFill>
            <a:ln>
              <a:noFill/>
            </a:ln>
            <a:effectLst/>
          </c:spPr>
          <c:invertIfNegative val="0"/>
          <c:cat>
            <c:strRef>
              <c:f>'Q&amp;A Chart Dashboard'!$BA$103:$BA$112</c:f>
              <c:strCache>
                <c:ptCount val="10"/>
                <c:pt idx="0">
                  <c:v>08-Jan-25 · Facade &amp; Cladding</c:v>
                </c:pt>
                <c:pt idx="1">
                  <c:v>21-Jan-25 · MEP - Plumbing</c:v>
                </c:pt>
                <c:pt idx="2">
                  <c:v>09-May-25 · Civil &amp; Structure</c:v>
                </c:pt>
                <c:pt idx="3">
                  <c:v>01-Apr-25 · MEP - Electrical</c:v>
                </c:pt>
                <c:pt idx="4">
                  <c:v>21-Mar-25 · MEP - HVAC</c:v>
                </c:pt>
                <c:pt idx="5">
                  <c:v>16-May-25 · MEP - Plumbing</c:v>
                </c:pt>
                <c:pt idx="6">
                  <c:v>17-Jan-25 · Facade &amp; Cladding</c:v>
                </c:pt>
                <c:pt idx="7">
                  <c:v>08-Jan-25 · MEP - Plumbing</c:v>
                </c:pt>
                <c:pt idx="8">
                  <c:v>27-Feb-25 · MEP - Plumbing</c:v>
                </c:pt>
                <c:pt idx="9">
                  <c:v>17-Apr-25 · MEP - Plumbing</c:v>
                </c:pt>
              </c:strCache>
            </c:strRef>
          </c:cat>
          <c:val>
            <c:numRef>
              <c:f>'Q&amp;A Chart Dashboard'!$BB$103:$BB$112</c:f>
              <c:numCache>
                <c:formatCode>0.00</c:formatCode>
                <c:ptCount val="10"/>
                <c:pt idx="0">
                  <c:v>0.23240740740740742</c:v>
                </c:pt>
                <c:pt idx="1">
                  <c:v>0.27</c:v>
                </c:pt>
                <c:pt idx="2">
                  <c:v>0.32695035460992911</c:v>
                </c:pt>
                <c:pt idx="3">
                  <c:v>0.48567119155354455</c:v>
                </c:pt>
                <c:pt idx="4">
                  <c:v>0.52113271344040579</c:v>
                </c:pt>
                <c:pt idx="5">
                  <c:v>0.69755469755469757</c:v>
                </c:pt>
                <c:pt idx="6">
                  <c:v>0.78100775193798455</c:v>
                </c:pt>
                <c:pt idx="7">
                  <c:v>0.81688311688311688</c:v>
                </c:pt>
                <c:pt idx="8">
                  <c:v>0.99321705426356599</c:v>
                </c:pt>
                <c:pt idx="9">
                  <c:v>1.0365384615384614</c:v>
                </c:pt>
              </c:numCache>
            </c:numRef>
          </c:val>
          <c:extLst>
            <c:ext xmlns:c16="http://schemas.microsoft.com/office/drawing/2014/chart" uri="{C3380CC4-5D6E-409C-BE32-E72D297353CC}">
              <c16:uniqueId val="{00000000-8556-464D-8CA6-F4A03615584C}"/>
            </c:ext>
          </c:extLst>
        </c:ser>
        <c:dLbls>
          <c:showLegendKey val="0"/>
          <c:showVal val="0"/>
          <c:showCatName val="0"/>
          <c:showSerName val="0"/>
          <c:showPercent val="0"/>
          <c:showBubbleSize val="0"/>
        </c:dLbls>
        <c:gapWidth val="182"/>
        <c:axId val="480555792"/>
        <c:axId val="105681136"/>
      </c:barChart>
      <c:catAx>
        <c:axId val="48055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81136"/>
        <c:crosses val="autoZero"/>
        <c:auto val="1"/>
        <c:lblAlgn val="ctr"/>
        <c:lblOffset val="100"/>
        <c:noMultiLvlLbl val="0"/>
      </c:catAx>
      <c:valAx>
        <c:axId val="1056811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5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P04 Q5 — Civil &amp; Structure — productivity by crew size band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Dashboard'!$BB$115:$BB$116</c:f>
              <c:strCache>
                <c:ptCount val="2"/>
                <c:pt idx="0">
                  <c:v>Avg productivity / man-hour</c:v>
                </c:pt>
                <c:pt idx="1">
                  <c:v>-</c:v>
                </c:pt>
              </c:strCache>
            </c:strRef>
          </c:tx>
          <c:spPr>
            <a:solidFill>
              <a:schemeClr val="accent1"/>
            </a:solidFill>
            <a:ln>
              <a:noFill/>
            </a:ln>
            <a:effectLst/>
          </c:spPr>
          <c:invertIfNegative val="0"/>
          <c:cat>
            <c:strRef>
              <c:f>'Q&amp;A Chart Dashboard'!$BA$117:$BA$119</c:f>
              <c:strCache>
                <c:ptCount val="3"/>
                <c:pt idx="0">
                  <c:v>Medium crew (11 to 15)</c:v>
                </c:pt>
                <c:pt idx="1">
                  <c:v>Large crew (16 to 20)</c:v>
                </c:pt>
                <c:pt idx="2">
                  <c:v>Very large crew (21+)</c:v>
                </c:pt>
              </c:strCache>
            </c:strRef>
          </c:cat>
          <c:val>
            <c:numRef>
              <c:f>'Q&amp;A Chart Dashboard'!$BB$117:$BB$119</c:f>
              <c:numCache>
                <c:formatCode>0.00</c:formatCode>
                <c:ptCount val="3"/>
                <c:pt idx="0">
                  <c:v>4.1639752772018213</c:v>
                </c:pt>
                <c:pt idx="1">
                  <c:v>2.6779220779220778</c:v>
                </c:pt>
                <c:pt idx="2">
                  <c:v>3.2211080096595071</c:v>
                </c:pt>
              </c:numCache>
            </c:numRef>
          </c:val>
          <c:extLst>
            <c:ext xmlns:c16="http://schemas.microsoft.com/office/drawing/2014/chart" uri="{C3380CC4-5D6E-409C-BE32-E72D297353CC}">
              <c16:uniqueId val="{00000000-C9B3-402E-B5A9-507F9DA1A5EB}"/>
            </c:ext>
          </c:extLst>
        </c:ser>
        <c:dLbls>
          <c:showLegendKey val="0"/>
          <c:showVal val="0"/>
          <c:showCatName val="0"/>
          <c:showSerName val="0"/>
          <c:showPercent val="0"/>
          <c:showBubbleSize val="0"/>
        </c:dLbls>
        <c:gapWidth val="219"/>
        <c:overlap val="-27"/>
        <c:axId val="480578528"/>
        <c:axId val="105591376"/>
      </c:barChart>
      <c:catAx>
        <c:axId val="48057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91376"/>
        <c:crosses val="autoZero"/>
        <c:auto val="1"/>
        <c:lblAlgn val="ctr"/>
        <c:lblOffset val="100"/>
        <c:noMultiLvlLbl val="0"/>
      </c:catAx>
      <c:valAx>
        <c:axId val="1055913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7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P04 Q6 — Total man-hours consumed by project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report'!$C$265</c:f>
              <c:strCache>
                <c:ptCount val="1"/>
                <c:pt idx="0">
                  <c:v>Total Man-hours</c:v>
                </c:pt>
              </c:strCache>
            </c:strRef>
          </c:tx>
          <c:spPr>
            <a:solidFill>
              <a:schemeClr val="accent1"/>
            </a:solidFill>
            <a:ln>
              <a:noFill/>
            </a:ln>
            <a:effectLst/>
          </c:spPr>
          <c:invertIfNegative val="0"/>
          <c:cat>
            <c:strRef>
              <c:f>'Analysis report'!$B$266:$B$269</c:f>
              <c:strCache>
                <c:ptCount val="4"/>
                <c:pt idx="0">
                  <c:v>WT-DC-MUM-01</c:v>
                </c:pt>
                <c:pt idx="1">
                  <c:v>WT-HOS-AKL-03</c:v>
                </c:pt>
                <c:pt idx="2">
                  <c:v>WT-ITP-BLR-04</c:v>
                </c:pt>
                <c:pt idx="3">
                  <c:v>WT-OFF-SYD-02</c:v>
                </c:pt>
              </c:strCache>
            </c:strRef>
          </c:cat>
          <c:val>
            <c:numRef>
              <c:f>'Analysis report'!$C$266:$C$269</c:f>
              <c:numCache>
                <c:formatCode>#,##0</c:formatCode>
                <c:ptCount val="4"/>
                <c:pt idx="0">
                  <c:v>4631.0999999999985</c:v>
                </c:pt>
                <c:pt idx="1">
                  <c:v>4100.8999999999996</c:v>
                </c:pt>
                <c:pt idx="2">
                  <c:v>3508.6</c:v>
                </c:pt>
                <c:pt idx="3">
                  <c:v>3201.0000000000005</c:v>
                </c:pt>
              </c:numCache>
            </c:numRef>
          </c:val>
          <c:extLst>
            <c:ext xmlns:c16="http://schemas.microsoft.com/office/drawing/2014/chart" uri="{C3380CC4-5D6E-409C-BE32-E72D297353CC}">
              <c16:uniqueId val="{00000000-A4E5-4DEF-A761-F6FBC8BE5F2A}"/>
            </c:ext>
          </c:extLst>
        </c:ser>
        <c:dLbls>
          <c:showLegendKey val="0"/>
          <c:showVal val="0"/>
          <c:showCatName val="0"/>
          <c:showSerName val="0"/>
          <c:showPercent val="0"/>
          <c:showBubbleSize val="0"/>
        </c:dLbls>
        <c:gapWidth val="219"/>
        <c:overlap val="-27"/>
        <c:axId val="480644416"/>
        <c:axId val="105598096"/>
      </c:barChart>
      <c:catAx>
        <c:axId val="48064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98096"/>
        <c:crosses val="autoZero"/>
        <c:auto val="1"/>
        <c:lblAlgn val="ctr"/>
        <c:lblOffset val="100"/>
        <c:noMultiLvlLbl val="0"/>
      </c:catAx>
      <c:valAx>
        <c:axId val="105598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64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P05 Q1 — Lowest bid vs highest-scored bid per package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Dashboard'!$BB$122</c:f>
              <c:strCache>
                <c:ptCount val="1"/>
                <c:pt idx="0">
                  <c:v>Lowest bid USD</c:v>
                </c:pt>
              </c:strCache>
            </c:strRef>
          </c:tx>
          <c:spPr>
            <a:solidFill>
              <a:schemeClr val="accent1"/>
            </a:solidFill>
            <a:ln>
              <a:noFill/>
            </a:ln>
            <a:effectLst/>
          </c:spPr>
          <c:invertIfNegative val="0"/>
          <c:cat>
            <c:strRef>
              <c:f>'Q&amp;A Chart Dashboard'!$BA$123:$BA$127</c:f>
              <c:strCache>
                <c:ptCount val="5"/>
                <c:pt idx="0">
                  <c:v>Structural Works</c:v>
                </c:pt>
                <c:pt idx="1">
                  <c:v>MEP Package</c:v>
                </c:pt>
                <c:pt idx="2">
                  <c:v>Facade &amp; Glazing</c:v>
                </c:pt>
                <c:pt idx="3">
                  <c:v>Interior Fit-out</c:v>
                </c:pt>
                <c:pt idx="4">
                  <c:v>Landscaping</c:v>
                </c:pt>
              </c:strCache>
            </c:strRef>
          </c:cat>
          <c:val>
            <c:numRef>
              <c:f>'Q&amp;A Chart Dashboard'!$BB$123:$BB$127</c:f>
              <c:numCache>
                <c:formatCode>[$$-409]#,##0</c:formatCode>
                <c:ptCount val="5"/>
                <c:pt idx="0">
                  <c:v>3366658</c:v>
                </c:pt>
                <c:pt idx="1">
                  <c:v>1360585</c:v>
                </c:pt>
                <c:pt idx="2">
                  <c:v>2916771</c:v>
                </c:pt>
                <c:pt idx="3">
                  <c:v>1631225</c:v>
                </c:pt>
                <c:pt idx="4">
                  <c:v>855300</c:v>
                </c:pt>
              </c:numCache>
            </c:numRef>
          </c:val>
          <c:extLst>
            <c:ext xmlns:c16="http://schemas.microsoft.com/office/drawing/2014/chart" uri="{C3380CC4-5D6E-409C-BE32-E72D297353CC}">
              <c16:uniqueId val="{00000000-5FD0-4E65-BBB8-7DBB39E3D89D}"/>
            </c:ext>
          </c:extLst>
        </c:ser>
        <c:ser>
          <c:idx val="1"/>
          <c:order val="1"/>
          <c:tx>
            <c:strRef>
              <c:f>'Q&amp;A Chart Dashboard'!$BC$122</c:f>
              <c:strCache>
                <c:ptCount val="1"/>
                <c:pt idx="0">
                  <c:v>Bid of highest-scored USD</c:v>
                </c:pt>
              </c:strCache>
            </c:strRef>
          </c:tx>
          <c:spPr>
            <a:solidFill>
              <a:schemeClr val="accent2"/>
            </a:solidFill>
            <a:ln>
              <a:noFill/>
            </a:ln>
            <a:effectLst/>
          </c:spPr>
          <c:invertIfNegative val="0"/>
          <c:cat>
            <c:strRef>
              <c:f>'Q&amp;A Chart Dashboard'!$BA$123:$BA$127</c:f>
              <c:strCache>
                <c:ptCount val="5"/>
                <c:pt idx="0">
                  <c:v>Structural Works</c:v>
                </c:pt>
                <c:pt idx="1">
                  <c:v>MEP Package</c:v>
                </c:pt>
                <c:pt idx="2">
                  <c:v>Facade &amp; Glazing</c:v>
                </c:pt>
                <c:pt idx="3">
                  <c:v>Interior Fit-out</c:v>
                </c:pt>
                <c:pt idx="4">
                  <c:v>Landscaping</c:v>
                </c:pt>
              </c:strCache>
            </c:strRef>
          </c:cat>
          <c:val>
            <c:numRef>
              <c:f>'Q&amp;A Chart Dashboard'!$BC$123:$BC$127</c:f>
              <c:numCache>
                <c:formatCode>[$$-409]#,##0</c:formatCode>
                <c:ptCount val="5"/>
                <c:pt idx="0">
                  <c:v>4226208</c:v>
                </c:pt>
                <c:pt idx="1">
                  <c:v>1664277</c:v>
                </c:pt>
                <c:pt idx="2">
                  <c:v>3339940</c:v>
                </c:pt>
                <c:pt idx="3">
                  <c:v>1631225</c:v>
                </c:pt>
                <c:pt idx="4">
                  <c:v>855300</c:v>
                </c:pt>
              </c:numCache>
            </c:numRef>
          </c:val>
          <c:extLst>
            <c:ext xmlns:c16="http://schemas.microsoft.com/office/drawing/2014/chart" uri="{C3380CC4-5D6E-409C-BE32-E72D297353CC}">
              <c16:uniqueId val="{00000001-5FD0-4E65-BBB8-7DBB39E3D89D}"/>
            </c:ext>
          </c:extLst>
        </c:ser>
        <c:dLbls>
          <c:showLegendKey val="0"/>
          <c:showVal val="0"/>
          <c:showCatName val="0"/>
          <c:showSerName val="0"/>
          <c:showPercent val="0"/>
          <c:showBubbleSize val="0"/>
        </c:dLbls>
        <c:gapWidth val="219"/>
        <c:overlap val="-27"/>
        <c:axId val="480656480"/>
        <c:axId val="105633136"/>
      </c:barChart>
      <c:catAx>
        <c:axId val="48065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33136"/>
        <c:crosses val="autoZero"/>
        <c:auto val="1"/>
        <c:lblAlgn val="ctr"/>
        <c:lblOffset val="100"/>
        <c:noMultiLvlLbl val="0"/>
      </c:catAx>
      <c:valAx>
        <c:axId val="10563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656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P05 Q2 — Best vs worst weighted score per package (0-100)</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Dashboard'!$BB$130</c:f>
              <c:strCache>
                <c:ptCount val="1"/>
                <c:pt idx="0">
                  <c:v>Best weighted score</c:v>
                </c:pt>
              </c:strCache>
            </c:strRef>
          </c:tx>
          <c:spPr>
            <a:solidFill>
              <a:schemeClr val="accent1"/>
            </a:solidFill>
            <a:ln>
              <a:noFill/>
            </a:ln>
            <a:effectLst/>
          </c:spPr>
          <c:invertIfNegative val="0"/>
          <c:cat>
            <c:strRef>
              <c:f>'Q&amp;A Chart Dashboard'!$BA$131:$BA$135</c:f>
              <c:strCache>
                <c:ptCount val="5"/>
                <c:pt idx="0">
                  <c:v>Structural Works</c:v>
                </c:pt>
                <c:pt idx="1">
                  <c:v>MEP Package</c:v>
                </c:pt>
                <c:pt idx="2">
                  <c:v>Facade &amp; Glazing</c:v>
                </c:pt>
                <c:pt idx="3">
                  <c:v>Interior Fit-out</c:v>
                </c:pt>
                <c:pt idx="4">
                  <c:v>Landscaping</c:v>
                </c:pt>
              </c:strCache>
            </c:strRef>
          </c:cat>
          <c:val>
            <c:numRef>
              <c:f>'Q&amp;A Chart Dashboard'!$BB$131:$BB$135</c:f>
              <c:numCache>
                <c:formatCode>0.0</c:formatCode>
                <c:ptCount val="5"/>
                <c:pt idx="0">
                  <c:v>80.427074578440056</c:v>
                </c:pt>
                <c:pt idx="1">
                  <c:v>65.287717645775871</c:v>
                </c:pt>
                <c:pt idx="2">
                  <c:v>76.768224932674158</c:v>
                </c:pt>
                <c:pt idx="3">
                  <c:v>91.286225739589227</c:v>
                </c:pt>
                <c:pt idx="4">
                  <c:v>81.635635635635651</c:v>
                </c:pt>
              </c:numCache>
            </c:numRef>
          </c:val>
          <c:extLst>
            <c:ext xmlns:c16="http://schemas.microsoft.com/office/drawing/2014/chart" uri="{C3380CC4-5D6E-409C-BE32-E72D297353CC}">
              <c16:uniqueId val="{00000000-C0AF-48E7-AD8C-685657B98A5F}"/>
            </c:ext>
          </c:extLst>
        </c:ser>
        <c:ser>
          <c:idx val="1"/>
          <c:order val="1"/>
          <c:tx>
            <c:strRef>
              <c:f>'Q&amp;A Chart Dashboard'!$BC$130</c:f>
              <c:strCache>
                <c:ptCount val="1"/>
                <c:pt idx="0">
                  <c:v>Worst weighted score</c:v>
                </c:pt>
              </c:strCache>
            </c:strRef>
          </c:tx>
          <c:spPr>
            <a:solidFill>
              <a:schemeClr val="accent2"/>
            </a:solidFill>
            <a:ln>
              <a:noFill/>
            </a:ln>
            <a:effectLst/>
          </c:spPr>
          <c:invertIfNegative val="0"/>
          <c:cat>
            <c:strRef>
              <c:f>'Q&amp;A Chart Dashboard'!$BA$131:$BA$135</c:f>
              <c:strCache>
                <c:ptCount val="5"/>
                <c:pt idx="0">
                  <c:v>Structural Works</c:v>
                </c:pt>
                <c:pt idx="1">
                  <c:v>MEP Package</c:v>
                </c:pt>
                <c:pt idx="2">
                  <c:v>Facade &amp; Glazing</c:v>
                </c:pt>
                <c:pt idx="3">
                  <c:v>Interior Fit-out</c:v>
                </c:pt>
                <c:pt idx="4">
                  <c:v>Landscaping</c:v>
                </c:pt>
              </c:strCache>
            </c:strRef>
          </c:cat>
          <c:val>
            <c:numRef>
              <c:f>'Q&amp;A Chart Dashboard'!$BC$131:$BC$135</c:f>
              <c:numCache>
                <c:formatCode>0.0</c:formatCode>
                <c:ptCount val="5"/>
                <c:pt idx="0">
                  <c:v>45.542166984867876</c:v>
                </c:pt>
                <c:pt idx="1">
                  <c:v>34.322282918037232</c:v>
                </c:pt>
                <c:pt idx="2">
                  <c:v>57.706621958533447</c:v>
                </c:pt>
                <c:pt idx="3">
                  <c:v>36.843157371343821</c:v>
                </c:pt>
                <c:pt idx="4">
                  <c:v>40.417512739721154</c:v>
                </c:pt>
              </c:numCache>
            </c:numRef>
          </c:val>
          <c:extLst>
            <c:ext xmlns:c16="http://schemas.microsoft.com/office/drawing/2014/chart" uri="{C3380CC4-5D6E-409C-BE32-E72D297353CC}">
              <c16:uniqueId val="{00000001-C0AF-48E7-AD8C-685657B98A5F}"/>
            </c:ext>
          </c:extLst>
        </c:ser>
        <c:dLbls>
          <c:showLegendKey val="0"/>
          <c:showVal val="0"/>
          <c:showCatName val="0"/>
          <c:showSerName val="0"/>
          <c:showPercent val="0"/>
          <c:showBubbleSize val="0"/>
        </c:dLbls>
        <c:gapWidth val="219"/>
        <c:overlap val="-27"/>
        <c:axId val="480675504"/>
        <c:axId val="105574096"/>
      </c:barChart>
      <c:catAx>
        <c:axId val="48067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74096"/>
        <c:crosses val="autoZero"/>
        <c:auto val="1"/>
        <c:lblAlgn val="ctr"/>
        <c:lblOffset val="100"/>
        <c:noMultiLvlLbl val="0"/>
      </c:catAx>
      <c:valAx>
        <c:axId val="1055740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67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P05 Q3 — Multi-package contractors — bids and competitiveness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Dashboard'!$BB$138</c:f>
              <c:strCache>
                <c:ptCount val="1"/>
                <c:pt idx="0">
                  <c:v>Bids submitted</c:v>
                </c:pt>
              </c:strCache>
            </c:strRef>
          </c:tx>
          <c:spPr>
            <a:solidFill>
              <a:schemeClr val="accent1"/>
            </a:solidFill>
            <a:ln>
              <a:noFill/>
            </a:ln>
            <a:effectLst/>
          </c:spPr>
          <c:invertIfNegative val="0"/>
          <c:cat>
            <c:strRef>
              <c:f>'Q&amp;A Chart Dashboard'!$BA$139:$BA$151</c:f>
              <c:strCache>
                <c:ptCount val="13"/>
                <c:pt idx="0">
                  <c:v>Contractor-A</c:v>
                </c:pt>
                <c:pt idx="1">
                  <c:v>Contractor-B</c:v>
                </c:pt>
                <c:pt idx="2">
                  <c:v>Contractor-D</c:v>
                </c:pt>
                <c:pt idx="3">
                  <c:v>Contractor-E</c:v>
                </c:pt>
                <c:pt idx="4">
                  <c:v>Contractor-F</c:v>
                </c:pt>
                <c:pt idx="5">
                  <c:v>Contractor-H</c:v>
                </c:pt>
                <c:pt idx="6">
                  <c:v>Contractor-I</c:v>
                </c:pt>
                <c:pt idx="7">
                  <c:v>Contractor-J</c:v>
                </c:pt>
                <c:pt idx="8">
                  <c:v>Contractor-K</c:v>
                </c:pt>
                <c:pt idx="9">
                  <c:v>Contractor-L</c:v>
                </c:pt>
                <c:pt idx="10">
                  <c:v>Contractor-M</c:v>
                </c:pt>
                <c:pt idx="11">
                  <c:v>Contractor-N</c:v>
                </c:pt>
                <c:pt idx="12">
                  <c:v>Contractor-O</c:v>
                </c:pt>
              </c:strCache>
            </c:strRef>
          </c:cat>
          <c:val>
            <c:numRef>
              <c:f>'Q&amp;A Chart Dashboard'!$BB$139:$BB$151</c:f>
              <c:numCache>
                <c:formatCode>0</c:formatCode>
                <c:ptCount val="13"/>
                <c:pt idx="0">
                  <c:v>4</c:v>
                </c:pt>
                <c:pt idx="1">
                  <c:v>2</c:v>
                </c:pt>
                <c:pt idx="2">
                  <c:v>6</c:v>
                </c:pt>
                <c:pt idx="3">
                  <c:v>2</c:v>
                </c:pt>
                <c:pt idx="4">
                  <c:v>3</c:v>
                </c:pt>
                <c:pt idx="5">
                  <c:v>3</c:v>
                </c:pt>
                <c:pt idx="6">
                  <c:v>2</c:v>
                </c:pt>
                <c:pt idx="7">
                  <c:v>2</c:v>
                </c:pt>
                <c:pt idx="8">
                  <c:v>3</c:v>
                </c:pt>
                <c:pt idx="9">
                  <c:v>1</c:v>
                </c:pt>
                <c:pt idx="10">
                  <c:v>3</c:v>
                </c:pt>
                <c:pt idx="11">
                  <c:v>5</c:v>
                </c:pt>
                <c:pt idx="12">
                  <c:v>4</c:v>
                </c:pt>
              </c:numCache>
            </c:numRef>
          </c:val>
          <c:extLst>
            <c:ext xmlns:c16="http://schemas.microsoft.com/office/drawing/2014/chart" uri="{C3380CC4-5D6E-409C-BE32-E72D297353CC}">
              <c16:uniqueId val="{00000000-981A-4867-9F7E-438F3CE58250}"/>
            </c:ext>
          </c:extLst>
        </c:ser>
        <c:ser>
          <c:idx val="1"/>
          <c:order val="1"/>
          <c:tx>
            <c:strRef>
              <c:f>'Q&amp;A Chart Dashboard'!$BC$138</c:f>
              <c:strCache>
                <c:ptCount val="1"/>
                <c:pt idx="0">
                  <c:v>Avg bid ÷ lowest bid</c:v>
                </c:pt>
              </c:strCache>
            </c:strRef>
          </c:tx>
          <c:spPr>
            <a:solidFill>
              <a:schemeClr val="accent2"/>
            </a:solidFill>
            <a:ln>
              <a:noFill/>
            </a:ln>
            <a:effectLst/>
          </c:spPr>
          <c:invertIfNegative val="0"/>
          <c:cat>
            <c:strRef>
              <c:f>'Q&amp;A Chart Dashboard'!$BA$139:$BA$151</c:f>
              <c:strCache>
                <c:ptCount val="13"/>
                <c:pt idx="0">
                  <c:v>Contractor-A</c:v>
                </c:pt>
                <c:pt idx="1">
                  <c:v>Contractor-B</c:v>
                </c:pt>
                <c:pt idx="2">
                  <c:v>Contractor-D</c:v>
                </c:pt>
                <c:pt idx="3">
                  <c:v>Contractor-E</c:v>
                </c:pt>
                <c:pt idx="4">
                  <c:v>Contractor-F</c:v>
                </c:pt>
                <c:pt idx="5">
                  <c:v>Contractor-H</c:v>
                </c:pt>
                <c:pt idx="6">
                  <c:v>Contractor-I</c:v>
                </c:pt>
                <c:pt idx="7">
                  <c:v>Contractor-J</c:v>
                </c:pt>
                <c:pt idx="8">
                  <c:v>Contractor-K</c:v>
                </c:pt>
                <c:pt idx="9">
                  <c:v>Contractor-L</c:v>
                </c:pt>
                <c:pt idx="10">
                  <c:v>Contractor-M</c:v>
                </c:pt>
                <c:pt idx="11">
                  <c:v>Contractor-N</c:v>
                </c:pt>
                <c:pt idx="12">
                  <c:v>Contractor-O</c:v>
                </c:pt>
              </c:strCache>
            </c:strRef>
          </c:cat>
          <c:val>
            <c:numRef>
              <c:f>'Q&amp;A Chart Dashboard'!$BC$139:$BC$151</c:f>
              <c:numCache>
                <c:formatCode>0.00</c:formatCode>
                <c:ptCount val="13"/>
                <c:pt idx="0">
                  <c:v>2.3695393891940983</c:v>
                </c:pt>
                <c:pt idx="1">
                  <c:v>2.1816778421998109</c:v>
                </c:pt>
                <c:pt idx="2">
                  <c:v>2.8617207216365297</c:v>
                </c:pt>
                <c:pt idx="3">
                  <c:v>2.4577045022523212</c:v>
                </c:pt>
                <c:pt idx="4">
                  <c:v>4.6642832307982554</c:v>
                </c:pt>
                <c:pt idx="5">
                  <c:v>3.711490082722658</c:v>
                </c:pt>
                <c:pt idx="6">
                  <c:v>1.4423231947044948</c:v>
                </c:pt>
                <c:pt idx="7">
                  <c:v>3.0107507511288705</c:v>
                </c:pt>
                <c:pt idx="8">
                  <c:v>1.5855997755782065</c:v>
                </c:pt>
                <c:pt idx="9">
                  <c:v>5.4021805214544605</c:v>
                </c:pt>
                <c:pt idx="10">
                  <c:v>1.3676361939149546</c:v>
                </c:pt>
                <c:pt idx="11">
                  <c:v>2.526278810478388</c:v>
                </c:pt>
                <c:pt idx="12">
                  <c:v>2.3547520142939344</c:v>
                </c:pt>
              </c:numCache>
            </c:numRef>
          </c:val>
          <c:extLst>
            <c:ext xmlns:c16="http://schemas.microsoft.com/office/drawing/2014/chart" uri="{C3380CC4-5D6E-409C-BE32-E72D297353CC}">
              <c16:uniqueId val="{00000001-981A-4867-9F7E-438F3CE58250}"/>
            </c:ext>
          </c:extLst>
        </c:ser>
        <c:dLbls>
          <c:showLegendKey val="0"/>
          <c:showVal val="0"/>
          <c:showCatName val="0"/>
          <c:showSerName val="0"/>
          <c:showPercent val="0"/>
          <c:showBubbleSize val="0"/>
        </c:dLbls>
        <c:gapWidth val="219"/>
        <c:overlap val="-27"/>
        <c:axId val="480690352"/>
        <c:axId val="105623056"/>
      </c:barChart>
      <c:catAx>
        <c:axId val="48069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23056"/>
        <c:crosses val="autoZero"/>
        <c:auto val="1"/>
        <c:lblAlgn val="ctr"/>
        <c:lblOffset val="100"/>
        <c:noMultiLvlLbl val="0"/>
      </c:catAx>
      <c:valAx>
        <c:axId val="105623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690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P05 Q4 — HIGH RISK bids — safety rating vs defect rate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Dashboard'!$BB$154</c:f>
              <c:strCache>
                <c:ptCount val="1"/>
                <c:pt idx="0">
                  <c:v>Safety rating</c:v>
                </c:pt>
              </c:strCache>
            </c:strRef>
          </c:tx>
          <c:spPr>
            <a:solidFill>
              <a:schemeClr val="accent1"/>
            </a:solidFill>
            <a:ln>
              <a:noFill/>
            </a:ln>
            <a:effectLst/>
          </c:spPr>
          <c:invertIfNegative val="0"/>
          <c:cat>
            <c:strRef>
              <c:f>'Q&amp;A Chart Dashboard'!$BA$155:$BA$158</c:f>
              <c:strCache>
                <c:ptCount val="4"/>
                <c:pt idx="0">
                  <c:v>Contractor-M · Structural Works</c:v>
                </c:pt>
                <c:pt idx="1">
                  <c:v>Contractor-O · MEP Package</c:v>
                </c:pt>
                <c:pt idx="2">
                  <c:v>Contractor-O · MEP Package</c:v>
                </c:pt>
                <c:pt idx="3">
                  <c:v>Contractor-F · MEP Package</c:v>
                </c:pt>
              </c:strCache>
            </c:strRef>
          </c:cat>
          <c:val>
            <c:numRef>
              <c:f>'Q&amp;A Chart Dashboard'!$BB$155:$BB$158</c:f>
              <c:numCache>
                <c:formatCode>0.0</c:formatCode>
                <c:ptCount val="4"/>
                <c:pt idx="0">
                  <c:v>3.4</c:v>
                </c:pt>
                <c:pt idx="1">
                  <c:v>3.2</c:v>
                </c:pt>
                <c:pt idx="2">
                  <c:v>2.7</c:v>
                </c:pt>
                <c:pt idx="3">
                  <c:v>2.6</c:v>
                </c:pt>
              </c:numCache>
            </c:numRef>
          </c:val>
          <c:extLst>
            <c:ext xmlns:c16="http://schemas.microsoft.com/office/drawing/2014/chart" uri="{C3380CC4-5D6E-409C-BE32-E72D297353CC}">
              <c16:uniqueId val="{00000000-5871-484D-810B-C4633D22A849}"/>
            </c:ext>
          </c:extLst>
        </c:ser>
        <c:ser>
          <c:idx val="1"/>
          <c:order val="1"/>
          <c:tx>
            <c:strRef>
              <c:f>'Q&amp;A Chart Dashboard'!$BC$154</c:f>
              <c:strCache>
                <c:ptCount val="1"/>
                <c:pt idx="0">
                  <c:v>Past defect rate %</c:v>
                </c:pt>
              </c:strCache>
            </c:strRef>
          </c:tx>
          <c:spPr>
            <a:solidFill>
              <a:schemeClr val="accent2"/>
            </a:solidFill>
            <a:ln>
              <a:noFill/>
            </a:ln>
            <a:effectLst/>
          </c:spPr>
          <c:invertIfNegative val="0"/>
          <c:cat>
            <c:strRef>
              <c:f>'Q&amp;A Chart Dashboard'!$BA$155:$BA$158</c:f>
              <c:strCache>
                <c:ptCount val="4"/>
                <c:pt idx="0">
                  <c:v>Contractor-M · Structural Works</c:v>
                </c:pt>
                <c:pt idx="1">
                  <c:v>Contractor-O · MEP Package</c:v>
                </c:pt>
                <c:pt idx="2">
                  <c:v>Contractor-O · MEP Package</c:v>
                </c:pt>
                <c:pt idx="3">
                  <c:v>Contractor-F · MEP Package</c:v>
                </c:pt>
              </c:strCache>
            </c:strRef>
          </c:cat>
          <c:val>
            <c:numRef>
              <c:f>'Q&amp;A Chart Dashboard'!$BC$155:$BC$158</c:f>
              <c:numCache>
                <c:formatCode>0.0</c:formatCode>
                <c:ptCount val="4"/>
                <c:pt idx="0">
                  <c:v>11.4</c:v>
                </c:pt>
                <c:pt idx="1">
                  <c:v>9.3000000000000007</c:v>
                </c:pt>
                <c:pt idx="2">
                  <c:v>11</c:v>
                </c:pt>
                <c:pt idx="3">
                  <c:v>11.1</c:v>
                </c:pt>
              </c:numCache>
            </c:numRef>
          </c:val>
          <c:extLst>
            <c:ext xmlns:c16="http://schemas.microsoft.com/office/drawing/2014/chart" uri="{C3380CC4-5D6E-409C-BE32-E72D297353CC}">
              <c16:uniqueId val="{00000001-5871-484D-810B-C4633D22A849}"/>
            </c:ext>
          </c:extLst>
        </c:ser>
        <c:dLbls>
          <c:showLegendKey val="0"/>
          <c:showVal val="0"/>
          <c:showCatName val="0"/>
          <c:showSerName val="0"/>
          <c:showPercent val="0"/>
          <c:showBubbleSize val="0"/>
        </c:dLbls>
        <c:gapWidth val="219"/>
        <c:overlap val="-27"/>
        <c:axId val="480707056"/>
        <c:axId val="105681616"/>
      </c:barChart>
      <c:catAx>
        <c:axId val="48070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81616"/>
        <c:crosses val="autoZero"/>
        <c:auto val="1"/>
        <c:lblAlgn val="ctr"/>
        <c:lblOffset val="100"/>
        <c:noMultiLvlLbl val="0"/>
      </c:catAx>
      <c:valAx>
        <c:axId val="1056816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70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P05 Q5 — Award strategy — total cost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report'!$B$363</c:f>
              <c:strCache>
                <c:ptCount val="1"/>
                <c:pt idx="0">
                  <c:v>Total Cost USD</c:v>
                </c:pt>
              </c:strCache>
            </c:strRef>
          </c:tx>
          <c:spPr>
            <a:solidFill>
              <a:schemeClr val="accent1"/>
            </a:solidFill>
            <a:ln>
              <a:noFill/>
            </a:ln>
            <a:effectLst/>
          </c:spPr>
          <c:invertIfNegative val="0"/>
          <c:cat>
            <c:strRef>
              <c:f>'Analysis report'!$A$364:$A$365</c:f>
              <c:strCache>
                <c:ptCount val="2"/>
                <c:pt idx="0">
                  <c:v>Award to lowest bidder</c:v>
                </c:pt>
                <c:pt idx="1">
                  <c:v>Award to highest-scored bidder</c:v>
                </c:pt>
              </c:strCache>
            </c:strRef>
          </c:cat>
          <c:val>
            <c:numRef>
              <c:f>'Analysis report'!$B$364:$B$365</c:f>
              <c:numCache>
                <c:formatCode>[$$-409]#,##0</c:formatCode>
                <c:ptCount val="2"/>
                <c:pt idx="0">
                  <c:v>10130539</c:v>
                </c:pt>
                <c:pt idx="1">
                  <c:v>11716950</c:v>
                </c:pt>
              </c:numCache>
            </c:numRef>
          </c:val>
          <c:extLst>
            <c:ext xmlns:c16="http://schemas.microsoft.com/office/drawing/2014/chart" uri="{C3380CC4-5D6E-409C-BE32-E72D297353CC}">
              <c16:uniqueId val="{00000000-4CFD-4B7A-B9E8-065775416151}"/>
            </c:ext>
          </c:extLst>
        </c:ser>
        <c:dLbls>
          <c:showLegendKey val="0"/>
          <c:showVal val="0"/>
          <c:showCatName val="0"/>
          <c:showSerName val="0"/>
          <c:showPercent val="0"/>
          <c:showBubbleSize val="0"/>
        </c:dLbls>
        <c:gapWidth val="219"/>
        <c:overlap val="-27"/>
        <c:axId val="480719584"/>
        <c:axId val="105606256"/>
      </c:barChart>
      <c:catAx>
        <c:axId val="48071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06256"/>
        <c:crosses val="autoZero"/>
        <c:auto val="1"/>
        <c:lblAlgn val="ctr"/>
        <c:lblOffset val="100"/>
        <c:noMultiLvlLbl val="0"/>
      </c:catAx>
      <c:valAx>
        <c:axId val="105606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71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P05 Q6 — Bid amount vs completion days — r = -0.254</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scatterChart>
        <c:scatterStyle val="lineMarker"/>
        <c:varyColors val="0"/>
        <c:ser>
          <c:idx val="0"/>
          <c:order val="0"/>
          <c:tx>
            <c:strRef>
              <c:f>'Analysis report'!$D$289</c:f>
              <c:strCache>
                <c:ptCount val="1"/>
                <c:pt idx="0">
                  <c:v>Completion Days</c:v>
                </c:pt>
              </c:strCache>
            </c:strRef>
          </c:tx>
          <c:spPr>
            <a:ln w="28575" cap="rnd">
              <a:noFill/>
              <a:round/>
            </a:ln>
            <a:effectLst/>
          </c:spPr>
          <c:marker>
            <c:symbol val="circle"/>
            <c:size val="5"/>
            <c:spPr>
              <a:solidFill>
                <a:schemeClr val="accent1"/>
              </a:solidFill>
              <a:ln w="9525">
                <a:solidFill>
                  <a:schemeClr val="accent1"/>
                </a:solidFill>
              </a:ln>
              <a:effectLst/>
            </c:spPr>
          </c:marker>
          <c:xVal>
            <c:numRef>
              <c:f>'Analysis report'!$C$290:$C$329</c:f>
              <c:numCache>
                <c:formatCode>[$$-409]#,##0</c:formatCode>
                <c:ptCount val="40"/>
                <c:pt idx="0">
                  <c:v>6124192</c:v>
                </c:pt>
                <c:pt idx="1">
                  <c:v>3366658</c:v>
                </c:pt>
                <c:pt idx="2">
                  <c:v>7111231</c:v>
                </c:pt>
                <c:pt idx="3">
                  <c:v>6052664</c:v>
                </c:pt>
                <c:pt idx="4">
                  <c:v>6312010</c:v>
                </c:pt>
                <c:pt idx="5">
                  <c:v>4226208</c:v>
                </c:pt>
                <c:pt idx="6">
                  <c:v>7079774</c:v>
                </c:pt>
                <c:pt idx="7">
                  <c:v>6954518</c:v>
                </c:pt>
                <c:pt idx="8">
                  <c:v>7221449</c:v>
                </c:pt>
                <c:pt idx="9">
                  <c:v>1360585</c:v>
                </c:pt>
                <c:pt idx="10">
                  <c:v>4806314</c:v>
                </c:pt>
                <c:pt idx="11">
                  <c:v>3432532</c:v>
                </c:pt>
                <c:pt idx="12">
                  <c:v>3644995</c:v>
                </c:pt>
                <c:pt idx="13">
                  <c:v>7138581</c:v>
                </c:pt>
                <c:pt idx="14">
                  <c:v>1664277</c:v>
                </c:pt>
                <c:pt idx="15">
                  <c:v>7504178</c:v>
                </c:pt>
                <c:pt idx="16">
                  <c:v>2916771</c:v>
                </c:pt>
                <c:pt idx="17">
                  <c:v>4334546</c:v>
                </c:pt>
                <c:pt idx="18">
                  <c:v>4823284</c:v>
                </c:pt>
                <c:pt idx="19">
                  <c:v>5287074</c:v>
                </c:pt>
                <c:pt idx="20">
                  <c:v>4912906</c:v>
                </c:pt>
                <c:pt idx="21">
                  <c:v>3745395</c:v>
                </c:pt>
                <c:pt idx="22">
                  <c:v>6648354</c:v>
                </c:pt>
                <c:pt idx="23">
                  <c:v>3339940</c:v>
                </c:pt>
                <c:pt idx="24">
                  <c:v>1631225</c:v>
                </c:pt>
                <c:pt idx="25">
                  <c:v>7136305</c:v>
                </c:pt>
                <c:pt idx="26">
                  <c:v>5055271</c:v>
                </c:pt>
                <c:pt idx="27">
                  <c:v>7050173</c:v>
                </c:pt>
                <c:pt idx="28">
                  <c:v>3855625</c:v>
                </c:pt>
                <c:pt idx="29">
                  <c:v>7188160</c:v>
                </c:pt>
                <c:pt idx="30">
                  <c:v>7398298</c:v>
                </c:pt>
                <c:pt idx="31">
                  <c:v>3071073</c:v>
                </c:pt>
                <c:pt idx="32">
                  <c:v>855300</c:v>
                </c:pt>
                <c:pt idx="33">
                  <c:v>1129490</c:v>
                </c:pt>
                <c:pt idx="34">
                  <c:v>1697720</c:v>
                </c:pt>
                <c:pt idx="35">
                  <c:v>3711615</c:v>
                </c:pt>
                <c:pt idx="36">
                  <c:v>6901216</c:v>
                </c:pt>
                <c:pt idx="37">
                  <c:v>2593894</c:v>
                </c:pt>
                <c:pt idx="38">
                  <c:v>1487850</c:v>
                </c:pt>
                <c:pt idx="39">
                  <c:v>4620485</c:v>
                </c:pt>
              </c:numCache>
            </c:numRef>
          </c:xVal>
          <c:yVal>
            <c:numRef>
              <c:f>'Analysis report'!$D$290:$D$329</c:f>
              <c:numCache>
                <c:formatCode>General</c:formatCode>
                <c:ptCount val="40"/>
                <c:pt idx="0">
                  <c:v>306</c:v>
                </c:pt>
                <c:pt idx="1">
                  <c:v>338</c:v>
                </c:pt>
                <c:pt idx="2">
                  <c:v>141</c:v>
                </c:pt>
                <c:pt idx="3">
                  <c:v>262</c:v>
                </c:pt>
                <c:pt idx="4">
                  <c:v>174</c:v>
                </c:pt>
                <c:pt idx="5">
                  <c:v>235</c:v>
                </c:pt>
                <c:pt idx="6">
                  <c:v>330</c:v>
                </c:pt>
                <c:pt idx="7">
                  <c:v>234</c:v>
                </c:pt>
                <c:pt idx="8">
                  <c:v>160</c:v>
                </c:pt>
                <c:pt idx="9">
                  <c:v>354</c:v>
                </c:pt>
                <c:pt idx="10">
                  <c:v>165</c:v>
                </c:pt>
                <c:pt idx="11">
                  <c:v>103</c:v>
                </c:pt>
                <c:pt idx="12">
                  <c:v>204</c:v>
                </c:pt>
                <c:pt idx="13">
                  <c:v>164</c:v>
                </c:pt>
                <c:pt idx="14">
                  <c:v>330</c:v>
                </c:pt>
                <c:pt idx="15">
                  <c:v>166</c:v>
                </c:pt>
                <c:pt idx="16">
                  <c:v>211</c:v>
                </c:pt>
                <c:pt idx="17">
                  <c:v>122</c:v>
                </c:pt>
                <c:pt idx="18">
                  <c:v>213</c:v>
                </c:pt>
                <c:pt idx="19">
                  <c:v>303</c:v>
                </c:pt>
                <c:pt idx="20">
                  <c:v>349</c:v>
                </c:pt>
                <c:pt idx="21">
                  <c:v>281</c:v>
                </c:pt>
                <c:pt idx="22">
                  <c:v>143</c:v>
                </c:pt>
                <c:pt idx="23">
                  <c:v>179</c:v>
                </c:pt>
                <c:pt idx="24">
                  <c:v>122</c:v>
                </c:pt>
                <c:pt idx="25">
                  <c:v>192</c:v>
                </c:pt>
                <c:pt idx="26">
                  <c:v>332</c:v>
                </c:pt>
                <c:pt idx="27">
                  <c:v>114</c:v>
                </c:pt>
                <c:pt idx="28">
                  <c:v>315</c:v>
                </c:pt>
                <c:pt idx="29">
                  <c:v>355</c:v>
                </c:pt>
                <c:pt idx="30">
                  <c:v>182</c:v>
                </c:pt>
                <c:pt idx="31">
                  <c:v>318</c:v>
                </c:pt>
                <c:pt idx="32">
                  <c:v>270</c:v>
                </c:pt>
                <c:pt idx="33">
                  <c:v>297</c:v>
                </c:pt>
                <c:pt idx="34">
                  <c:v>314</c:v>
                </c:pt>
                <c:pt idx="35">
                  <c:v>106</c:v>
                </c:pt>
                <c:pt idx="36">
                  <c:v>129</c:v>
                </c:pt>
                <c:pt idx="37">
                  <c:v>148</c:v>
                </c:pt>
                <c:pt idx="38">
                  <c:v>224</c:v>
                </c:pt>
                <c:pt idx="39">
                  <c:v>192</c:v>
                </c:pt>
              </c:numCache>
            </c:numRef>
          </c:yVal>
          <c:smooth val="0"/>
          <c:extLst>
            <c:ext xmlns:c16="http://schemas.microsoft.com/office/drawing/2014/chart" uri="{C3380CC4-5D6E-409C-BE32-E72D297353CC}">
              <c16:uniqueId val="{00000000-0C3E-4E86-9FFC-AA77CFEF1DB9}"/>
            </c:ext>
          </c:extLst>
        </c:ser>
        <c:dLbls>
          <c:showLegendKey val="0"/>
          <c:showVal val="0"/>
          <c:showCatName val="0"/>
          <c:showSerName val="0"/>
          <c:showPercent val="0"/>
          <c:showBubbleSize val="0"/>
        </c:dLbls>
        <c:axId val="480469024"/>
        <c:axId val="105645616"/>
      </c:scatterChart>
      <c:valAx>
        <c:axId val="4804690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Bid amount (USD millions)</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45616"/>
        <c:crosses val="autoZero"/>
        <c:crossBetween val="midCat"/>
      </c:valAx>
      <c:valAx>
        <c:axId val="105645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Completion days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4690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P06 Q2 — Total delay days by responsible party</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report'!$B$400</c:f>
              <c:strCache>
                <c:ptCount val="1"/>
                <c:pt idx="0">
                  <c:v>Total Delay Days</c:v>
                </c:pt>
              </c:strCache>
            </c:strRef>
          </c:tx>
          <c:spPr>
            <a:solidFill>
              <a:schemeClr val="accent1"/>
            </a:solidFill>
            <a:ln>
              <a:noFill/>
            </a:ln>
            <a:effectLst/>
          </c:spPr>
          <c:invertIfNegative val="0"/>
          <c:cat>
            <c:strRef>
              <c:f>'Analysis report'!$A$401:$A$406</c:f>
              <c:strCache>
                <c:ptCount val="6"/>
                <c:pt idx="0">
                  <c:v>Client</c:v>
                </c:pt>
                <c:pt idx="1">
                  <c:v>Consultant</c:v>
                </c:pt>
                <c:pt idx="2">
                  <c:v>Contractor</c:v>
                </c:pt>
                <c:pt idx="3">
                  <c:v>Subcontractor</c:v>
                </c:pt>
                <c:pt idx="4">
                  <c:v>Authority</c:v>
                </c:pt>
                <c:pt idx="5">
                  <c:v>Force Majeure</c:v>
                </c:pt>
              </c:strCache>
            </c:strRef>
          </c:cat>
          <c:val>
            <c:numRef>
              <c:f>'Analysis report'!$B$401:$B$406</c:f>
              <c:numCache>
                <c:formatCode>General</c:formatCode>
                <c:ptCount val="6"/>
                <c:pt idx="0">
                  <c:v>121</c:v>
                </c:pt>
                <c:pt idx="1">
                  <c:v>339</c:v>
                </c:pt>
                <c:pt idx="2">
                  <c:v>145</c:v>
                </c:pt>
                <c:pt idx="3">
                  <c:v>321</c:v>
                </c:pt>
                <c:pt idx="4">
                  <c:v>240</c:v>
                </c:pt>
                <c:pt idx="5">
                  <c:v>301</c:v>
                </c:pt>
              </c:numCache>
            </c:numRef>
          </c:val>
          <c:extLst>
            <c:ext xmlns:c16="http://schemas.microsoft.com/office/drawing/2014/chart" uri="{C3380CC4-5D6E-409C-BE32-E72D297353CC}">
              <c16:uniqueId val="{00000000-1DDB-4D58-8F07-DE3340E07CD2}"/>
            </c:ext>
          </c:extLst>
        </c:ser>
        <c:dLbls>
          <c:showLegendKey val="0"/>
          <c:showVal val="0"/>
          <c:showCatName val="0"/>
          <c:showSerName val="0"/>
          <c:showPercent val="0"/>
          <c:showBubbleSize val="0"/>
        </c:dLbls>
        <c:gapWidth val="219"/>
        <c:overlap val="-27"/>
        <c:axId val="480514960"/>
        <c:axId val="105634576"/>
      </c:barChart>
      <c:catAx>
        <c:axId val="48051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34576"/>
        <c:crosses val="autoZero"/>
        <c:auto val="1"/>
        <c:lblAlgn val="ctr"/>
        <c:lblOffset val="100"/>
        <c:noMultiLvlLbl val="0"/>
      </c:catAx>
      <c:valAx>
        <c:axId val="10563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1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P06 Q3 — WT-DC-MUM-01 — delay days by cause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'Analysis report'!$B$412</c:f>
              <c:strCache>
                <c:ptCount val="1"/>
                <c:pt idx="0">
                  <c:v>Delay Days</c:v>
                </c:pt>
              </c:strCache>
            </c:strRef>
          </c:tx>
          <c:spPr>
            <a:solidFill>
              <a:schemeClr val="accent1"/>
            </a:solidFill>
            <a:ln>
              <a:noFill/>
            </a:ln>
            <a:effectLst/>
          </c:spPr>
          <c:invertIfNegative val="0"/>
          <c:cat>
            <c:strRef>
              <c:f>'Analysis report'!$A$413:$A$422</c:f>
              <c:strCache>
                <c:ptCount val="10"/>
                <c:pt idx="0">
                  <c:v>Permit Delay</c:v>
                </c:pt>
                <c:pt idx="1">
                  <c:v>Client Decision Pending</c:v>
                </c:pt>
                <c:pt idx="2">
                  <c:v>Material Delay</c:v>
                </c:pt>
                <c:pt idx="3">
                  <c:v>Labour Shortage</c:v>
                </c:pt>
                <c:pt idx="4">
                  <c:v>Equipment Breakdown</c:v>
                </c:pt>
                <c:pt idx="5">
                  <c:v>RFI Response Delay</c:v>
                </c:pt>
                <c:pt idx="6">
                  <c:v>Rework</c:v>
                </c:pt>
                <c:pt idx="7">
                  <c:v>Design Change</c:v>
                </c:pt>
                <c:pt idx="8">
                  <c:v>Subcontractor Default</c:v>
                </c:pt>
                <c:pt idx="9">
                  <c:v>Weather</c:v>
                </c:pt>
              </c:strCache>
            </c:strRef>
          </c:cat>
          <c:val>
            <c:numRef>
              <c:f>'Analysis report'!$B$413:$B$422</c:f>
              <c:numCache>
                <c:formatCode>General</c:formatCode>
                <c:ptCount val="10"/>
                <c:pt idx="0">
                  <c:v>0</c:v>
                </c:pt>
                <c:pt idx="1">
                  <c:v>80</c:v>
                </c:pt>
                <c:pt idx="2">
                  <c:v>105</c:v>
                </c:pt>
                <c:pt idx="3">
                  <c:v>0</c:v>
                </c:pt>
                <c:pt idx="4">
                  <c:v>53</c:v>
                </c:pt>
                <c:pt idx="5">
                  <c:v>75</c:v>
                </c:pt>
                <c:pt idx="6">
                  <c:v>32</c:v>
                </c:pt>
                <c:pt idx="7">
                  <c:v>0</c:v>
                </c:pt>
                <c:pt idx="8">
                  <c:v>37</c:v>
                </c:pt>
                <c:pt idx="9">
                  <c:v>0</c:v>
                </c:pt>
              </c:numCache>
            </c:numRef>
          </c:val>
          <c:extLst>
            <c:ext xmlns:c16="http://schemas.microsoft.com/office/drawing/2014/chart" uri="{C3380CC4-5D6E-409C-BE32-E72D297353CC}">
              <c16:uniqueId val="{00000000-9749-422E-A99C-AAC217F3CA6B}"/>
            </c:ext>
          </c:extLst>
        </c:ser>
        <c:dLbls>
          <c:showLegendKey val="0"/>
          <c:showVal val="0"/>
          <c:showCatName val="0"/>
          <c:showSerName val="0"/>
          <c:showPercent val="0"/>
          <c:showBubbleSize val="0"/>
        </c:dLbls>
        <c:gapWidth val="182"/>
        <c:axId val="480534912"/>
        <c:axId val="105677296"/>
      </c:barChart>
      <c:catAx>
        <c:axId val="48053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77296"/>
        <c:crosses val="autoZero"/>
        <c:auto val="1"/>
        <c:lblAlgn val="ctr"/>
        <c:lblOffset val="100"/>
        <c:noMultiLvlLbl val="0"/>
      </c:catAx>
      <c:valAx>
        <c:axId val="10567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3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P06 Q4 — Seasonality — weather vs all-cause delay days by month</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Dashboard'!$BB$174</c:f>
              <c:strCache>
                <c:ptCount val="1"/>
                <c:pt idx="0">
                  <c:v>Weather delay days</c:v>
                </c:pt>
              </c:strCache>
            </c:strRef>
          </c:tx>
          <c:spPr>
            <a:solidFill>
              <a:schemeClr val="accent1"/>
            </a:solidFill>
            <a:ln>
              <a:noFill/>
            </a:ln>
            <a:effectLst/>
          </c:spPr>
          <c:invertIfNegative val="0"/>
          <c:cat>
            <c:strRef>
              <c:f>'Q&amp;A Chart Dashboard'!$BA$175:$BA$186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'Q&amp;A Chart Dashboard'!$BB$175:$BB$186</c:f>
              <c:numCache>
                <c:formatCode>0</c:formatCode>
                <c:ptCount val="12"/>
                <c:pt idx="0">
                  <c:v>36</c:v>
                </c:pt>
                <c:pt idx="1">
                  <c:v>0</c:v>
                </c:pt>
                <c:pt idx="2">
                  <c:v>0</c:v>
                </c:pt>
                <c:pt idx="3">
                  <c:v>0</c:v>
                </c:pt>
                <c:pt idx="4">
                  <c:v>0</c:v>
                </c:pt>
                <c:pt idx="5">
                  <c:v>44</c:v>
                </c:pt>
                <c:pt idx="6">
                  <c:v>0</c:v>
                </c:pt>
                <c:pt idx="7">
                  <c:v>19</c:v>
                </c:pt>
                <c:pt idx="8">
                  <c:v>0</c:v>
                </c:pt>
                <c:pt idx="9">
                  <c:v>0</c:v>
                </c:pt>
                <c:pt idx="10">
                  <c:v>45</c:v>
                </c:pt>
                <c:pt idx="11">
                  <c:v>15</c:v>
                </c:pt>
              </c:numCache>
            </c:numRef>
          </c:val>
          <c:extLst>
            <c:ext xmlns:c16="http://schemas.microsoft.com/office/drawing/2014/chart" uri="{C3380CC4-5D6E-409C-BE32-E72D297353CC}">
              <c16:uniqueId val="{00000000-3CD4-412A-A97B-056F329EDF01}"/>
            </c:ext>
          </c:extLst>
        </c:ser>
        <c:ser>
          <c:idx val="1"/>
          <c:order val="1"/>
          <c:tx>
            <c:strRef>
              <c:f>'Q&amp;A Chart Dashboard'!$BC$174</c:f>
              <c:strCache>
                <c:ptCount val="1"/>
                <c:pt idx="0">
                  <c:v>All-cause delay days</c:v>
                </c:pt>
              </c:strCache>
            </c:strRef>
          </c:tx>
          <c:spPr>
            <a:solidFill>
              <a:schemeClr val="accent2"/>
            </a:solidFill>
            <a:ln>
              <a:noFill/>
            </a:ln>
            <a:effectLst/>
          </c:spPr>
          <c:invertIfNegative val="0"/>
          <c:cat>
            <c:strRef>
              <c:f>'Q&amp;A Chart Dashboard'!$BA$175:$BA$186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'Q&amp;A Chart Dashboard'!$BC$175:$BC$186</c:f>
              <c:numCache>
                <c:formatCode>0</c:formatCode>
                <c:ptCount val="12"/>
                <c:pt idx="0">
                  <c:v>72</c:v>
                </c:pt>
                <c:pt idx="1">
                  <c:v>0</c:v>
                </c:pt>
                <c:pt idx="2">
                  <c:v>0</c:v>
                </c:pt>
                <c:pt idx="3">
                  <c:v>48</c:v>
                </c:pt>
                <c:pt idx="4">
                  <c:v>103</c:v>
                </c:pt>
                <c:pt idx="5">
                  <c:v>285</c:v>
                </c:pt>
                <c:pt idx="6">
                  <c:v>153</c:v>
                </c:pt>
                <c:pt idx="7">
                  <c:v>126</c:v>
                </c:pt>
                <c:pt idx="8">
                  <c:v>239</c:v>
                </c:pt>
                <c:pt idx="9">
                  <c:v>33</c:v>
                </c:pt>
                <c:pt idx="10">
                  <c:v>141</c:v>
                </c:pt>
                <c:pt idx="11">
                  <c:v>267</c:v>
                </c:pt>
              </c:numCache>
            </c:numRef>
          </c:val>
          <c:extLst>
            <c:ext xmlns:c16="http://schemas.microsoft.com/office/drawing/2014/chart" uri="{C3380CC4-5D6E-409C-BE32-E72D297353CC}">
              <c16:uniqueId val="{00000001-3CD4-412A-A97B-056F329EDF01}"/>
            </c:ext>
          </c:extLst>
        </c:ser>
        <c:dLbls>
          <c:showLegendKey val="0"/>
          <c:showVal val="0"/>
          <c:showCatName val="0"/>
          <c:showSerName val="0"/>
          <c:showPercent val="0"/>
          <c:showBubbleSize val="0"/>
        </c:dLbls>
        <c:gapWidth val="219"/>
        <c:overlap val="-27"/>
        <c:axId val="480554400"/>
        <c:axId val="105599536"/>
      </c:barChart>
      <c:catAx>
        <c:axId val="48055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99536"/>
        <c:crosses val="autoZero"/>
        <c:auto val="1"/>
        <c:lblAlgn val="ctr"/>
        <c:lblOffset val="100"/>
        <c:noMultiLvlLbl val="0"/>
      </c:catAx>
      <c:valAx>
        <c:axId val="105599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54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P06 Q5 — Delay days by activity — total and per event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Dashboard'!$BB$189</c:f>
              <c:strCache>
                <c:ptCount val="1"/>
                <c:pt idx="0">
                  <c:v>Total delay days</c:v>
                </c:pt>
              </c:strCache>
            </c:strRef>
          </c:tx>
          <c:spPr>
            <a:solidFill>
              <a:schemeClr val="accent1"/>
            </a:solidFill>
            <a:ln>
              <a:noFill/>
            </a:ln>
            <a:effectLst/>
          </c:spPr>
          <c:invertIfNegative val="0"/>
          <c:cat>
            <c:strRef>
              <c:f>'Q&amp;A Chart Dashboard'!$BA$190:$BA$198</c:f>
              <c:strCache>
                <c:ptCount val="9"/>
                <c:pt idx="0">
                  <c:v>Foundation</c:v>
                </c:pt>
                <c:pt idx="1">
                  <c:v>Superstructure</c:v>
                </c:pt>
                <c:pt idx="2">
                  <c:v>MEP Rough-In</c:v>
                </c:pt>
                <c:pt idx="3">
                  <c:v>Facade Installation</c:v>
                </c:pt>
                <c:pt idx="4">
                  <c:v>Interior Works</c:v>
                </c:pt>
                <c:pt idx="5">
                  <c:v>External Works</c:v>
                </c:pt>
                <c:pt idx="6">
                  <c:v>Landscape</c:v>
                </c:pt>
                <c:pt idx="7">
                  <c:v>Testing &amp; Commissioning</c:v>
                </c:pt>
                <c:pt idx="8">
                  <c:v>Handover Prep</c:v>
                </c:pt>
              </c:strCache>
            </c:strRef>
          </c:cat>
          <c:val>
            <c:numRef>
              <c:f>'Q&amp;A Chart Dashboard'!$BB$190:$BB$198</c:f>
              <c:numCache>
                <c:formatCode>0</c:formatCode>
                <c:ptCount val="9"/>
                <c:pt idx="0">
                  <c:v>128</c:v>
                </c:pt>
                <c:pt idx="1">
                  <c:v>84</c:v>
                </c:pt>
                <c:pt idx="2">
                  <c:v>201</c:v>
                </c:pt>
                <c:pt idx="3">
                  <c:v>133</c:v>
                </c:pt>
                <c:pt idx="4">
                  <c:v>182</c:v>
                </c:pt>
                <c:pt idx="5">
                  <c:v>143</c:v>
                </c:pt>
                <c:pt idx="6">
                  <c:v>183</c:v>
                </c:pt>
                <c:pt idx="7">
                  <c:v>291</c:v>
                </c:pt>
                <c:pt idx="8">
                  <c:v>122</c:v>
                </c:pt>
              </c:numCache>
            </c:numRef>
          </c:val>
          <c:extLst>
            <c:ext xmlns:c16="http://schemas.microsoft.com/office/drawing/2014/chart" uri="{C3380CC4-5D6E-409C-BE32-E72D297353CC}">
              <c16:uniqueId val="{00000000-EEF9-42BE-B527-8AC9E4640EA9}"/>
            </c:ext>
          </c:extLst>
        </c:ser>
        <c:ser>
          <c:idx val="1"/>
          <c:order val="1"/>
          <c:tx>
            <c:strRef>
              <c:f>'Q&amp;A Chart Dashboard'!$BC$189</c:f>
              <c:strCache>
                <c:ptCount val="1"/>
                <c:pt idx="0">
                  <c:v>Avg delay days</c:v>
                </c:pt>
              </c:strCache>
            </c:strRef>
          </c:tx>
          <c:spPr>
            <a:solidFill>
              <a:schemeClr val="accent2"/>
            </a:solidFill>
            <a:ln>
              <a:noFill/>
            </a:ln>
            <a:effectLst/>
          </c:spPr>
          <c:invertIfNegative val="0"/>
          <c:cat>
            <c:strRef>
              <c:f>'Q&amp;A Chart Dashboard'!$BA$190:$BA$198</c:f>
              <c:strCache>
                <c:ptCount val="9"/>
                <c:pt idx="0">
                  <c:v>Foundation</c:v>
                </c:pt>
                <c:pt idx="1">
                  <c:v>Superstructure</c:v>
                </c:pt>
                <c:pt idx="2">
                  <c:v>MEP Rough-In</c:v>
                </c:pt>
                <c:pt idx="3">
                  <c:v>Facade Installation</c:v>
                </c:pt>
                <c:pt idx="4">
                  <c:v>Interior Works</c:v>
                </c:pt>
                <c:pt idx="5">
                  <c:v>External Works</c:v>
                </c:pt>
                <c:pt idx="6">
                  <c:v>Landscape</c:v>
                </c:pt>
                <c:pt idx="7">
                  <c:v>Testing &amp; Commissioning</c:v>
                </c:pt>
                <c:pt idx="8">
                  <c:v>Handover Prep</c:v>
                </c:pt>
              </c:strCache>
            </c:strRef>
          </c:cat>
          <c:val>
            <c:numRef>
              <c:f>'Q&amp;A Chart Dashboard'!$BC$190:$BC$198</c:f>
              <c:numCache>
                <c:formatCode>0.0</c:formatCode>
                <c:ptCount val="9"/>
                <c:pt idx="0">
                  <c:v>25.6</c:v>
                </c:pt>
                <c:pt idx="1">
                  <c:v>21</c:v>
                </c:pt>
                <c:pt idx="2">
                  <c:v>33.5</c:v>
                </c:pt>
                <c:pt idx="3">
                  <c:v>22.166666666666668</c:v>
                </c:pt>
                <c:pt idx="4">
                  <c:v>20.222222222222221</c:v>
                </c:pt>
                <c:pt idx="5">
                  <c:v>20.428571428571427</c:v>
                </c:pt>
                <c:pt idx="6">
                  <c:v>26.142857142857142</c:v>
                </c:pt>
                <c:pt idx="7">
                  <c:v>26.454545454545453</c:v>
                </c:pt>
                <c:pt idx="8">
                  <c:v>24.4</c:v>
                </c:pt>
              </c:numCache>
            </c:numRef>
          </c:val>
          <c:extLst>
            <c:ext xmlns:c16="http://schemas.microsoft.com/office/drawing/2014/chart" uri="{C3380CC4-5D6E-409C-BE32-E72D297353CC}">
              <c16:uniqueId val="{00000001-EEF9-42BE-B527-8AC9E4640EA9}"/>
            </c:ext>
          </c:extLst>
        </c:ser>
        <c:dLbls>
          <c:showLegendKey val="0"/>
          <c:showVal val="0"/>
          <c:showCatName val="0"/>
          <c:showSerName val="0"/>
          <c:showPercent val="0"/>
          <c:showBubbleSize val="0"/>
        </c:dLbls>
        <c:gapWidth val="219"/>
        <c:overlap val="-27"/>
        <c:axId val="480576208"/>
        <c:axId val="105638416"/>
      </c:barChart>
      <c:catAx>
        <c:axId val="48057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38416"/>
        <c:crosses val="autoZero"/>
        <c:auto val="1"/>
        <c:lblAlgn val="ctr"/>
        <c:lblOffset val="100"/>
        <c:noMultiLvlLbl val="0"/>
      </c:catAx>
      <c:valAx>
        <c:axId val="10563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7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P06 Q6 — Cost of delay by project at $15,000/day</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Dashboard'!$BB$201</c:f>
              <c:strCache>
                <c:ptCount val="1"/>
                <c:pt idx="0">
                  <c:v>Cost of delay USD</c:v>
                </c:pt>
              </c:strCache>
            </c:strRef>
          </c:tx>
          <c:spPr>
            <a:solidFill>
              <a:schemeClr val="accent1"/>
            </a:solidFill>
            <a:ln>
              <a:noFill/>
            </a:ln>
            <a:effectLst/>
          </c:spPr>
          <c:invertIfNegative val="0"/>
          <c:cat>
            <c:strRef>
              <c:f>'Q&amp;A Chart Dashboard'!$BA$202:$BA$206</c:f>
              <c:strCache>
                <c:ptCount val="5"/>
                <c:pt idx="0">
                  <c:v>WT-DC-MUM-01</c:v>
                </c:pt>
                <c:pt idx="1">
                  <c:v>WT-OFF-SYD-02</c:v>
                </c:pt>
                <c:pt idx="2">
                  <c:v>WT-HOS-AKL-03</c:v>
                </c:pt>
                <c:pt idx="3">
                  <c:v>WT-RES-MEL-05</c:v>
                </c:pt>
                <c:pt idx="4">
                  <c:v>WT-MAL-DEL-06</c:v>
                </c:pt>
              </c:strCache>
            </c:strRef>
          </c:cat>
          <c:val>
            <c:numRef>
              <c:f>'Q&amp;A Chart Dashboard'!$BB$202:$BB$206</c:f>
              <c:numCache>
                <c:formatCode>[$$-409]#,##0</c:formatCode>
                <c:ptCount val="5"/>
                <c:pt idx="0">
                  <c:v>5730000</c:v>
                </c:pt>
                <c:pt idx="1">
                  <c:v>4155000</c:v>
                </c:pt>
                <c:pt idx="2">
                  <c:v>3075000</c:v>
                </c:pt>
                <c:pt idx="3">
                  <c:v>3690000</c:v>
                </c:pt>
                <c:pt idx="4">
                  <c:v>5355000</c:v>
                </c:pt>
              </c:numCache>
            </c:numRef>
          </c:val>
          <c:extLst>
            <c:ext xmlns:c16="http://schemas.microsoft.com/office/drawing/2014/chart" uri="{C3380CC4-5D6E-409C-BE32-E72D297353CC}">
              <c16:uniqueId val="{00000000-F102-4EE2-B202-08F80FD6502E}"/>
            </c:ext>
          </c:extLst>
        </c:ser>
        <c:dLbls>
          <c:showLegendKey val="0"/>
          <c:showVal val="0"/>
          <c:showCatName val="0"/>
          <c:showSerName val="0"/>
          <c:showPercent val="0"/>
          <c:showBubbleSize val="0"/>
        </c:dLbls>
        <c:gapWidth val="219"/>
        <c:overlap val="-27"/>
        <c:axId val="480617968"/>
        <c:axId val="105607696"/>
      </c:barChart>
      <c:catAx>
        <c:axId val="48061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07696"/>
        <c:crosses val="autoZero"/>
        <c:auto val="1"/>
        <c:lblAlgn val="ctr"/>
        <c:lblOffset val="100"/>
        <c:noMultiLvlLbl val="0"/>
      </c:catAx>
      <c:valAx>
        <c:axId val="105607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61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P07 Q1 — Negative vs positive cash-flow months by project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stacked"/>
        <c:varyColors val="0"/>
        <c:ser>
          <c:idx val="0"/>
          <c:order val="0"/>
          <c:tx>
            <c:strRef>
              <c:f>'Analysis report'!$B$467</c:f>
              <c:strCache>
                <c:ptCount val="1"/>
                <c:pt idx="0">
                  <c:v>Months with Negative Net CF</c:v>
                </c:pt>
              </c:strCache>
            </c:strRef>
          </c:tx>
          <c:spPr>
            <a:solidFill>
              <a:schemeClr val="accent1"/>
            </a:solidFill>
            <a:ln>
              <a:noFill/>
            </a:ln>
            <a:effectLst/>
          </c:spPr>
          <c:invertIfNegative val="0"/>
          <c:cat>
            <c:strRef>
              <c:f>'Analysis report'!$A$468:$A$471</c:f>
              <c:strCache>
                <c:ptCount val="4"/>
                <c:pt idx="0">
                  <c:v>WT-DC-MUM-01</c:v>
                </c:pt>
                <c:pt idx="1">
                  <c:v>WT-OFF-SYD-02</c:v>
                </c:pt>
                <c:pt idx="2">
                  <c:v>WT-HOS-AKL-03</c:v>
                </c:pt>
                <c:pt idx="3">
                  <c:v>WT-ITP-BLR-04</c:v>
                </c:pt>
              </c:strCache>
            </c:strRef>
          </c:cat>
          <c:val>
            <c:numRef>
              <c:f>'Analysis report'!$B$468:$B$471</c:f>
              <c:numCache>
                <c:formatCode>0</c:formatCode>
                <c:ptCount val="4"/>
                <c:pt idx="0">
                  <c:v>6</c:v>
                </c:pt>
                <c:pt idx="1">
                  <c:v>6</c:v>
                </c:pt>
                <c:pt idx="2">
                  <c:v>9</c:v>
                </c:pt>
                <c:pt idx="3">
                  <c:v>8</c:v>
                </c:pt>
              </c:numCache>
            </c:numRef>
          </c:val>
          <c:extLst>
            <c:ext xmlns:c16="http://schemas.microsoft.com/office/drawing/2014/chart" uri="{C3380CC4-5D6E-409C-BE32-E72D297353CC}">
              <c16:uniqueId val="{00000000-37C0-4873-BE56-3A1235AF2DCB}"/>
            </c:ext>
          </c:extLst>
        </c:ser>
        <c:ser>
          <c:idx val="1"/>
          <c:order val="1"/>
          <c:tx>
            <c:strRef>
              <c:f>'Analysis report'!$C$467</c:f>
              <c:strCache>
                <c:ptCount val="1"/>
                <c:pt idx="0">
                  <c:v>Months Positive</c:v>
                </c:pt>
              </c:strCache>
            </c:strRef>
          </c:tx>
          <c:spPr>
            <a:solidFill>
              <a:schemeClr val="accent2"/>
            </a:solidFill>
            <a:ln>
              <a:noFill/>
            </a:ln>
            <a:effectLst/>
          </c:spPr>
          <c:invertIfNegative val="0"/>
          <c:cat>
            <c:strRef>
              <c:f>'Analysis report'!$A$468:$A$471</c:f>
              <c:strCache>
                <c:ptCount val="4"/>
                <c:pt idx="0">
                  <c:v>WT-DC-MUM-01</c:v>
                </c:pt>
                <c:pt idx="1">
                  <c:v>WT-OFF-SYD-02</c:v>
                </c:pt>
                <c:pt idx="2">
                  <c:v>WT-HOS-AKL-03</c:v>
                </c:pt>
                <c:pt idx="3">
                  <c:v>WT-ITP-BLR-04</c:v>
                </c:pt>
              </c:strCache>
            </c:strRef>
          </c:cat>
          <c:val>
            <c:numRef>
              <c:f>'Analysis report'!$C$468:$C$471</c:f>
              <c:numCache>
                <c:formatCode>0</c:formatCode>
                <c:ptCount val="4"/>
                <c:pt idx="0">
                  <c:v>6</c:v>
                </c:pt>
                <c:pt idx="1">
                  <c:v>6</c:v>
                </c:pt>
                <c:pt idx="2">
                  <c:v>3</c:v>
                </c:pt>
                <c:pt idx="3">
                  <c:v>4</c:v>
                </c:pt>
              </c:numCache>
            </c:numRef>
          </c:val>
          <c:extLst>
            <c:ext xmlns:c16="http://schemas.microsoft.com/office/drawing/2014/chart" uri="{C3380CC4-5D6E-409C-BE32-E72D297353CC}">
              <c16:uniqueId val="{00000001-37C0-4873-BE56-3A1235AF2DCB}"/>
            </c:ext>
          </c:extLst>
        </c:ser>
        <c:dLbls>
          <c:showLegendKey val="0"/>
          <c:showVal val="0"/>
          <c:showCatName val="0"/>
          <c:showSerName val="0"/>
          <c:showPercent val="0"/>
          <c:showBubbleSize val="0"/>
        </c:dLbls>
        <c:gapWidth val="150"/>
        <c:overlap val="100"/>
        <c:axId val="480639776"/>
        <c:axId val="105686416"/>
      </c:barChart>
      <c:catAx>
        <c:axId val="48063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86416"/>
        <c:crosses val="autoZero"/>
        <c:auto val="1"/>
        <c:lblAlgn val="ctr"/>
        <c:lblOffset val="100"/>
        <c:noMultiLvlLbl val="0"/>
      </c:catAx>
      <c:valAx>
        <c:axId val="105686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639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P07 Q2 — Planned inflow, actual inflow and outflow by project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report'!$B$475</c:f>
              <c:strCache>
                <c:ptCount val="1"/>
                <c:pt idx="0">
                  <c:v>Total Planned Inflow USD</c:v>
                </c:pt>
              </c:strCache>
            </c:strRef>
          </c:tx>
          <c:spPr>
            <a:solidFill>
              <a:schemeClr val="accent1"/>
            </a:solidFill>
            <a:ln>
              <a:noFill/>
            </a:ln>
            <a:effectLst/>
          </c:spPr>
          <c:invertIfNegative val="0"/>
          <c:cat>
            <c:strRef>
              <c:f>'Analysis report'!$A$476:$A$479</c:f>
              <c:strCache>
                <c:ptCount val="4"/>
                <c:pt idx="0">
                  <c:v>WT-DC-MUM-01</c:v>
                </c:pt>
                <c:pt idx="1">
                  <c:v>WT-OFF-SYD-02</c:v>
                </c:pt>
                <c:pt idx="2">
                  <c:v>WT-HOS-AKL-03</c:v>
                </c:pt>
                <c:pt idx="3">
                  <c:v>WT-ITP-BLR-04</c:v>
                </c:pt>
              </c:strCache>
            </c:strRef>
          </c:cat>
          <c:val>
            <c:numRef>
              <c:f>'Analysis report'!$B$476:$B$479</c:f>
              <c:numCache>
                <c:formatCode>[$$-409]#,##0</c:formatCode>
                <c:ptCount val="4"/>
                <c:pt idx="0">
                  <c:v>14886232</c:v>
                </c:pt>
                <c:pt idx="1">
                  <c:v>15300774</c:v>
                </c:pt>
                <c:pt idx="2">
                  <c:v>14162244</c:v>
                </c:pt>
                <c:pt idx="3">
                  <c:v>11554097</c:v>
                </c:pt>
              </c:numCache>
            </c:numRef>
          </c:val>
          <c:extLst>
            <c:ext xmlns:c16="http://schemas.microsoft.com/office/drawing/2014/chart" uri="{C3380CC4-5D6E-409C-BE32-E72D297353CC}">
              <c16:uniqueId val="{00000000-9D0D-44E7-A7A6-3722113ED1C7}"/>
            </c:ext>
          </c:extLst>
        </c:ser>
        <c:ser>
          <c:idx val="1"/>
          <c:order val="1"/>
          <c:tx>
            <c:strRef>
              <c:f>'Analysis report'!$C$475</c:f>
              <c:strCache>
                <c:ptCount val="1"/>
                <c:pt idx="0">
                  <c:v>Total Actual Inflow USD</c:v>
                </c:pt>
              </c:strCache>
            </c:strRef>
          </c:tx>
          <c:spPr>
            <a:solidFill>
              <a:schemeClr val="accent2"/>
            </a:solidFill>
            <a:ln>
              <a:noFill/>
            </a:ln>
            <a:effectLst/>
          </c:spPr>
          <c:invertIfNegative val="0"/>
          <c:cat>
            <c:strRef>
              <c:f>'Analysis report'!$A$476:$A$479</c:f>
              <c:strCache>
                <c:ptCount val="4"/>
                <c:pt idx="0">
                  <c:v>WT-DC-MUM-01</c:v>
                </c:pt>
                <c:pt idx="1">
                  <c:v>WT-OFF-SYD-02</c:v>
                </c:pt>
                <c:pt idx="2">
                  <c:v>WT-HOS-AKL-03</c:v>
                </c:pt>
                <c:pt idx="3">
                  <c:v>WT-ITP-BLR-04</c:v>
                </c:pt>
              </c:strCache>
            </c:strRef>
          </c:cat>
          <c:val>
            <c:numRef>
              <c:f>'Analysis report'!$C$476:$C$479</c:f>
              <c:numCache>
                <c:formatCode>[$$-409]#,##0</c:formatCode>
                <c:ptCount val="4"/>
                <c:pt idx="0">
                  <c:v>11569465</c:v>
                </c:pt>
                <c:pt idx="1">
                  <c:v>11902885</c:v>
                </c:pt>
                <c:pt idx="2">
                  <c:v>10528520</c:v>
                </c:pt>
                <c:pt idx="3">
                  <c:v>9005567</c:v>
                </c:pt>
              </c:numCache>
            </c:numRef>
          </c:val>
          <c:extLst>
            <c:ext xmlns:c16="http://schemas.microsoft.com/office/drawing/2014/chart" uri="{C3380CC4-5D6E-409C-BE32-E72D297353CC}">
              <c16:uniqueId val="{00000001-9D0D-44E7-A7A6-3722113ED1C7}"/>
            </c:ext>
          </c:extLst>
        </c:ser>
        <c:ser>
          <c:idx val="2"/>
          <c:order val="2"/>
          <c:tx>
            <c:strRef>
              <c:f>'Analysis report'!$D$475</c:f>
              <c:strCache>
                <c:ptCount val="1"/>
                <c:pt idx="0">
                  <c:v>Total Actual Outflow USD</c:v>
                </c:pt>
              </c:strCache>
            </c:strRef>
          </c:tx>
          <c:spPr>
            <a:solidFill>
              <a:schemeClr val="accent3"/>
            </a:solidFill>
            <a:ln>
              <a:noFill/>
            </a:ln>
            <a:effectLst/>
          </c:spPr>
          <c:invertIfNegative val="0"/>
          <c:cat>
            <c:strRef>
              <c:f>'Analysis report'!$A$476:$A$479</c:f>
              <c:strCache>
                <c:ptCount val="4"/>
                <c:pt idx="0">
                  <c:v>WT-DC-MUM-01</c:v>
                </c:pt>
                <c:pt idx="1">
                  <c:v>WT-OFF-SYD-02</c:v>
                </c:pt>
                <c:pt idx="2">
                  <c:v>WT-HOS-AKL-03</c:v>
                </c:pt>
                <c:pt idx="3">
                  <c:v>WT-ITP-BLR-04</c:v>
                </c:pt>
              </c:strCache>
            </c:strRef>
          </c:cat>
          <c:val>
            <c:numRef>
              <c:f>'Analysis report'!$D$476:$D$479</c:f>
              <c:numCache>
                <c:formatCode>[$$-409]#,##0</c:formatCode>
                <c:ptCount val="4"/>
                <c:pt idx="0">
                  <c:v>10729707</c:v>
                </c:pt>
                <c:pt idx="1">
                  <c:v>13293072</c:v>
                </c:pt>
                <c:pt idx="2">
                  <c:v>14395722</c:v>
                </c:pt>
                <c:pt idx="3">
                  <c:v>11904423</c:v>
                </c:pt>
              </c:numCache>
            </c:numRef>
          </c:val>
          <c:extLst>
            <c:ext xmlns:c16="http://schemas.microsoft.com/office/drawing/2014/chart" uri="{C3380CC4-5D6E-409C-BE32-E72D297353CC}">
              <c16:uniqueId val="{00000002-9D0D-44E7-A7A6-3722113ED1C7}"/>
            </c:ext>
          </c:extLst>
        </c:ser>
        <c:dLbls>
          <c:showLegendKey val="0"/>
          <c:showVal val="0"/>
          <c:showCatName val="0"/>
          <c:showSerName val="0"/>
          <c:showPercent val="0"/>
          <c:showBubbleSize val="0"/>
        </c:dLbls>
        <c:gapWidth val="219"/>
        <c:overlap val="-27"/>
        <c:axId val="480675040"/>
        <c:axId val="105601936"/>
      </c:barChart>
      <c:catAx>
        <c:axId val="48067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01936"/>
        <c:crosses val="autoZero"/>
        <c:auto val="1"/>
        <c:lblAlgn val="ctr"/>
        <c:lblOffset val="100"/>
        <c:noMultiLvlLbl val="0"/>
      </c:catAx>
      <c:valAx>
        <c:axId val="105601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67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P07 Q3 — Monthly net cash flow — 4 projects (2024)</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'Analysis report'!$B$484</c:f>
              <c:strCache>
                <c:ptCount val="1"/>
                <c:pt idx="0">
                  <c:v>WT-DC-MUM-01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 report'!$A$485:$A$496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'Analysis report'!$B$485:$B$496</c:f>
              <c:numCache>
                <c:formatCode>[$$-409]#,##0</c:formatCode>
                <c:ptCount val="12"/>
                <c:pt idx="0">
                  <c:v>-574274</c:v>
                </c:pt>
                <c:pt idx="1">
                  <c:v>-868853</c:v>
                </c:pt>
                <c:pt idx="2">
                  <c:v>-221231</c:v>
                </c:pt>
                <c:pt idx="3">
                  <c:v>1074695</c:v>
                </c:pt>
                <c:pt idx="4">
                  <c:v>389471</c:v>
                </c:pt>
                <c:pt idx="5">
                  <c:v>676310</c:v>
                </c:pt>
                <c:pt idx="6">
                  <c:v>147369</c:v>
                </c:pt>
                <c:pt idx="7">
                  <c:v>-30373</c:v>
                </c:pt>
                <c:pt idx="8">
                  <c:v>-576106</c:v>
                </c:pt>
                <c:pt idx="9">
                  <c:v>701779</c:v>
                </c:pt>
                <c:pt idx="10">
                  <c:v>674262</c:v>
                </c:pt>
                <c:pt idx="11">
                  <c:v>-553291</c:v>
                </c:pt>
              </c:numCache>
            </c:numRef>
          </c:val>
          <c:smooth val="0"/>
          <c:extLst>
            <c:ext xmlns:c16="http://schemas.microsoft.com/office/drawing/2014/chart" uri="{C3380CC4-5D6E-409C-BE32-E72D297353CC}">
              <c16:uniqueId val="{00000000-CF61-4AFA-8117-EE89EBC69AE6}"/>
            </c:ext>
          </c:extLst>
        </c:ser>
        <c:ser>
          <c:idx val="1"/>
          <c:order val="1"/>
          <c:tx>
            <c:strRef>
              <c:f>'Analysis report'!$C$484</c:f>
              <c:strCache>
                <c:ptCount val="1"/>
                <c:pt idx="0">
                  <c:v>WT-OFF-SYD-02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 report'!$A$485:$A$496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'Analysis report'!$C$485:$C$496</c:f>
              <c:numCache>
                <c:formatCode>[$$-409]#,##0</c:formatCode>
                <c:ptCount val="12"/>
                <c:pt idx="0">
                  <c:v>-1317584</c:v>
                </c:pt>
                <c:pt idx="1">
                  <c:v>836765</c:v>
                </c:pt>
                <c:pt idx="2">
                  <c:v>586100</c:v>
                </c:pt>
                <c:pt idx="3">
                  <c:v>-455351</c:v>
                </c:pt>
                <c:pt idx="4">
                  <c:v>502180</c:v>
                </c:pt>
                <c:pt idx="5">
                  <c:v>767572</c:v>
                </c:pt>
                <c:pt idx="6">
                  <c:v>-195047</c:v>
                </c:pt>
                <c:pt idx="7">
                  <c:v>-1056516</c:v>
                </c:pt>
                <c:pt idx="8">
                  <c:v>226548</c:v>
                </c:pt>
                <c:pt idx="9">
                  <c:v>73497</c:v>
                </c:pt>
                <c:pt idx="10">
                  <c:v>-824642</c:v>
                </c:pt>
                <c:pt idx="11">
                  <c:v>-533709</c:v>
                </c:pt>
              </c:numCache>
            </c:numRef>
          </c:val>
          <c:smooth val="0"/>
          <c:extLst>
            <c:ext xmlns:c16="http://schemas.microsoft.com/office/drawing/2014/chart" uri="{C3380CC4-5D6E-409C-BE32-E72D297353CC}">
              <c16:uniqueId val="{00000001-CF61-4AFA-8117-EE89EBC69AE6}"/>
            </c:ext>
          </c:extLst>
        </c:ser>
        <c:ser>
          <c:idx val="2"/>
          <c:order val="2"/>
          <c:tx>
            <c:strRef>
              <c:f>'Analysis report'!$D$484</c:f>
              <c:strCache>
                <c:ptCount val="1"/>
                <c:pt idx="0">
                  <c:v>WT-HOS-AKL-03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 report'!$A$485:$A$496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'Analysis report'!$D$485:$D$496</c:f>
              <c:numCache>
                <c:formatCode>[$$-409]#,##0</c:formatCode>
                <c:ptCount val="12"/>
                <c:pt idx="0">
                  <c:v>-595005</c:v>
                </c:pt>
                <c:pt idx="1">
                  <c:v>-533153</c:v>
                </c:pt>
                <c:pt idx="2">
                  <c:v>61735</c:v>
                </c:pt>
                <c:pt idx="3">
                  <c:v>-572862</c:v>
                </c:pt>
                <c:pt idx="4">
                  <c:v>579339</c:v>
                </c:pt>
                <c:pt idx="5">
                  <c:v>-68464</c:v>
                </c:pt>
                <c:pt idx="6">
                  <c:v>102073</c:v>
                </c:pt>
                <c:pt idx="7">
                  <c:v>-436762</c:v>
                </c:pt>
                <c:pt idx="8">
                  <c:v>-958914</c:v>
                </c:pt>
                <c:pt idx="9">
                  <c:v>-345897</c:v>
                </c:pt>
                <c:pt idx="10">
                  <c:v>-106806</c:v>
                </c:pt>
                <c:pt idx="11">
                  <c:v>-992486</c:v>
                </c:pt>
              </c:numCache>
            </c:numRef>
          </c:val>
          <c:smooth val="0"/>
          <c:extLst>
            <c:ext xmlns:c16="http://schemas.microsoft.com/office/drawing/2014/chart" uri="{C3380CC4-5D6E-409C-BE32-E72D297353CC}">
              <c16:uniqueId val="{00000002-CF61-4AFA-8117-EE89EBC69AE6}"/>
            </c:ext>
          </c:extLst>
        </c:ser>
        <c:ser>
          <c:idx val="3"/>
          <c:order val="3"/>
          <c:tx>
            <c:strRef>
              <c:f>'Analysis report'!$E$484</c:f>
              <c:strCache>
                <c:ptCount val="1"/>
                <c:pt idx="0">
                  <c:v>WT-ITP-BLR-04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'Analysis report'!$A$485:$A$496</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'Analysis report'!$E$485:$E$496</c:f>
              <c:numCache>
                <c:formatCode>[$$-409]#,##0</c:formatCode>
                <c:ptCount val="12"/>
                <c:pt idx="0">
                  <c:v>545759</c:v>
                </c:pt>
                <c:pt idx="1">
                  <c:v>-3935</c:v>
                </c:pt>
                <c:pt idx="2">
                  <c:v>-186915</c:v>
                </c:pt>
                <c:pt idx="3">
                  <c:v>-1331420</c:v>
                </c:pt>
                <c:pt idx="4">
                  <c:v>-107332</c:v>
                </c:pt>
                <c:pt idx="5">
                  <c:v>-1097039</c:v>
                </c:pt>
                <c:pt idx="6">
                  <c:v>103162</c:v>
                </c:pt>
                <c:pt idx="7">
                  <c:v>596012</c:v>
                </c:pt>
                <c:pt idx="8">
                  <c:v>-810634</c:v>
                </c:pt>
                <c:pt idx="9">
                  <c:v>-1038711</c:v>
                </c:pt>
                <c:pt idx="10">
                  <c:v>447192</c:v>
                </c:pt>
                <c:pt idx="11">
                  <c:v>-14995</c:v>
                </c:pt>
              </c:numCache>
            </c:numRef>
          </c:val>
          <c:smooth val="0"/>
          <c:extLst>
            <c:ext xmlns:c16="http://schemas.microsoft.com/office/drawing/2014/chart" uri="{C3380CC4-5D6E-409C-BE32-E72D297353CC}">
              <c16:uniqueId val="{00000003-CF61-4AFA-8117-EE89EBC69AE6}"/>
            </c:ext>
          </c:extLst>
        </c:ser>
        <c:dLbls>
          <c:showLegendKey val="0"/>
          <c:showVal val="0"/>
          <c:showCatName val="0"/>
          <c:showSerName val="0"/>
          <c:showPercent val="0"/>
          <c:showBubbleSize val="0"/>
        </c:dLbls>
        <c:marker val="1"/>
        <c:smooth val="0"/>
        <c:axId val="480703808"/>
        <c:axId val="105588496"/>
      </c:lineChart>
      <c:catAx>
        <c:axId val="48070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88496"/>
        <c:crosses val="autoZero"/>
        <c:auto val="1"/>
        <c:lblAlgn val="ctr"/>
        <c:lblOffset val="100"/>
        <c:noMultiLvlLbl val="0"/>
      </c:catAx>
      <c:valAx>
        <c:axId val="105588496"/>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703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P07 Q4 — Collection-risk months — actual / planned inflow below 70%</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'Q&amp;A Chart Dashboard'!$BB$209</c:f>
              <c:strCache>
                <c:ptCount val="1"/>
                <c:pt idx="0">
                  <c:v>Actual ÷ planned inflow</c:v>
                </c:pt>
              </c:strCache>
            </c:strRef>
          </c:tx>
          <c:spPr>
            <a:solidFill>
              <a:schemeClr val="accent1"/>
            </a:solidFill>
            <a:ln>
              <a:noFill/>
            </a:ln>
            <a:effectLst/>
          </c:spPr>
          <c:invertIfNegative val="0"/>
          <c:cat>
            <c:strRef>
              <c:f>'Q&amp;A Chart Dashboard'!$BA$210:$BA$223</c:f>
              <c:strCache>
                <c:ptCount val="14"/>
                <c:pt idx="0">
                  <c:v>2024-01 · WT-DC-MUM-01</c:v>
                </c:pt>
                <c:pt idx="1">
                  <c:v>2024-04 · WT-DC-MUM-01</c:v>
                </c:pt>
                <c:pt idx="2">
                  <c:v>2024-07 · WT-DC-MUM-01</c:v>
                </c:pt>
                <c:pt idx="3">
                  <c:v>2024-10 · WT-DC-MUM-01</c:v>
                </c:pt>
                <c:pt idx="4">
                  <c:v>2024-01 · WT-OFF-SYD-02</c:v>
                </c:pt>
                <c:pt idx="5">
                  <c:v>2024-03 · WT-OFF-SYD-02</c:v>
                </c:pt>
                <c:pt idx="6">
                  <c:v>2024-04 · WT-OFF-SYD-02</c:v>
                </c:pt>
                <c:pt idx="7">
                  <c:v>2024-08 · WT-OFF-SYD-02</c:v>
                </c:pt>
                <c:pt idx="8">
                  <c:v>2024-03 · WT-HOS-AKL-03</c:v>
                </c:pt>
                <c:pt idx="9">
                  <c:v>2024-04 · WT-HOS-AKL-03</c:v>
                </c:pt>
                <c:pt idx="10">
                  <c:v>2024-06 · WT-HOS-AKL-03</c:v>
                </c:pt>
                <c:pt idx="11">
                  <c:v>2024-07 · WT-HOS-AKL-03</c:v>
                </c:pt>
                <c:pt idx="12">
                  <c:v>2024-08 · WT-HOS-AKL-03</c:v>
                </c:pt>
                <c:pt idx="13">
                  <c:v>2024-10 · WT-HOS-AKL-03</c:v>
                </c:pt>
              </c:strCache>
            </c:strRef>
          </c:cat>
          <c:val>
            <c:numRef>
              <c:f>'Q&amp;A Chart Dashboard'!$BB$210:$BB$223</c:f>
              <c:numCache>
                <c:formatCode>0.0%</c:formatCode>
                <c:ptCount val="14"/>
                <c:pt idx="0">
                  <c:v>0.62958124108260549</c:v>
                </c:pt>
                <c:pt idx="1">
                  <c:v>0.68789430967441212</c:v>
                </c:pt>
                <c:pt idx="2">
                  <c:v>0.65365026394568226</c:v>
                </c:pt>
                <c:pt idx="3">
                  <c:v>0.65632302414559607</c:v>
                </c:pt>
                <c:pt idx="4">
                  <c:v>0.68774624517425564</c:v>
                </c:pt>
                <c:pt idx="5">
                  <c:v>0.64769249861711431</c:v>
                </c:pt>
                <c:pt idx="6">
                  <c:v>0.60341408957611309</c:v>
                </c:pt>
                <c:pt idx="7">
                  <c:v>0.67985781681465562</c:v>
                </c:pt>
                <c:pt idx="8">
                  <c:v>0.64093502935336177</c:v>
                </c:pt>
                <c:pt idx="9">
                  <c:v>0.63905093995412621</c:v>
                </c:pt>
                <c:pt idx="10">
                  <c:v>0.67492570487009385</c:v>
                </c:pt>
                <c:pt idx="11">
                  <c:v>0.65811916499645839</c:v>
                </c:pt>
                <c:pt idx="12">
                  <c:v>0.64547000928868881</c:v>
                </c:pt>
                <c:pt idx="13">
                  <c:v>0.62886778383155884</c:v>
                </c:pt>
              </c:numCache>
            </c:numRef>
          </c:val>
          <c:extLst>
            <c:ext xmlns:c16="http://schemas.microsoft.com/office/drawing/2014/chart" uri="{C3380CC4-5D6E-409C-BE32-E72D297353CC}">
              <c16:uniqueId val="{00000000-9A2E-4DDE-A776-D099B8051A5B}"/>
            </c:ext>
          </c:extLst>
        </c:ser>
        <c:dLbls>
          <c:showLegendKey val="0"/>
          <c:showVal val="0"/>
          <c:showCatName val="0"/>
          <c:showSerName val="0"/>
          <c:showPercent val="0"/>
          <c:showBubbleSize val="0"/>
        </c:dLbls>
        <c:gapWidth val="182"/>
        <c:axId val="480475984"/>
        <c:axId val="105628816"/>
      </c:barChart>
      <c:catAx>
        <c:axId val="480475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28816"/>
        <c:crosses val="autoZero"/>
        <c:auto val="1"/>
        <c:lblAlgn val="ctr"/>
        <c:lblOffset val="100"/>
        <c:noMultiLvlLbl val="0"/>
      </c:catAx>
      <c:valAx>
        <c:axId val="10562881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47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P07 Q5 — Cash surplus / deficit build-up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Dashboard'!$BB$226</c:f>
              <c:strCache>
                <c:ptCount val="1"/>
                <c:pt idx="0">
                  <c:v>Amount USD</c:v>
                </c:pt>
              </c:strCache>
            </c:strRef>
          </c:tx>
          <c:spPr>
            <a:solidFill>
              <a:schemeClr val="accent1"/>
            </a:solidFill>
            <a:ln>
              <a:noFill/>
            </a:ln>
            <a:effectLst/>
          </c:spPr>
          <c:invertIfNegative val="0"/>
          <c:cat>
            <c:strRef>
              <c:f>'Q&amp;A Chart Dashboard'!$BA$227:$BA$231</c:f>
              <c:strCache>
                <c:ptCount val="5"/>
                <c:pt idx="0">
                  <c:v>Planned inflow</c:v>
                </c:pt>
                <c:pt idx="1">
                  <c:v>Actual inflow</c:v>
                </c:pt>
                <c:pt idx="2">
                  <c:v>Planned outflow</c:v>
                </c:pt>
                <c:pt idx="3">
                  <c:v>Actual outflow</c:v>
                </c:pt>
                <c:pt idx="4">
                  <c:v>Net surplus / (deficit)</c:v>
                </c:pt>
              </c:strCache>
            </c:strRef>
          </c:cat>
          <c:val>
            <c:numRef>
              <c:f>'Q&amp;A Chart Dashboard'!$BB$227:$BB$231</c:f>
              <c:numCache>
                <c:formatCode>[$$-409]#,##0</c:formatCode>
                <c:ptCount val="5"/>
                <c:pt idx="0">
                  <c:v>55903347</c:v>
                </c:pt>
                <c:pt idx="1">
                  <c:v>43006437</c:v>
                </c:pt>
                <c:pt idx="2">
                  <c:v>49699767</c:v>
                </c:pt>
                <c:pt idx="3">
                  <c:v>50322924</c:v>
                </c:pt>
                <c:pt idx="4">
                  <c:v>-7316487</c:v>
                </c:pt>
              </c:numCache>
            </c:numRef>
          </c:val>
          <c:extLst>
            <c:ext xmlns:c16="http://schemas.microsoft.com/office/drawing/2014/chart" uri="{C3380CC4-5D6E-409C-BE32-E72D297353CC}">
              <c16:uniqueId val="{00000000-6169-469D-8B2F-EA64BA18E2F0}"/>
            </c:ext>
          </c:extLst>
        </c:ser>
        <c:dLbls>
          <c:showLegendKey val="0"/>
          <c:showVal val="0"/>
          <c:showCatName val="0"/>
          <c:showSerName val="0"/>
          <c:showPercent val="0"/>
          <c:showBubbleSize val="0"/>
        </c:dLbls>
        <c:gapWidth val="219"/>
        <c:overlap val="-27"/>
        <c:axId val="480525632"/>
        <c:axId val="105603856"/>
      </c:barChart>
      <c:catAx>
        <c:axId val="4805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03856"/>
        <c:crosses val="autoZero"/>
        <c:auto val="1"/>
        <c:lblAlgn val="ctr"/>
        <c:lblOffset val="100"/>
        <c:noMultiLvlLbl val="0"/>
      </c:catAx>
      <c:valAx>
        <c:axId val="10560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2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P07 Q6 — Cash-flow forecast accuracy by project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Dashboard'!$BB$234</c:f>
              <c:strCache>
                <c:ptCount val="1"/>
                <c:pt idx="0">
                  <c:v>Forecast accuracy %</c:v>
                </c:pt>
              </c:strCache>
            </c:strRef>
          </c:tx>
          <c:spPr>
            <a:solidFill>
              <a:schemeClr val="accent1"/>
            </a:solidFill>
            <a:ln>
              <a:noFill/>
            </a:ln>
            <a:effectLst/>
          </c:spPr>
          <c:invertIfNegative val="0"/>
          <c:cat>
            <c:strRef>
              <c:f>'Q&amp;A Chart Dashboard'!$BA$235:$BA$239</c:f>
              <c:strCache>
                <c:ptCount val="5"/>
                <c:pt idx="0">
                  <c:v>WT-DC-MUM-01</c:v>
                </c:pt>
                <c:pt idx="1">
                  <c:v>WT-OFF-SYD-02</c:v>
                </c:pt>
                <c:pt idx="2">
                  <c:v>WT-HOS-AKL-03</c:v>
                </c:pt>
                <c:pt idx="3">
                  <c:v>WT-ITP-BLR-04</c:v>
                </c:pt>
                <c:pt idx="4">
                  <c:v>PORTFOLIO</c:v>
                </c:pt>
              </c:strCache>
            </c:strRef>
          </c:cat>
          <c:val>
            <c:numRef>
              <c:f>'Q&amp;A Chart Dashboard'!$BB$235:$BB$239</c:f>
              <c:numCache>
                <c:formatCode>0.0%</c:formatCode>
                <c:ptCount val="5"/>
                <c:pt idx="0">
                  <c:v>0.7771923076302989</c:v>
                </c:pt>
                <c:pt idx="1">
                  <c:v>0.77792698591587583</c:v>
                </c:pt>
                <c:pt idx="2">
                  <c:v>0.74342173457822081</c:v>
                </c:pt>
                <c:pt idx="3">
                  <c:v>0.77942629354764803</c:v>
                </c:pt>
                <c:pt idx="4">
                  <c:v>0.76929985963094483</c:v>
                </c:pt>
              </c:numCache>
            </c:numRef>
          </c:val>
          <c:extLst>
            <c:ext xmlns:c16="http://schemas.microsoft.com/office/drawing/2014/chart" uri="{C3380CC4-5D6E-409C-BE32-E72D297353CC}">
              <c16:uniqueId val="{00000000-FAC4-4DAE-83FB-2B9D665D79C5}"/>
            </c:ext>
          </c:extLst>
        </c:ser>
        <c:dLbls>
          <c:showLegendKey val="0"/>
          <c:showVal val="0"/>
          <c:showCatName val="0"/>
          <c:showSerName val="0"/>
          <c:showPercent val="0"/>
          <c:showBubbleSize val="0"/>
        </c:dLbls>
        <c:gapWidth val="219"/>
        <c:overlap val="-27"/>
        <c:axId val="480570640"/>
        <c:axId val="105576016"/>
      </c:barChart>
      <c:catAx>
        <c:axId val="4805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76016"/>
        <c:crosses val="autoZero"/>
        <c:auto val="1"/>
        <c:lblAlgn val="ctr"/>
        <c:lblOffset val="100"/>
        <c:noMultiLvlLbl val="0"/>
      </c:catAx>
      <c:valAx>
        <c:axId val="1055760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7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P08 Q1 — Approved vs total VO cost by project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Dashboard'!$BB$242</c:f>
              <c:strCache>
                <c:ptCount val="1"/>
                <c:pt idx="0">
                  <c:v>Approved VO cost USD</c:v>
                </c:pt>
              </c:strCache>
            </c:strRef>
          </c:tx>
          <c:spPr>
            <a:solidFill>
              <a:schemeClr val="accent1"/>
            </a:solidFill>
            <a:ln>
              <a:noFill/>
            </a:ln>
            <a:effectLst/>
          </c:spPr>
          <c:invertIfNegative val="0"/>
          <c:cat>
            <c:strRef>
              <c:f>'Q&amp;A Chart Dashboard'!$BA$243:$BA$246</c:f>
              <c:strCache>
                <c:ptCount val="4"/>
                <c:pt idx="0">
                  <c:v>WT-DC-MUM-01</c:v>
                </c:pt>
                <c:pt idx="1">
                  <c:v>WT-OFF-SYD-02</c:v>
                </c:pt>
                <c:pt idx="2">
                  <c:v>WT-HOS-AKL-03</c:v>
                </c:pt>
                <c:pt idx="3">
                  <c:v>WT-RES-MEL-05</c:v>
                </c:pt>
              </c:strCache>
            </c:strRef>
          </c:cat>
          <c:val>
            <c:numRef>
              <c:f>'Q&amp;A Chart Dashboard'!$BB$243:$BB$246</c:f>
              <c:numCache>
                <c:formatCode>[$$-409]#,##0</c:formatCode>
                <c:ptCount val="4"/>
                <c:pt idx="0">
                  <c:v>791101</c:v>
                </c:pt>
                <c:pt idx="1">
                  <c:v>583674</c:v>
                </c:pt>
                <c:pt idx="2">
                  <c:v>1919398</c:v>
                </c:pt>
                <c:pt idx="3">
                  <c:v>892260</c:v>
                </c:pt>
              </c:numCache>
            </c:numRef>
          </c:val>
          <c:extLst>
            <c:ext xmlns:c16="http://schemas.microsoft.com/office/drawing/2014/chart" uri="{C3380CC4-5D6E-409C-BE32-E72D297353CC}">
              <c16:uniqueId val="{00000000-428C-443F-B8E9-63095A3B0A49}"/>
            </c:ext>
          </c:extLst>
        </c:ser>
        <c:ser>
          <c:idx val="1"/>
          <c:order val="1"/>
          <c:tx>
            <c:strRef>
              <c:f>'Q&amp;A Chart Dashboard'!$BC$242</c:f>
              <c:strCache>
                <c:ptCount val="1"/>
                <c:pt idx="0">
                  <c:v>All VO cost USD</c:v>
                </c:pt>
              </c:strCache>
            </c:strRef>
          </c:tx>
          <c:spPr>
            <a:solidFill>
              <a:schemeClr val="accent2"/>
            </a:solidFill>
            <a:ln>
              <a:noFill/>
            </a:ln>
            <a:effectLst/>
          </c:spPr>
          <c:invertIfNegative val="0"/>
          <c:cat>
            <c:strRef>
              <c:f>'Q&amp;A Chart Dashboard'!$BA$243:$BA$246</c:f>
              <c:strCache>
                <c:ptCount val="4"/>
                <c:pt idx="0">
                  <c:v>WT-DC-MUM-01</c:v>
                </c:pt>
                <c:pt idx="1">
                  <c:v>WT-OFF-SYD-02</c:v>
                </c:pt>
                <c:pt idx="2">
                  <c:v>WT-HOS-AKL-03</c:v>
                </c:pt>
                <c:pt idx="3">
                  <c:v>WT-RES-MEL-05</c:v>
                </c:pt>
              </c:strCache>
            </c:strRef>
          </c:cat>
          <c:val>
            <c:numRef>
              <c:f>'Q&amp;A Chart Dashboard'!$BC$243:$BC$246</c:f>
              <c:numCache>
                <c:formatCode>[$$-409]#,##0</c:formatCode>
                <c:ptCount val="4"/>
                <c:pt idx="0">
                  <c:v>2083172</c:v>
                </c:pt>
                <c:pt idx="1">
                  <c:v>4884716</c:v>
                </c:pt>
                <c:pt idx="2">
                  <c:v>3608761</c:v>
                </c:pt>
                <c:pt idx="3">
                  <c:v>3770085</c:v>
                </c:pt>
              </c:numCache>
            </c:numRef>
          </c:val>
          <c:extLst>
            <c:ext xmlns:c16="http://schemas.microsoft.com/office/drawing/2014/chart" uri="{C3380CC4-5D6E-409C-BE32-E72D297353CC}">
              <c16:uniqueId val="{00000001-428C-443F-B8E9-63095A3B0A49}"/>
            </c:ext>
          </c:extLst>
        </c:ser>
        <c:dLbls>
          <c:showLegendKey val="0"/>
          <c:showVal val="0"/>
          <c:showCatName val="0"/>
          <c:showSerName val="0"/>
          <c:showPercent val="0"/>
          <c:showBubbleSize val="0"/>
        </c:dLbls>
        <c:gapWidth val="219"/>
        <c:overlap val="-27"/>
        <c:axId val="361644176"/>
        <c:axId val="105677776"/>
      </c:barChart>
      <c:catAx>
        <c:axId val="3616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77776"/>
        <c:crosses val="autoZero"/>
        <c:auto val="1"/>
        <c:lblAlgn val="ctr"/>
        <c:lblOffset val="100"/>
        <c:noMultiLvlLbl val="0"/>
      </c:catAx>
      <c:valAx>
        <c:axId val="10567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6164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P08 Q2 — Change orders raised by initiator</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pieChart>
        <c:varyColors val="1"/>
        <c:ser>
          <c:idx val="0"/>
          <c:order val="0"/>
          <c:tx>
            <c:strRef>
              <c:f>'Analysis report'!$B$545</c:f>
              <c:strCache>
                <c:ptCount val="1"/>
                <c:pt idx="0">
                  <c:v>VOs Raised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BC-4907-8452-3F7ECE7C45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BC-4907-8452-3F7ECE7C45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BC-4907-8452-3F7ECE7C45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BC-4907-8452-3F7ECE7C4515}"/>
              </c:ext>
            </c:extLst>
          </c:dPt>
          <c:cat>
            <c:strRef>
              <c:f>'Analysis report'!$A$546:$A$549</c:f>
              <c:strCache>
                <c:ptCount val="4"/>
                <c:pt idx="0">
                  <c:v>Client</c:v>
                </c:pt>
                <c:pt idx="1">
                  <c:v>Consultant</c:v>
                </c:pt>
                <c:pt idx="2">
                  <c:v>Contractor</c:v>
                </c:pt>
                <c:pt idx="3">
                  <c:v>Architect</c:v>
                </c:pt>
              </c:strCache>
            </c:strRef>
          </c:cat>
          <c:val>
            <c:numRef>
              <c:f>'Analysis report'!$B$546:$B$549</c:f>
              <c:numCache>
                <c:formatCode>General</c:formatCode>
                <c:ptCount val="4"/>
                <c:pt idx="0">
                  <c:v>11</c:v>
                </c:pt>
                <c:pt idx="1">
                  <c:v>16</c:v>
                </c:pt>
                <c:pt idx="2">
                  <c:v>4</c:v>
                </c:pt>
                <c:pt idx="3">
                  <c:v>14</c:v>
                </c:pt>
              </c:numCache>
            </c:numRef>
          </c:val>
          <c:extLst>
            <c:ext xmlns:c16="http://schemas.microsoft.com/office/drawing/2014/chart" uri="{C3380CC4-5D6E-409C-BE32-E72D297353CC}">
              <c16:uniqueId val="{00000000-5329-4156-9264-146C7620349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P08 Q3 — Change orders by status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doughnutChart>
        <c:varyColors val="1"/>
        <c:ser>
          <c:idx val="0"/>
          <c:order val="0"/>
          <c:tx>
            <c:strRef>
              <c:f>'Analysis report'!$B$554</c:f>
              <c:strCache>
                <c:ptCount val="1"/>
                <c:pt idx="0">
                  <c:v>VOs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9C-4F91-B9DD-FFA144202B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9C-4F91-B9DD-FFA144202B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9C-4F91-B9DD-FFA144202B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9C-4F91-B9DD-FFA144202BC2}"/>
              </c:ext>
            </c:extLst>
          </c:dPt>
          <c:cat>
            <c:strRef>
              <c:f>'Analysis report'!$A$555:$A$558</c:f>
              <c:strCache>
                <c:ptCount val="4"/>
                <c:pt idx="0">
                  <c:v>Approved</c:v>
                </c:pt>
                <c:pt idx="1">
                  <c:v>Pending</c:v>
                </c:pt>
                <c:pt idx="2">
                  <c:v>Under Review</c:v>
                </c:pt>
                <c:pt idx="3">
                  <c:v>Rejected</c:v>
                </c:pt>
              </c:strCache>
            </c:strRef>
          </c:cat>
          <c:val>
            <c:numRef>
              <c:f>'Analysis report'!$B$555:$B$558</c:f>
              <c:numCache>
                <c:formatCode>General</c:formatCode>
                <c:ptCount val="4"/>
                <c:pt idx="0">
                  <c:v>13</c:v>
                </c:pt>
                <c:pt idx="1">
                  <c:v>7</c:v>
                </c:pt>
                <c:pt idx="2">
                  <c:v>8</c:v>
                </c:pt>
                <c:pt idx="3">
                  <c:v>17</c:v>
                </c:pt>
              </c:numCache>
            </c:numRef>
          </c:val>
          <c:extLst>
            <c:ext xmlns:c16="http://schemas.microsoft.com/office/drawing/2014/chart" uri="{C3380CC4-5D6E-409C-BE32-E72D297353CC}">
              <c16:uniqueId val="{00000000-E68F-4122-98CE-5C3B3E0115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P08 Q4 — VO cost impact vs time impact — r = 0.124</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scatterChart>
        <c:scatterStyle val="lineMarker"/>
        <c:varyColors val="0"/>
        <c:ser>
          <c:idx val="0"/>
          <c:order val="0"/>
          <c:tx>
            <c:strRef>
              <c:f>'P08-ChangeOrder'!$F$4</c:f>
              <c:strCache>
                <c:ptCount val="1"/>
                <c:pt idx="0">
                  <c:v>Time_Impact_Days</c:v>
                </c:pt>
              </c:strCache>
            </c:strRef>
          </c:tx>
          <c:spPr>
            <a:ln w="28575" cap="rnd">
              <a:noFill/>
              <a:round/>
            </a:ln>
            <a:effectLst/>
          </c:spPr>
          <c:marker>
            <c:symbol val="circle"/>
            <c:size val="5"/>
            <c:spPr>
              <a:solidFill>
                <a:schemeClr val="accent1"/>
              </a:solidFill>
              <a:ln w="9525">
                <a:solidFill>
                  <a:schemeClr val="accent1"/>
                </a:solidFill>
              </a:ln>
              <a:effectLst/>
            </c:spPr>
          </c:marker>
          <c:xVal>
            <c:numRef>
              <c:f>'P08-ChangeOrder'!$E$5:$E$49</c:f>
              <c:numCache>
                <c:formatCode>General</c:formatCode>
                <c:ptCount val="45"/>
                <c:pt idx="0">
                  <c:v>444793</c:v>
                </c:pt>
                <c:pt idx="1">
                  <c:v>268127</c:v>
                </c:pt>
                <c:pt idx="2">
                  <c:v>45722</c:v>
                </c:pt>
                <c:pt idx="3">
                  <c:v>45536</c:v>
                </c:pt>
                <c:pt idx="4">
                  <c:v>492282</c:v>
                </c:pt>
                <c:pt idx="5">
                  <c:v>383761</c:v>
                </c:pt>
                <c:pt idx="6">
                  <c:v>787324</c:v>
                </c:pt>
                <c:pt idx="7">
                  <c:v>114455</c:v>
                </c:pt>
                <c:pt idx="8">
                  <c:v>115344</c:v>
                </c:pt>
                <c:pt idx="9">
                  <c:v>207286</c:v>
                </c:pt>
                <c:pt idx="10">
                  <c:v>767024</c:v>
                </c:pt>
                <c:pt idx="11">
                  <c:v>195489</c:v>
                </c:pt>
                <c:pt idx="12">
                  <c:v>711709</c:v>
                </c:pt>
                <c:pt idx="13">
                  <c:v>577493</c:v>
                </c:pt>
                <c:pt idx="14">
                  <c:v>378897</c:v>
                </c:pt>
                <c:pt idx="15">
                  <c:v>123404</c:v>
                </c:pt>
                <c:pt idx="16">
                  <c:v>641814</c:v>
                </c:pt>
                <c:pt idx="17">
                  <c:v>-152064</c:v>
                </c:pt>
                <c:pt idx="18">
                  <c:v>109531</c:v>
                </c:pt>
                <c:pt idx="19">
                  <c:v>323555</c:v>
                </c:pt>
                <c:pt idx="20">
                  <c:v>283214</c:v>
                </c:pt>
                <c:pt idx="21">
                  <c:v>-7012</c:v>
                </c:pt>
                <c:pt idx="22">
                  <c:v>791101</c:v>
                </c:pt>
                <c:pt idx="23">
                  <c:v>-128731</c:v>
                </c:pt>
                <c:pt idx="24">
                  <c:v>447847</c:v>
                </c:pt>
                <c:pt idx="25">
                  <c:v>-187574</c:v>
                </c:pt>
                <c:pt idx="26">
                  <c:v>645328</c:v>
                </c:pt>
                <c:pt idx="27">
                  <c:v>449887</c:v>
                </c:pt>
                <c:pt idx="28">
                  <c:v>-117143</c:v>
                </c:pt>
                <c:pt idx="29">
                  <c:v>114546</c:v>
                </c:pt>
                <c:pt idx="30">
                  <c:v>379549</c:v>
                </c:pt>
                <c:pt idx="31">
                  <c:v>-113298</c:v>
                </c:pt>
                <c:pt idx="32">
                  <c:v>738256</c:v>
                </c:pt>
                <c:pt idx="33">
                  <c:v>84263</c:v>
                </c:pt>
                <c:pt idx="34">
                  <c:v>-11934</c:v>
                </c:pt>
                <c:pt idx="35">
                  <c:v>773995</c:v>
                </c:pt>
                <c:pt idx="36">
                  <c:v>509922</c:v>
                </c:pt>
                <c:pt idx="37">
                  <c:v>325119</c:v>
                </c:pt>
                <c:pt idx="38">
                  <c:v>157137</c:v>
                </c:pt>
                <c:pt idx="39">
                  <c:v>314435</c:v>
                </c:pt>
                <c:pt idx="40">
                  <c:v>512711</c:v>
                </c:pt>
                <c:pt idx="41">
                  <c:v>547748</c:v>
                </c:pt>
                <c:pt idx="42">
                  <c:v>575584</c:v>
                </c:pt>
                <c:pt idx="43">
                  <c:v>788765</c:v>
                </c:pt>
                <c:pt idx="44">
                  <c:v>-108463</c:v>
                </c:pt>
              </c:numCache>
            </c:numRef>
          </c:xVal>
          <c:yVal>
            <c:numRef>
              <c:f>'P08-ChangeOrder'!$F$5:$F$49</c:f>
              <c:numCache>
                <c:formatCode>General</c:formatCode>
                <c:ptCount val="45"/>
                <c:pt idx="0">
                  <c:v>-4</c:v>
                </c:pt>
                <c:pt idx="1">
                  <c:v>-2</c:v>
                </c:pt>
                <c:pt idx="2">
                  <c:v>29</c:v>
                </c:pt>
                <c:pt idx="3">
                  <c:v>15</c:v>
                </c:pt>
                <c:pt idx="4">
                  <c:v>28</c:v>
                </c:pt>
                <c:pt idx="5">
                  <c:v>6</c:v>
                </c:pt>
                <c:pt idx="6">
                  <c:v>19</c:v>
                </c:pt>
                <c:pt idx="7">
                  <c:v>19</c:v>
                </c:pt>
                <c:pt idx="8">
                  <c:v>4</c:v>
                </c:pt>
                <c:pt idx="9">
                  <c:v>10</c:v>
                </c:pt>
                <c:pt idx="10">
                  <c:v>23</c:v>
                </c:pt>
                <c:pt idx="11">
                  <c:v>-3</c:v>
                </c:pt>
                <c:pt idx="12">
                  <c:v>16</c:v>
                </c:pt>
                <c:pt idx="13">
                  <c:v>2</c:v>
                </c:pt>
                <c:pt idx="14">
                  <c:v>15</c:v>
                </c:pt>
                <c:pt idx="15">
                  <c:v>11</c:v>
                </c:pt>
                <c:pt idx="16">
                  <c:v>25</c:v>
                </c:pt>
                <c:pt idx="17">
                  <c:v>9</c:v>
                </c:pt>
                <c:pt idx="18">
                  <c:v>4</c:v>
                </c:pt>
                <c:pt idx="19">
                  <c:v>30</c:v>
                </c:pt>
                <c:pt idx="20">
                  <c:v>5</c:v>
                </c:pt>
                <c:pt idx="21">
                  <c:v>29</c:v>
                </c:pt>
                <c:pt idx="22">
                  <c:v>-2</c:v>
                </c:pt>
                <c:pt idx="23">
                  <c:v>4</c:v>
                </c:pt>
                <c:pt idx="24">
                  <c:v>25</c:v>
                </c:pt>
                <c:pt idx="25">
                  <c:v>-4</c:v>
                </c:pt>
                <c:pt idx="26">
                  <c:v>6</c:v>
                </c:pt>
                <c:pt idx="27">
                  <c:v>28</c:v>
                </c:pt>
                <c:pt idx="28">
                  <c:v>18</c:v>
                </c:pt>
                <c:pt idx="29">
                  <c:v>0</c:v>
                </c:pt>
                <c:pt idx="30">
                  <c:v>25</c:v>
                </c:pt>
                <c:pt idx="31">
                  <c:v>26</c:v>
                </c:pt>
                <c:pt idx="32">
                  <c:v>28</c:v>
                </c:pt>
                <c:pt idx="33">
                  <c:v>-3</c:v>
                </c:pt>
                <c:pt idx="34">
                  <c:v>15</c:v>
                </c:pt>
                <c:pt idx="35">
                  <c:v>-1</c:v>
                </c:pt>
                <c:pt idx="36">
                  <c:v>29</c:v>
                </c:pt>
                <c:pt idx="37">
                  <c:v>17</c:v>
                </c:pt>
                <c:pt idx="38">
                  <c:v>20</c:v>
                </c:pt>
                <c:pt idx="39">
                  <c:v>9</c:v>
                </c:pt>
                <c:pt idx="40">
                  <c:v>19</c:v>
                </c:pt>
                <c:pt idx="41">
                  <c:v>-1</c:v>
                </c:pt>
                <c:pt idx="42">
                  <c:v>19</c:v>
                </c:pt>
                <c:pt idx="43">
                  <c:v>14</c:v>
                </c:pt>
                <c:pt idx="44">
                  <c:v>6</c:v>
                </c:pt>
              </c:numCache>
            </c:numRef>
          </c:yVal>
          <c:smooth val="0"/>
          <c:extLst>
            <c:ext xmlns:c16="http://schemas.microsoft.com/office/drawing/2014/chart" uri="{C3380CC4-5D6E-409C-BE32-E72D297353CC}">
              <c16:uniqueId val="{00000000-68F8-4ECC-9E78-9FD1FCD4A0BB}"/>
            </c:ext>
          </c:extLst>
        </c:ser>
        <c:dLbls>
          <c:showLegendKey val="0"/>
          <c:showVal val="0"/>
          <c:showCatName val="0"/>
          <c:showSerName val="0"/>
          <c:showPercent val="0"/>
          <c:showBubbleSize val="0"/>
        </c:dLbls>
        <c:axId val="480713552"/>
        <c:axId val="105638896"/>
      </c:scatterChart>
      <c:valAx>
        <c:axId val="48071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38896"/>
        <c:crosses val="autoZero"/>
        <c:crossBetween val="midCat"/>
      </c:valAx>
      <c:valAx>
        <c:axId val="105638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7135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P08 Q5 — Change-order frequency per active month</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Dashboard'!$BB$249</c:f>
              <c:strCache>
                <c:ptCount val="1"/>
                <c:pt idx="0">
                  <c:v>VOs per active month</c:v>
                </c:pt>
              </c:strCache>
            </c:strRef>
          </c:tx>
          <c:spPr>
            <a:solidFill>
              <a:schemeClr val="accent1"/>
            </a:solidFill>
            <a:ln>
              <a:noFill/>
            </a:ln>
            <a:effectLst/>
          </c:spPr>
          <c:invertIfNegative val="0"/>
          <c:cat>
            <c:strRef>
              <c:f>'Q&amp;A Chart Dashboard'!$BA$250:$BA$253</c:f>
              <c:strCache>
                <c:ptCount val="4"/>
                <c:pt idx="0">
                  <c:v>WT-DC-MUM-01</c:v>
                </c:pt>
                <c:pt idx="1">
                  <c:v>WT-OFF-SYD-02</c:v>
                </c:pt>
                <c:pt idx="2">
                  <c:v>WT-HOS-AKL-03</c:v>
                </c:pt>
                <c:pt idx="3">
                  <c:v>WT-RES-MEL-05</c:v>
                </c:pt>
              </c:strCache>
            </c:strRef>
          </c:cat>
          <c:val>
            <c:numRef>
              <c:f>'Q&amp;A Chart Dashboard'!$BB$250:$BB$253</c:f>
              <c:numCache>
                <c:formatCode>0.00</c:formatCode>
                <c:ptCount val="4"/>
                <c:pt idx="0">
                  <c:v>0.8</c:v>
                </c:pt>
                <c:pt idx="1">
                  <c:v>1.1666666666666667</c:v>
                </c:pt>
                <c:pt idx="2">
                  <c:v>1.2</c:v>
                </c:pt>
                <c:pt idx="3">
                  <c:v>0.84615384615384615</c:v>
                </c:pt>
              </c:numCache>
            </c:numRef>
          </c:val>
          <c:extLst>
            <c:ext xmlns:c16="http://schemas.microsoft.com/office/drawing/2014/chart" uri="{C3380CC4-5D6E-409C-BE32-E72D297353CC}">
              <c16:uniqueId val="{00000000-4FB4-410E-ACAC-F3A0017FCEBC}"/>
            </c:ext>
          </c:extLst>
        </c:ser>
        <c:dLbls>
          <c:showLegendKey val="0"/>
          <c:showVal val="0"/>
          <c:showCatName val="0"/>
          <c:showSerName val="0"/>
          <c:showPercent val="0"/>
          <c:showBubbleSize val="0"/>
        </c:dLbls>
        <c:gapWidth val="219"/>
        <c:overlap val="-27"/>
        <c:axId val="480543728"/>
        <c:axId val="105631696"/>
      </c:barChart>
      <c:catAx>
        <c:axId val="48054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31696"/>
        <c:crosses val="autoZero"/>
        <c:auto val="1"/>
        <c:lblAlgn val="ctr"/>
        <c:lblOffset val="100"/>
        <c:noMultiLvlLbl val="0"/>
      </c:catAx>
      <c:valAx>
        <c:axId val="105631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4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P08 Q6 — VO value by status per project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stacked"/>
        <c:varyColors val="0"/>
        <c:ser>
          <c:idx val="0"/>
          <c:order val="0"/>
          <c:tx>
            <c:strRef>
              <c:f>'Analysis report'!$B$576</c:f>
              <c:strCache>
                <c:ptCount val="1"/>
                <c:pt idx="0">
                  <c:v>Approved USD</c:v>
                </c:pt>
              </c:strCache>
            </c:strRef>
          </c:tx>
          <c:spPr>
            <a:solidFill>
              <a:schemeClr val="accent1"/>
            </a:solidFill>
            <a:ln>
              <a:noFill/>
            </a:ln>
            <a:effectLst/>
          </c:spPr>
          <c:invertIfNegative val="0"/>
          <c:cat>
            <c:strRef>
              <c:f>'Analysis report'!$A$577:$A$580</c:f>
              <c:strCache>
                <c:ptCount val="4"/>
                <c:pt idx="0">
                  <c:v>WT-DC-MUM-01</c:v>
                </c:pt>
                <c:pt idx="1">
                  <c:v>WT-OFF-SYD-02</c:v>
                </c:pt>
                <c:pt idx="2">
                  <c:v>WT-HOS-AKL-03</c:v>
                </c:pt>
                <c:pt idx="3">
                  <c:v>WT-RES-MEL-05</c:v>
                </c:pt>
              </c:strCache>
            </c:strRef>
          </c:cat>
          <c:val>
            <c:numRef>
              <c:f>'Analysis report'!$B$577:$B$580</c:f>
              <c:numCache>
                <c:formatCode>[$$-409]#,##0</c:formatCode>
                <c:ptCount val="4"/>
                <c:pt idx="0">
                  <c:v>791101</c:v>
                </c:pt>
                <c:pt idx="1">
                  <c:v>583674</c:v>
                </c:pt>
                <c:pt idx="2">
                  <c:v>1919398</c:v>
                </c:pt>
                <c:pt idx="3">
                  <c:v>892260</c:v>
                </c:pt>
              </c:numCache>
            </c:numRef>
          </c:val>
          <c:extLst>
            <c:ext xmlns:c16="http://schemas.microsoft.com/office/drawing/2014/chart" uri="{C3380CC4-5D6E-409C-BE32-E72D297353CC}">
              <c16:uniqueId val="{00000000-8413-4A1F-8015-E279A5DB95FB}"/>
            </c:ext>
          </c:extLst>
        </c:ser>
        <c:ser>
          <c:idx val="1"/>
          <c:order val="1"/>
          <c:tx>
            <c:strRef>
              <c:f>'Analysis report'!$C$576</c:f>
              <c:strCache>
                <c:ptCount val="1"/>
                <c:pt idx="0">
                  <c:v>Pending USD</c:v>
                </c:pt>
              </c:strCache>
            </c:strRef>
          </c:tx>
          <c:spPr>
            <a:solidFill>
              <a:schemeClr val="accent2"/>
            </a:solidFill>
            <a:ln>
              <a:noFill/>
            </a:ln>
            <a:effectLst/>
          </c:spPr>
          <c:invertIfNegative val="0"/>
          <c:cat>
            <c:strRef>
              <c:f>'Analysis report'!$A$577:$A$580</c:f>
              <c:strCache>
                <c:ptCount val="4"/>
                <c:pt idx="0">
                  <c:v>WT-DC-MUM-01</c:v>
                </c:pt>
                <c:pt idx="1">
                  <c:v>WT-OFF-SYD-02</c:v>
                </c:pt>
                <c:pt idx="2">
                  <c:v>WT-HOS-AKL-03</c:v>
                </c:pt>
                <c:pt idx="3">
                  <c:v>WT-RES-MEL-05</c:v>
                </c:pt>
              </c:strCache>
            </c:strRef>
          </c:cat>
          <c:val>
            <c:numRef>
              <c:f>'Analysis report'!$C$577:$C$580</c:f>
              <c:numCache>
                <c:formatCode>[$$-409]#,##0</c:formatCode>
                <c:ptCount val="4"/>
                <c:pt idx="0">
                  <c:v>758642</c:v>
                </c:pt>
                <c:pt idx="1">
                  <c:v>0</c:v>
                </c:pt>
                <c:pt idx="2">
                  <c:v>449749</c:v>
                </c:pt>
                <c:pt idx="3">
                  <c:v>114455</c:v>
                </c:pt>
              </c:numCache>
            </c:numRef>
          </c:val>
          <c:extLst>
            <c:ext xmlns:c16="http://schemas.microsoft.com/office/drawing/2014/chart" uri="{C3380CC4-5D6E-409C-BE32-E72D297353CC}">
              <c16:uniqueId val="{00000001-8413-4A1F-8015-E279A5DB95FB}"/>
            </c:ext>
          </c:extLst>
        </c:ser>
        <c:ser>
          <c:idx val="2"/>
          <c:order val="2"/>
          <c:tx>
            <c:strRef>
              <c:f>'Analysis report'!$D$576</c:f>
              <c:strCache>
                <c:ptCount val="1"/>
                <c:pt idx="0">
                  <c:v>Under Review USD</c:v>
                </c:pt>
              </c:strCache>
            </c:strRef>
          </c:tx>
          <c:spPr>
            <a:solidFill>
              <a:schemeClr val="accent3"/>
            </a:solidFill>
            <a:ln>
              <a:noFill/>
            </a:ln>
            <a:effectLst/>
          </c:spPr>
          <c:invertIfNegative val="0"/>
          <c:cat>
            <c:strRef>
              <c:f>'Analysis report'!$A$577:$A$580</c:f>
              <c:strCache>
                <c:ptCount val="4"/>
                <c:pt idx="0">
                  <c:v>WT-DC-MUM-01</c:v>
                </c:pt>
                <c:pt idx="1">
                  <c:v>WT-OFF-SYD-02</c:v>
                </c:pt>
                <c:pt idx="2">
                  <c:v>WT-HOS-AKL-03</c:v>
                </c:pt>
                <c:pt idx="3">
                  <c:v>WT-RES-MEL-05</c:v>
                </c:pt>
              </c:strCache>
            </c:strRef>
          </c:cat>
          <c:val>
            <c:numRef>
              <c:f>'Analysis report'!$D$577:$D$580</c:f>
              <c:numCache>
                <c:formatCode>[$$-409]#,##0</c:formatCode>
                <c:ptCount val="4"/>
                <c:pt idx="0">
                  <c:v>675467</c:v>
                </c:pt>
                <c:pt idx="1">
                  <c:v>577493</c:v>
                </c:pt>
                <c:pt idx="2">
                  <c:v>158155</c:v>
                </c:pt>
                <c:pt idx="3">
                  <c:v>563191</c:v>
                </c:pt>
              </c:numCache>
            </c:numRef>
          </c:val>
          <c:extLst>
            <c:ext xmlns:c16="http://schemas.microsoft.com/office/drawing/2014/chart" uri="{C3380CC4-5D6E-409C-BE32-E72D297353CC}">
              <c16:uniqueId val="{00000002-8413-4A1F-8015-E279A5DB95FB}"/>
            </c:ext>
          </c:extLst>
        </c:ser>
        <c:ser>
          <c:idx val="3"/>
          <c:order val="3"/>
          <c:tx>
            <c:strRef>
              <c:f>'Analysis report'!$E$576</c:f>
              <c:strCache>
                <c:ptCount val="1"/>
                <c:pt idx="0">
                  <c:v>Rejected USD</c:v>
                </c:pt>
              </c:strCache>
            </c:strRef>
          </c:tx>
          <c:spPr>
            <a:solidFill>
              <a:schemeClr val="accent4"/>
            </a:solidFill>
            <a:ln>
              <a:noFill/>
            </a:ln>
            <a:effectLst/>
          </c:spPr>
          <c:invertIfNegative val="0"/>
          <c:cat>
            <c:strRef>
              <c:f>'Analysis report'!$A$577:$A$580</c:f>
              <c:strCache>
                <c:ptCount val="4"/>
                <c:pt idx="0">
                  <c:v>WT-DC-MUM-01</c:v>
                </c:pt>
                <c:pt idx="1">
                  <c:v>WT-OFF-SYD-02</c:v>
                </c:pt>
                <c:pt idx="2">
                  <c:v>WT-HOS-AKL-03</c:v>
                </c:pt>
                <c:pt idx="3">
                  <c:v>WT-RES-MEL-05</c:v>
                </c:pt>
              </c:strCache>
            </c:strRef>
          </c:cat>
          <c:val>
            <c:numRef>
              <c:f>'Analysis report'!$E$577:$E$580</c:f>
              <c:numCache>
                <c:formatCode>[$$-409]#,##0</c:formatCode>
                <c:ptCount val="4"/>
                <c:pt idx="0">
                  <c:v>-142038</c:v>
                </c:pt>
                <c:pt idx="1">
                  <c:v>3723549</c:v>
                </c:pt>
                <c:pt idx="2">
                  <c:v>1081459</c:v>
                </c:pt>
                <c:pt idx="3">
                  <c:v>2200179</c:v>
                </c:pt>
              </c:numCache>
            </c:numRef>
          </c:val>
          <c:extLst>
            <c:ext xmlns:c16="http://schemas.microsoft.com/office/drawing/2014/chart" uri="{C3380CC4-5D6E-409C-BE32-E72D297353CC}">
              <c16:uniqueId val="{00000003-8413-4A1F-8015-E279A5DB95FB}"/>
            </c:ext>
          </c:extLst>
        </c:ser>
        <c:dLbls>
          <c:showLegendKey val="0"/>
          <c:showVal val="0"/>
          <c:showCatName val="0"/>
          <c:showSerName val="0"/>
          <c:showPercent val="0"/>
          <c:showBubbleSize val="0"/>
        </c:dLbls>
        <c:gapWidth val="150"/>
        <c:overlap val="100"/>
        <c:axId val="480589200"/>
        <c:axId val="105590416"/>
      </c:barChart>
      <c:catAx>
        <c:axId val="48058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90416"/>
        <c:crosses val="autoZero"/>
        <c:auto val="1"/>
        <c:lblAlgn val="ctr"/>
        <c:lblOffset val="100"/>
        <c:noMultiLvlLbl val="0"/>
      </c:catAx>
      <c:valAx>
        <c:axId val="10559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8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P09 Q1 — Subcontractors ranked by avg weighted score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'Analysis report'!$C$586</c:f>
              <c:strCache>
                <c:ptCount val="1"/>
                <c:pt idx="0">
                  <c:v>Avg Weighted Score</c:v>
                </c:pt>
              </c:strCache>
            </c:strRef>
          </c:tx>
          <c:spPr>
            <a:solidFill>
              <a:schemeClr val="accent1"/>
            </a:solidFill>
            <a:ln>
              <a:noFill/>
            </a:ln>
            <a:effectLst/>
          </c:spPr>
          <c:invertIfNegative val="0"/>
          <c:cat>
            <c:strRef>
              <c:f>'Analysis report'!$B$587:$B$599</c:f>
              <c:strCache>
                <c:ptCount val="13"/>
                <c:pt idx="0">
                  <c:v>Contractor-C</c:v>
                </c:pt>
                <c:pt idx="1">
                  <c:v>Contractor-M</c:v>
                </c:pt>
                <c:pt idx="2">
                  <c:v>Contractor-B</c:v>
                </c:pt>
                <c:pt idx="3">
                  <c:v>Contractor-H</c:v>
                </c:pt>
                <c:pt idx="4">
                  <c:v>Contractor-F</c:v>
                </c:pt>
                <c:pt idx="5">
                  <c:v>Contractor-I</c:v>
                </c:pt>
                <c:pt idx="6">
                  <c:v>Contractor-D</c:v>
                </c:pt>
                <c:pt idx="7">
                  <c:v>Contractor-G</c:v>
                </c:pt>
                <c:pt idx="8">
                  <c:v>Contractor-J</c:v>
                </c:pt>
                <c:pt idx="9">
                  <c:v>Contractor-L</c:v>
                </c:pt>
                <c:pt idx="10">
                  <c:v>Contractor-E</c:v>
                </c:pt>
                <c:pt idx="11">
                  <c:v>Contractor-A</c:v>
                </c:pt>
                <c:pt idx="12">
                  <c:v>Contractor-N</c:v>
                </c:pt>
              </c:strCache>
            </c:strRef>
          </c:cat>
          <c:val>
            <c:numRef>
              <c:f>'Analysis report'!$C$587:$C$599</c:f>
              <c:numCache>
                <c:formatCode>0.00</c:formatCode>
                <c:ptCount val="13"/>
                <c:pt idx="0">
                  <c:v>3.86</c:v>
                </c:pt>
                <c:pt idx="1">
                  <c:v>3.7974999999999999</c:v>
                </c:pt>
                <c:pt idx="2">
                  <c:v>3.645</c:v>
                </c:pt>
                <c:pt idx="3">
                  <c:v>3.6050000000000004</c:v>
                </c:pt>
                <c:pt idx="4">
                  <c:v>3.5074999999999998</c:v>
                </c:pt>
                <c:pt idx="5">
                  <c:v>3.4716666666666662</c:v>
                </c:pt>
                <c:pt idx="6">
                  <c:v>3.47</c:v>
                </c:pt>
                <c:pt idx="7">
                  <c:v>3.3950000000000005</c:v>
                </c:pt>
                <c:pt idx="8">
                  <c:v>3.3550000000000004</c:v>
                </c:pt>
                <c:pt idx="9">
                  <c:v>3.3066666666666666</c:v>
                </c:pt>
                <c:pt idx="10">
                  <c:v>3.2474999999999996</c:v>
                </c:pt>
                <c:pt idx="11">
                  <c:v>3.24</c:v>
                </c:pt>
                <c:pt idx="12">
                  <c:v>3.1475</c:v>
                </c:pt>
              </c:numCache>
            </c:numRef>
          </c:val>
          <c:extLst>
            <c:ext xmlns:c16="http://schemas.microsoft.com/office/drawing/2014/chart" uri="{C3380CC4-5D6E-409C-BE32-E72D297353CC}">
              <c16:uniqueId val="{00000000-B91E-4B24-8FF1-19BBF4ACC285}"/>
            </c:ext>
          </c:extLst>
        </c:ser>
        <c:dLbls>
          <c:showLegendKey val="0"/>
          <c:showVal val="0"/>
          <c:showCatName val="0"/>
          <c:showSerName val="0"/>
          <c:showPercent val="0"/>
          <c:showBubbleSize val="0"/>
        </c:dLbls>
        <c:gapWidth val="182"/>
        <c:axId val="480513104"/>
        <c:axId val="105589936"/>
      </c:barChart>
      <c:catAx>
        <c:axId val="48051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589936"/>
        <c:crosses val="autoZero"/>
        <c:auto val="1"/>
        <c:lblAlgn val="ctr"/>
        <c:lblOffset val="100"/>
        <c:noMultiLvlLbl val="0"/>
      </c:catAx>
      <c:valAx>
        <c:axId val="1055899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1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P09 Q2 — Avg quality score by trade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'Analysis report'!$B$603</c:f>
              <c:strCache>
                <c:ptCount val="1"/>
                <c:pt idx="0">
                  <c:v>Avg Quality Score</c:v>
                </c:pt>
              </c:strCache>
            </c:strRef>
          </c:tx>
          <c:spPr>
            <a:solidFill>
              <a:schemeClr val="accent1"/>
            </a:solidFill>
            <a:ln>
              <a:noFill/>
            </a:ln>
            <a:effectLst/>
          </c:spPr>
          <c:invertIfNegative val="0"/>
          <c:cat>
            <c:strRef>
              <c:f>'Analysis report'!$A$604:$A$613</c:f>
              <c:strCache>
                <c:ptCount val="10"/>
                <c:pt idx="0">
                  <c:v>Civil &amp; Structure</c:v>
                </c:pt>
                <c:pt idx="1">
                  <c:v>MEP - Electrical</c:v>
                </c:pt>
                <c:pt idx="2">
                  <c:v>MEP - Plumbing</c:v>
                </c:pt>
                <c:pt idx="3">
                  <c:v>MEP - HVAC</c:v>
                </c:pt>
                <c:pt idx="4">
                  <c:v>Facade &amp; Cladding</c:v>
                </c:pt>
                <c:pt idx="5">
                  <c:v>Interior Fit-out</c:v>
                </c:pt>
                <c:pt idx="6">
                  <c:v>Fire Safety</c:v>
                </c:pt>
                <c:pt idx="7">
                  <c:v>Elevator Installation</c:v>
                </c:pt>
                <c:pt idx="8">
                  <c:v>IT &amp; Low Current</c:v>
                </c:pt>
                <c:pt idx="9">
                  <c:v>Landscaping</c:v>
                </c:pt>
              </c:strCache>
            </c:strRef>
          </c:cat>
          <c:val>
            <c:numRef>
              <c:f>'Analysis report'!$B$604:$B$613</c:f>
              <c:numCache>
                <c:formatCode>0.00</c:formatCode>
                <c:ptCount val="10"/>
                <c:pt idx="0">
                  <c:v>2.4500000000000002</c:v>
                </c:pt>
                <c:pt idx="1">
                  <c:v>3.5</c:v>
                </c:pt>
                <c:pt idx="2">
                  <c:v>3.2749999999999999</c:v>
                </c:pt>
                <c:pt idx="3">
                  <c:v>3.6</c:v>
                </c:pt>
                <c:pt idx="4">
                  <c:v>2.65</c:v>
                </c:pt>
                <c:pt idx="5">
                  <c:v>3.875</c:v>
                </c:pt>
                <c:pt idx="6">
                  <c:v>2.9</c:v>
                </c:pt>
                <c:pt idx="7">
                  <c:v>3.7</c:v>
                </c:pt>
                <c:pt idx="8">
                  <c:v>3.5999999999999996</c:v>
                </c:pt>
                <c:pt idx="9">
                  <c:v>3.0999999999999996</c:v>
                </c:pt>
              </c:numCache>
            </c:numRef>
          </c:val>
          <c:extLst>
            <c:ext xmlns:c16="http://schemas.microsoft.com/office/drawing/2014/chart" uri="{C3380CC4-5D6E-409C-BE32-E72D297353CC}">
              <c16:uniqueId val="{00000000-2C70-494B-9D01-C53E3F9922E9}"/>
            </c:ext>
          </c:extLst>
        </c:ser>
        <c:dLbls>
          <c:showLegendKey val="0"/>
          <c:showVal val="0"/>
          <c:showCatName val="0"/>
          <c:showSerName val="0"/>
          <c:showPercent val="0"/>
          <c:showBubbleSize val="0"/>
        </c:dLbls>
        <c:gapWidth val="182"/>
        <c:axId val="480509856"/>
        <c:axId val="105632176"/>
      </c:barChart>
      <c:catAx>
        <c:axId val="48050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32176"/>
        <c:crosses val="autoZero"/>
        <c:auto val="1"/>
        <c:lblAlgn val="ctr"/>
        <c:lblOffset val="100"/>
        <c:noMultiLvlLbl val="0"/>
      </c:catAx>
      <c:valAx>
        <c:axId val="1056321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0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P09 Q3 — Defect count vs quality score — r = -0.087</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scatterChart>
        <c:scatterStyle val="lineMarker"/>
        <c:varyColors val="0"/>
        <c:ser>
          <c:idx val="0"/>
          <c:order val="0"/>
          <c:tx>
            <c:strRef>
              <c:f>'Q&amp;A Chart Dashboard'!$BB$256</c:f>
              <c:strCache>
                <c:ptCount val="1"/>
                <c:pt idx="0">
                  <c:v>Quality score</c:v>
                </c:pt>
              </c:strCache>
            </c:strRef>
          </c:tx>
          <c:spPr>
            <a:ln w="28575" cap="rnd">
              <a:noFill/>
              <a:round/>
            </a:ln>
            <a:effectLst/>
          </c:spPr>
          <c:marker>
            <c:symbol val="circle"/>
            <c:size val="5"/>
            <c:spPr>
              <a:solidFill>
                <a:schemeClr val="accent1"/>
              </a:solidFill>
              <a:ln w="9525">
                <a:solidFill>
                  <a:schemeClr val="accent1"/>
                </a:solidFill>
              </a:ln>
              <a:effectLst/>
            </c:spPr>
          </c:marker>
          <c:xVal>
            <c:numRef>
              <c:f>'Q&amp;A Chart Dashboard'!$BA$257:$BA$286</c:f>
              <c:numCache>
                <c:formatCode>0</c:formatCode>
                <c:ptCount val="30"/>
                <c:pt idx="0">
                  <c:v>10</c:v>
                </c:pt>
                <c:pt idx="1">
                  <c:v>7</c:v>
                </c:pt>
                <c:pt idx="2">
                  <c:v>5</c:v>
                </c:pt>
                <c:pt idx="3">
                  <c:v>15</c:v>
                </c:pt>
                <c:pt idx="4">
                  <c:v>12</c:v>
                </c:pt>
                <c:pt idx="5">
                  <c:v>10</c:v>
                </c:pt>
                <c:pt idx="6">
                  <c:v>15</c:v>
                </c:pt>
                <c:pt idx="7">
                  <c:v>18</c:v>
                </c:pt>
                <c:pt idx="8">
                  <c:v>25</c:v>
                </c:pt>
                <c:pt idx="9">
                  <c:v>13</c:v>
                </c:pt>
                <c:pt idx="10">
                  <c:v>22</c:v>
                </c:pt>
                <c:pt idx="11">
                  <c:v>2</c:v>
                </c:pt>
                <c:pt idx="12">
                  <c:v>20</c:v>
                </c:pt>
                <c:pt idx="13">
                  <c:v>22</c:v>
                </c:pt>
                <c:pt idx="14">
                  <c:v>0</c:v>
                </c:pt>
                <c:pt idx="15">
                  <c:v>9</c:v>
                </c:pt>
                <c:pt idx="16">
                  <c:v>2</c:v>
                </c:pt>
                <c:pt idx="17">
                  <c:v>23</c:v>
                </c:pt>
                <c:pt idx="18">
                  <c:v>20</c:v>
                </c:pt>
                <c:pt idx="19">
                  <c:v>13</c:v>
                </c:pt>
                <c:pt idx="20">
                  <c:v>25</c:v>
                </c:pt>
                <c:pt idx="21">
                  <c:v>20</c:v>
                </c:pt>
                <c:pt idx="22">
                  <c:v>21</c:v>
                </c:pt>
                <c:pt idx="23">
                  <c:v>11</c:v>
                </c:pt>
                <c:pt idx="24">
                  <c:v>17</c:v>
                </c:pt>
                <c:pt idx="25">
                  <c:v>11</c:v>
                </c:pt>
                <c:pt idx="26">
                  <c:v>15</c:v>
                </c:pt>
                <c:pt idx="27">
                  <c:v>7</c:v>
                </c:pt>
                <c:pt idx="28">
                  <c:v>18</c:v>
                </c:pt>
                <c:pt idx="29">
                  <c:v>17</c:v>
                </c:pt>
              </c:numCache>
            </c:numRef>
          </c:xVal>
          <c:yVal>
            <c:numRef>
              <c:f>'Q&amp;A Chart Dashboard'!$BB$257:$BB$286</c:f>
              <c:numCache>
                <c:formatCode>0.0</c:formatCode>
                <c:ptCount val="30"/>
                <c:pt idx="0">
                  <c:v>3.2</c:v>
                </c:pt>
                <c:pt idx="1">
                  <c:v>2.9</c:v>
                </c:pt>
                <c:pt idx="2">
                  <c:v>4.0999999999999996</c:v>
                </c:pt>
                <c:pt idx="3">
                  <c:v>2.9</c:v>
                </c:pt>
                <c:pt idx="4">
                  <c:v>3.4</c:v>
                </c:pt>
                <c:pt idx="5">
                  <c:v>3</c:v>
                </c:pt>
                <c:pt idx="6">
                  <c:v>2.9</c:v>
                </c:pt>
                <c:pt idx="7">
                  <c:v>3.1</c:v>
                </c:pt>
                <c:pt idx="8">
                  <c:v>4.3</c:v>
                </c:pt>
                <c:pt idx="9">
                  <c:v>4</c:v>
                </c:pt>
                <c:pt idx="10">
                  <c:v>3.3</c:v>
                </c:pt>
                <c:pt idx="11">
                  <c:v>4.4000000000000004</c:v>
                </c:pt>
                <c:pt idx="12">
                  <c:v>4</c:v>
                </c:pt>
                <c:pt idx="13">
                  <c:v>2.2999999999999998</c:v>
                </c:pt>
                <c:pt idx="14">
                  <c:v>3.1</c:v>
                </c:pt>
                <c:pt idx="15">
                  <c:v>3.2</c:v>
                </c:pt>
                <c:pt idx="16">
                  <c:v>3.6</c:v>
                </c:pt>
                <c:pt idx="17">
                  <c:v>2.2999999999999998</c:v>
                </c:pt>
                <c:pt idx="18">
                  <c:v>3.7</c:v>
                </c:pt>
                <c:pt idx="19">
                  <c:v>4</c:v>
                </c:pt>
                <c:pt idx="20">
                  <c:v>2.6</c:v>
                </c:pt>
                <c:pt idx="21">
                  <c:v>3.1</c:v>
                </c:pt>
                <c:pt idx="22">
                  <c:v>3.8</c:v>
                </c:pt>
                <c:pt idx="23">
                  <c:v>3.8</c:v>
                </c:pt>
                <c:pt idx="24">
                  <c:v>3.2</c:v>
                </c:pt>
                <c:pt idx="25">
                  <c:v>2.5</c:v>
                </c:pt>
                <c:pt idx="26">
                  <c:v>2.6</c:v>
                </c:pt>
                <c:pt idx="27">
                  <c:v>2.5</c:v>
                </c:pt>
                <c:pt idx="28">
                  <c:v>4.3</c:v>
                </c:pt>
                <c:pt idx="29">
                  <c:v>4.5</c:v>
                </c:pt>
              </c:numCache>
            </c:numRef>
          </c:yVal>
          <c:smooth val="0"/>
          <c:extLst>
            <c:ext xmlns:c16="http://schemas.microsoft.com/office/drawing/2014/chart" uri="{C3380CC4-5D6E-409C-BE32-E72D297353CC}">
              <c16:uniqueId val="{00000000-3FF9-4729-96E7-F7F64E2EC525}"/>
            </c:ext>
          </c:extLst>
        </c:ser>
        <c:dLbls>
          <c:showLegendKey val="0"/>
          <c:showVal val="0"/>
          <c:showCatName val="0"/>
          <c:showSerName val="0"/>
          <c:showPercent val="0"/>
          <c:showBubbleSize val="0"/>
        </c:dLbls>
        <c:axId val="486241600"/>
        <c:axId val="105680656"/>
      </c:scatterChart>
      <c:valAx>
        <c:axId val="4862416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5680656"/>
        <c:crosses val="autoZero"/>
        <c:crossBetween val="midCat"/>
      </c:valAx>
      <c:valAx>
        <c:axId val="10568065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2416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P09 Q4 — Contractor-C — five-dimension profile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radarChart>
        <c:radarStyle val="marker"/>
        <c:varyColors val="0"/>
        <c:ser>
          <c:idx val="0"/>
          <c:order val="0"/>
          <c:tx>
            <c:strRef>
              <c:f>'Analysis report'!$B$622</c:f>
              <c:strCache>
                <c:ptCount val="1"/>
                <c:pt idx="0">
                  <c:v>Score (out of 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 report'!$A$623:$A$627</c:f>
              <c:strCache>
                <c:ptCount val="5"/>
                <c:pt idx="0">
                  <c:v>Quality</c:v>
                </c:pt>
                <c:pt idx="1">
                  <c:v>Time</c:v>
                </c:pt>
                <c:pt idx="2">
                  <c:v>Safety</c:v>
                </c:pt>
                <c:pt idx="3">
                  <c:v>Cost</c:v>
                </c:pt>
                <c:pt idx="4">
                  <c:v>Communication</c:v>
                </c:pt>
              </c:strCache>
            </c:strRef>
          </c:cat>
          <c:val>
            <c:numRef>
              <c:f>'Analysis report'!$B$623:$B$627</c:f>
              <c:numCache>
                <c:formatCode>0.00</c:formatCode>
                <c:ptCount val="5"/>
                <c:pt idx="0">
                  <c:v>4</c:v>
                </c:pt>
                <c:pt idx="1">
                  <c:v>3.2</c:v>
                </c:pt>
                <c:pt idx="2">
                  <c:v>4.2</c:v>
                </c:pt>
                <c:pt idx="3">
                  <c:v>4.5999999999999996</c:v>
                </c:pt>
                <c:pt idx="4">
                  <c:v>3.3</c:v>
                </c:pt>
              </c:numCache>
            </c:numRef>
          </c:val>
          <c:extLst>
            <c:ext xmlns:c16="http://schemas.microsoft.com/office/drawing/2014/chart" uri="{C3380CC4-5D6E-409C-BE32-E72D297353CC}">
              <c16:uniqueId val="{00000000-EE46-4E78-8FF8-83122CA5CF85}"/>
            </c:ext>
          </c:extLst>
        </c:ser>
        <c:dLbls>
          <c:showLegendKey val="0"/>
          <c:showVal val="0"/>
          <c:showCatName val="0"/>
          <c:showSerName val="0"/>
          <c:showPercent val="0"/>
          <c:showBubbleSize val="0"/>
        </c:dLbls>
        <c:axId val="486265728"/>
        <c:axId val="2093595183"/>
      </c:radarChart>
      <c:catAx>
        <c:axId val="48626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95183"/>
        <c:crosses val="autoZero"/>
        <c:auto val="1"/>
        <c:lblAlgn val="ctr"/>
        <c:lblOffset val="100"/>
        <c:noMultiLvlLbl val="0"/>
      </c:catAx>
      <c:valAx>
        <c:axId val="2093595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6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P09 Q5 — Blacklist candidates — score below 3.0 and defects above 15</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Dashboard'!$BB$289</c:f>
              <c:strCache>
                <c:ptCount val="1"/>
                <c:pt idx="0">
                  <c:v>Weighted score</c:v>
                </c:pt>
              </c:strCache>
            </c:strRef>
          </c:tx>
          <c:spPr>
            <a:solidFill>
              <a:schemeClr val="accent1"/>
            </a:solidFill>
            <a:ln>
              <a:noFill/>
            </a:ln>
            <a:effectLst/>
          </c:spPr>
          <c:invertIfNegative val="0"/>
          <c:cat>
            <c:strRef>
              <c:f>'Q&amp;A Chart Dashboard'!$BA$290:$BA$291</c:f>
              <c:strCache>
                <c:ptCount val="2"/>
                <c:pt idx="0">
                  <c:v>Contractor-G · Facade &amp; Cladding</c:v>
                </c:pt>
                <c:pt idx="1">
                  <c:v>Contractor-N · Elevator Installation</c:v>
                </c:pt>
              </c:strCache>
            </c:strRef>
          </c:cat>
          <c:val>
            <c:numRef>
              <c:f>'Q&amp;A Chart Dashboard'!$BB$290:$BB$291</c:f>
              <c:numCache>
                <c:formatCode>0.000</c:formatCode>
                <c:ptCount val="2"/>
                <c:pt idx="0">
                  <c:v>2.8050000000000002</c:v>
                </c:pt>
                <c:pt idx="1">
                  <c:v>2.99</c:v>
                </c:pt>
              </c:numCache>
            </c:numRef>
          </c:val>
          <c:extLst>
            <c:ext xmlns:c16="http://schemas.microsoft.com/office/drawing/2014/chart" uri="{C3380CC4-5D6E-409C-BE32-E72D297353CC}">
              <c16:uniqueId val="{00000000-FC4F-4599-8E7C-C81708077B15}"/>
            </c:ext>
          </c:extLst>
        </c:ser>
        <c:dLbls>
          <c:showLegendKey val="0"/>
          <c:showVal val="0"/>
          <c:showCatName val="0"/>
          <c:showSerName val="0"/>
          <c:showPercent val="0"/>
          <c:showBubbleSize val="0"/>
        </c:dLbls>
        <c:gapWidth val="219"/>
        <c:overlap val="-27"/>
        <c:axId val="486279184"/>
        <c:axId val="2093609103"/>
      </c:barChart>
      <c:barChart>
        <c:barDir val="col"/>
        <c:grouping val="clustered"/>
        <c:varyColors val="0"/>
        <c:ser>
          <c:idx val="1"/>
          <c:order val="1"/>
          <c:tx>
            <c:strRef>
              <c:f>'Q&amp;A Chart Dashboard'!$BC$289</c:f>
              <c:strCache>
                <c:ptCount val="1"/>
                <c:pt idx="0">
                  <c:v>Defect count</c:v>
                </c:pt>
              </c:strCache>
            </c:strRef>
          </c:tx>
          <c:spPr>
            <a:solidFill>
              <a:schemeClr val="accent2"/>
            </a:solidFill>
            <a:ln>
              <a:noFill/>
            </a:ln>
            <a:effectLst/>
          </c:spPr>
          <c:invertIfNegative val="0"/>
          <c:cat>
            <c:strRef>
              <c:f>'Q&amp;A Chart Dashboard'!$BA$290:$BA$291</c:f>
              <c:strCache>
                <c:ptCount val="2"/>
                <c:pt idx="0">
                  <c:v>Contractor-G · Facade &amp; Cladding</c:v>
                </c:pt>
                <c:pt idx="1">
                  <c:v>Contractor-N · Elevator Installation</c:v>
                </c:pt>
              </c:strCache>
            </c:strRef>
          </c:cat>
          <c:val>
            <c:numRef>
              <c:f>'Q&amp;A Chart Dashboard'!$BC$290:$BC$291</c:f>
              <c:numCache>
                <c:formatCode>0</c:formatCode>
                <c:ptCount val="2"/>
                <c:pt idx="0">
                  <c:v>22</c:v>
                </c:pt>
                <c:pt idx="1">
                  <c:v>20</c:v>
                </c:pt>
              </c:numCache>
            </c:numRef>
          </c:val>
          <c:extLst>
            <c:ext xmlns:c16="http://schemas.microsoft.com/office/drawing/2014/chart" uri="{C3380CC4-5D6E-409C-BE32-E72D297353CC}">
              <c16:uniqueId val="{00000001-FC4F-4599-8E7C-C81708077B15}"/>
            </c:ext>
          </c:extLst>
        </c:ser>
        <c:dLbls>
          <c:showLegendKey val="0"/>
          <c:showVal val="0"/>
          <c:showCatName val="0"/>
          <c:showSerName val="0"/>
          <c:showPercent val="0"/>
          <c:showBubbleSize val="0"/>
        </c:dLbls>
        <c:gapWidth val="219"/>
        <c:overlap val="-27"/>
        <c:axId val="480665760"/>
        <c:axId val="553137168"/>
      </c:barChart>
      <c:catAx>
        <c:axId val="48627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93609103"/>
        <c:crosses val="autoZero"/>
        <c:auto val="1"/>
        <c:lblAlgn val="ctr"/>
        <c:lblOffset val="100"/>
        <c:noMultiLvlLbl val="0"/>
      </c:catAx>
      <c:valAx>
        <c:axId val="209360910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279184"/>
        <c:crosses val="autoZero"/>
        <c:crossBetween val="between"/>
      </c:valAx>
      <c:valAx>
        <c:axId val="55313716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65760"/>
        <c:crosses val="max"/>
        <c:crossBetween val="between"/>
      </c:valAx>
      <c:catAx>
        <c:axId val="480665760"/>
        <c:scaling>
          <c:orientation val="minMax"/>
        </c:scaling>
        <c:delete val="1"/>
        <c:axPos val="b"/>
        <c:numFmt formatCode="General" sourceLinked="1"/>
        <c:majorTickMark val="out"/>
        <c:minorTickMark val="none"/>
        <c:tickLblPos val="nextTo"/>
        <c:crossAx val="5531371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P09 Q6 — Subcontractor performance by project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Dashboard'!$BB$294</c:f>
              <c:strCache>
                <c:ptCount val="1"/>
                <c:pt idx="0">
                  <c:v>Avg weighted score</c:v>
                </c:pt>
              </c:strCache>
            </c:strRef>
          </c:tx>
          <c:spPr>
            <a:solidFill>
              <a:schemeClr val="accent1"/>
            </a:solidFill>
            <a:ln>
              <a:noFill/>
            </a:ln>
            <a:effectLst/>
          </c:spPr>
          <c:invertIfNegative val="0"/>
          <c:cat>
            <c:strRef>
              <c:f>'Q&amp;A Chart Dashboard'!$BA$295:$BA$298</c:f>
              <c:strCache>
                <c:ptCount val="4"/>
                <c:pt idx="0">
                  <c:v>WT-DC-MUM-01</c:v>
                </c:pt>
                <c:pt idx="1">
                  <c:v>WT-OFF-SYD-02</c:v>
                </c:pt>
                <c:pt idx="2">
                  <c:v>WT-HOS-AKL-03</c:v>
                </c:pt>
                <c:pt idx="3">
                  <c:v>PORTFOLIO</c:v>
                </c:pt>
              </c:strCache>
            </c:strRef>
          </c:cat>
          <c:val>
            <c:numRef>
              <c:f>'Q&amp;A Chart Dashboard'!$BB$295:$BB$298</c:f>
              <c:numCache>
                <c:formatCode>0.00</c:formatCode>
                <c:ptCount val="4"/>
                <c:pt idx="0">
                  <c:v>3.3905000000000003</c:v>
                </c:pt>
                <c:pt idx="1">
                  <c:v>3.4735</c:v>
                </c:pt>
                <c:pt idx="2">
                  <c:v>3.431</c:v>
                </c:pt>
                <c:pt idx="3">
                  <c:v>3.4316666666666666</c:v>
                </c:pt>
              </c:numCache>
            </c:numRef>
          </c:val>
          <c:extLst>
            <c:ext xmlns:c16="http://schemas.microsoft.com/office/drawing/2014/chart" uri="{C3380CC4-5D6E-409C-BE32-E72D297353CC}">
              <c16:uniqueId val="{00000000-C6B4-4259-9B4C-CB7D4147D539}"/>
            </c:ext>
          </c:extLst>
        </c:ser>
        <c:ser>
          <c:idx val="1"/>
          <c:order val="1"/>
          <c:tx>
            <c:strRef>
              <c:f>'Q&amp;A Chart Dashboard'!$BC$294</c:f>
              <c:strCache>
                <c:ptCount val="1"/>
                <c:pt idx="0">
                  <c:v>Avg quality</c:v>
                </c:pt>
              </c:strCache>
            </c:strRef>
          </c:tx>
          <c:spPr>
            <a:solidFill>
              <a:schemeClr val="accent2"/>
            </a:solidFill>
            <a:ln>
              <a:noFill/>
            </a:ln>
            <a:effectLst/>
          </c:spPr>
          <c:invertIfNegative val="0"/>
          <c:cat>
            <c:strRef>
              <c:f>'Q&amp;A Chart Dashboard'!$BA$295:$BA$298</c:f>
              <c:strCache>
                <c:ptCount val="4"/>
                <c:pt idx="0">
                  <c:v>WT-DC-MUM-01</c:v>
                </c:pt>
                <c:pt idx="1">
                  <c:v>WT-OFF-SYD-02</c:v>
                </c:pt>
                <c:pt idx="2">
                  <c:v>WT-HOS-AKL-03</c:v>
                </c:pt>
                <c:pt idx="3">
                  <c:v>PORTFOLIO</c:v>
                </c:pt>
              </c:strCache>
            </c:strRef>
          </c:cat>
          <c:val>
            <c:numRef>
              <c:f>'Q&amp;A Chart Dashboard'!$BC$295:$BC$298</c:f>
              <c:numCache>
                <c:formatCode>0.00</c:formatCode>
                <c:ptCount val="4"/>
                <c:pt idx="0">
                  <c:v>3.5400000000000005</c:v>
                </c:pt>
                <c:pt idx="1">
                  <c:v>3.08</c:v>
                </c:pt>
                <c:pt idx="2">
                  <c:v>3.4400000000000004</c:v>
                </c:pt>
                <c:pt idx="3">
                  <c:v>3.3533333333333322</c:v>
                </c:pt>
              </c:numCache>
            </c:numRef>
          </c:val>
          <c:extLst>
            <c:ext xmlns:c16="http://schemas.microsoft.com/office/drawing/2014/chart" uri="{C3380CC4-5D6E-409C-BE32-E72D297353CC}">
              <c16:uniqueId val="{00000001-C6B4-4259-9B4C-CB7D4147D539}"/>
            </c:ext>
          </c:extLst>
        </c:ser>
        <c:ser>
          <c:idx val="2"/>
          <c:order val="2"/>
          <c:tx>
            <c:strRef>
              <c:f>'Q&amp;A Chart Dashboard'!$BD$294</c:f>
              <c:strCache>
                <c:ptCount val="1"/>
                <c:pt idx="0">
                  <c:v>Avg safety</c:v>
                </c:pt>
              </c:strCache>
            </c:strRef>
          </c:tx>
          <c:spPr>
            <a:solidFill>
              <a:schemeClr val="accent3"/>
            </a:solidFill>
            <a:ln>
              <a:noFill/>
            </a:ln>
            <a:effectLst/>
          </c:spPr>
          <c:invertIfNegative val="0"/>
          <c:cat>
            <c:strRef>
              <c:f>'Q&amp;A Chart Dashboard'!$BA$295:$BA$298</c:f>
              <c:strCache>
                <c:ptCount val="4"/>
                <c:pt idx="0">
                  <c:v>WT-DC-MUM-01</c:v>
                </c:pt>
                <c:pt idx="1">
                  <c:v>WT-OFF-SYD-02</c:v>
                </c:pt>
                <c:pt idx="2">
                  <c:v>WT-HOS-AKL-03</c:v>
                </c:pt>
                <c:pt idx="3">
                  <c:v>PORTFOLIO</c:v>
                </c:pt>
              </c:strCache>
            </c:strRef>
          </c:cat>
          <c:val>
            <c:numRef>
              <c:f>'Q&amp;A Chart Dashboard'!$BD$295:$BD$298</c:f>
              <c:numCache>
                <c:formatCode>0.00</c:formatCode>
                <c:ptCount val="4"/>
                <c:pt idx="0">
                  <c:v>3.14</c:v>
                </c:pt>
                <c:pt idx="1">
                  <c:v>3.5100000000000002</c:v>
                </c:pt>
                <c:pt idx="2">
                  <c:v>3.7</c:v>
                </c:pt>
                <c:pt idx="3">
                  <c:v>3.4499999999999997</c:v>
                </c:pt>
              </c:numCache>
            </c:numRef>
          </c:val>
          <c:extLst>
            <c:ext xmlns:c16="http://schemas.microsoft.com/office/drawing/2014/chart" uri="{C3380CC4-5D6E-409C-BE32-E72D297353CC}">
              <c16:uniqueId val="{00000002-C6B4-4259-9B4C-CB7D4147D539}"/>
            </c:ext>
          </c:extLst>
        </c:ser>
        <c:dLbls>
          <c:showLegendKey val="0"/>
          <c:showVal val="0"/>
          <c:showCatName val="0"/>
          <c:showSerName val="0"/>
          <c:showPercent val="0"/>
          <c:showBubbleSize val="0"/>
        </c:dLbls>
        <c:gapWidth val="219"/>
        <c:overlap val="-27"/>
        <c:axId val="486281504"/>
        <c:axId val="2093595663"/>
      </c:barChart>
      <c:catAx>
        <c:axId val="4862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93595663"/>
        <c:crosses val="autoZero"/>
        <c:auto val="1"/>
        <c:lblAlgn val="ctr"/>
        <c:lblOffset val="100"/>
        <c:noMultiLvlLbl val="0"/>
      </c:catAx>
      <c:valAx>
        <c:axId val="2093595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28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P10 Q1 — Avg cost per sqm by country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report'!$B$651</c:f>
              <c:strCache>
                <c:ptCount val="1"/>
                <c:pt idx="0">
                  <c:v>Avg Cost per sqm USD</c:v>
                </c:pt>
              </c:strCache>
            </c:strRef>
          </c:tx>
          <c:spPr>
            <a:solidFill>
              <a:schemeClr val="accent1"/>
            </a:solidFill>
            <a:ln>
              <a:noFill/>
            </a:ln>
            <a:effectLst/>
          </c:spPr>
          <c:invertIfNegative val="0"/>
          <c:cat>
            <c:strRef>
              <c:f>'Analysis report'!$A$652:$A$655</c:f>
              <c:strCache>
                <c:ptCount val="4"/>
                <c:pt idx="0">
                  <c:v>Australia</c:v>
                </c:pt>
                <c:pt idx="1">
                  <c:v>India</c:v>
                </c:pt>
                <c:pt idx="2">
                  <c:v>New Zealand</c:v>
                </c:pt>
                <c:pt idx="3">
                  <c:v>GLOBAL</c:v>
                </c:pt>
              </c:strCache>
            </c:strRef>
          </c:cat>
          <c:val>
            <c:numRef>
              <c:f>'Analysis report'!$B$652:$B$655</c:f>
              <c:numCache>
                <c:formatCode>[$$-409]#,##0</c:formatCode>
                <c:ptCount val="4"/>
                <c:pt idx="0">
                  <c:v>3677.1111111111113</c:v>
                </c:pt>
                <c:pt idx="1">
                  <c:v>670.4</c:v>
                </c:pt>
                <c:pt idx="2">
                  <c:v>2993</c:v>
                </c:pt>
                <c:pt idx="3">
                  <c:v>2429.875</c:v>
                </c:pt>
              </c:numCache>
            </c:numRef>
          </c:val>
          <c:extLst>
            <c:ext xmlns:c16="http://schemas.microsoft.com/office/drawing/2014/chart" uri="{C3380CC4-5D6E-409C-BE32-E72D297353CC}">
              <c16:uniqueId val="{00000000-59AA-4C4D-8703-61B22AC4FC22}"/>
            </c:ext>
          </c:extLst>
        </c:ser>
        <c:dLbls>
          <c:showLegendKey val="0"/>
          <c:showVal val="0"/>
          <c:showCatName val="0"/>
          <c:showSerName val="0"/>
          <c:showPercent val="0"/>
          <c:showBubbleSize val="0"/>
        </c:dLbls>
        <c:gapWidth val="219"/>
        <c:overlap val="-27"/>
        <c:axId val="486302848"/>
        <c:axId val="2093611503"/>
      </c:barChart>
      <c:catAx>
        <c:axId val="48630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93611503"/>
        <c:crosses val="autoZero"/>
        <c:auto val="1"/>
        <c:lblAlgn val="ctr"/>
        <c:lblOffset val="100"/>
        <c:noMultiLvlLbl val="0"/>
      </c:catAx>
      <c:valAx>
        <c:axId val="2093611503"/>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0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P10 Q2 — Avg cost per sqm by project type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'Analysis report'!$B$659</c:f>
              <c:strCache>
                <c:ptCount val="1"/>
                <c:pt idx="0">
                  <c:v>Avg Cost per sqm USD</c:v>
                </c:pt>
              </c:strCache>
            </c:strRef>
          </c:tx>
          <c:spPr>
            <a:solidFill>
              <a:schemeClr val="accent1"/>
            </a:solidFill>
            <a:ln>
              <a:noFill/>
            </a:ln>
            <a:effectLst/>
          </c:spPr>
          <c:invertIfNegative val="0"/>
          <c:cat>
            <c:strRef>
              <c:f>'Analysis report'!$A$660:$A$669</c:f>
              <c:strCache>
                <c:ptCount val="10"/>
                <c:pt idx="0">
                  <c:v>Data Centre</c:v>
                </c:pt>
                <c:pt idx="1">
                  <c:v>Commercial Office</c:v>
                </c:pt>
                <c:pt idx="2">
                  <c:v>Residential Tower</c:v>
                </c:pt>
                <c:pt idx="3">
                  <c:v>Hospital</c:v>
                </c:pt>
                <c:pt idx="4">
                  <c:v>Hotel</c:v>
                </c:pt>
                <c:pt idx="5">
                  <c:v>IT Park</c:v>
                </c:pt>
                <c:pt idx="6">
                  <c:v>Industrial Warehouse</c:v>
                </c:pt>
                <c:pt idx="7">
                  <c:v>Metro Station</c:v>
                </c:pt>
                <c:pt idx="8">
                  <c:v>Shopping Mall</c:v>
                </c:pt>
                <c:pt idx="9">
                  <c:v>University Campus</c:v>
                </c:pt>
              </c:strCache>
            </c:strRef>
          </c:cat>
          <c:val>
            <c:numRef>
              <c:f>'Analysis report'!$B$660:$B$669</c:f>
              <c:numCache>
                <c:formatCode>[$$-409]#,##0</c:formatCode>
                <c:ptCount val="10"/>
                <c:pt idx="0">
                  <c:v>1731.7777777777778</c:v>
                </c:pt>
                <c:pt idx="1">
                  <c:v>3299.75</c:v>
                </c:pt>
                <c:pt idx="2">
                  <c:v>2812.5</c:v>
                </c:pt>
                <c:pt idx="3">
                  <c:v>2278</c:v>
                </c:pt>
                <c:pt idx="4">
                  <c:v>3859</c:v>
                </c:pt>
                <c:pt idx="5">
                  <c:v>2933.6666666666665</c:v>
                </c:pt>
                <c:pt idx="6">
                  <c:v>1813.3333333333333</c:v>
                </c:pt>
                <c:pt idx="7">
                  <c:v>2381</c:v>
                </c:pt>
                <c:pt idx="8">
                  <c:v>1902.75</c:v>
                </c:pt>
                <c:pt idx="9">
                  <c:v>2560.6666666666665</c:v>
                </c:pt>
              </c:numCache>
            </c:numRef>
          </c:val>
          <c:extLst>
            <c:ext xmlns:c16="http://schemas.microsoft.com/office/drawing/2014/chart" uri="{C3380CC4-5D6E-409C-BE32-E72D297353CC}">
              <c16:uniqueId val="{00000000-E73D-4B29-A51F-CAC24BB341C3}"/>
            </c:ext>
          </c:extLst>
        </c:ser>
        <c:dLbls>
          <c:showLegendKey val="0"/>
          <c:showVal val="0"/>
          <c:showCatName val="0"/>
          <c:showSerName val="0"/>
          <c:showPercent val="0"/>
          <c:showBubbleSize val="0"/>
        </c:dLbls>
        <c:gapWidth val="182"/>
        <c:axId val="486317696"/>
        <c:axId val="2093610543"/>
      </c:barChart>
      <c:catAx>
        <c:axId val="48631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93610543"/>
        <c:crosses val="autoZero"/>
        <c:auto val="1"/>
        <c:lblAlgn val="ctr"/>
        <c:lblOffset val="100"/>
        <c:noMultiLvlLbl val="0"/>
      </c:catAx>
      <c:valAx>
        <c:axId val="209361054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1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P10 Q3 — Cost per sqm trend 2022-2025 by country</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'Analysis report'!$A$673</c:f>
              <c:strCache>
                <c:ptCount val="1"/>
                <c:pt idx="0">
                  <c:v>Year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'Analysis report'!$A$674:$A$677</c:f>
              <c:numCache>
                <c:formatCode>General</c:formatCode>
                <c:ptCount val="4"/>
                <c:pt idx="0">
                  <c:v>2022</c:v>
                </c:pt>
                <c:pt idx="1">
                  <c:v>2023</c:v>
                </c:pt>
                <c:pt idx="2">
                  <c:v>2024</c:v>
                </c:pt>
                <c:pt idx="3">
                  <c:v>2025</c:v>
                </c:pt>
              </c:numCache>
            </c:numRef>
          </c:val>
          <c:smooth val="0"/>
          <c:extLst>
            <c:ext xmlns:c16="http://schemas.microsoft.com/office/drawing/2014/chart" uri="{C3380CC4-5D6E-409C-BE32-E72D297353CC}">
              <c16:uniqueId val="{00000000-5095-43D4-A164-A3F50167C8CC}"/>
            </c:ext>
          </c:extLst>
        </c:ser>
        <c:ser>
          <c:idx val="1"/>
          <c:order val="1"/>
          <c:tx>
            <c:strRef>
              <c:f>'Analysis report'!$B$673</c:f>
              <c:strCache>
                <c:ptCount val="1"/>
                <c:pt idx="0">
                  <c:v>Australia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'Analysis report'!$B$674:$B$677</c:f>
              <c:numCache>
                <c:formatCode>[$$-409]#,##0</c:formatCode>
                <c:ptCount val="4"/>
                <c:pt idx="0">
                  <c:v>3476.6666666666665</c:v>
                </c:pt>
                <c:pt idx="1">
                  <c:v>4303</c:v>
                </c:pt>
                <c:pt idx="2">
                  <c:v>3099</c:v>
                </c:pt>
                <c:pt idx="3">
                  <c:v>3749.6</c:v>
                </c:pt>
              </c:numCache>
            </c:numRef>
          </c:val>
          <c:smooth val="0"/>
          <c:extLst>
            <c:ext xmlns:c16="http://schemas.microsoft.com/office/drawing/2014/chart" uri="{C3380CC4-5D6E-409C-BE32-E72D297353CC}">
              <c16:uniqueId val="{00000001-5095-43D4-A164-A3F50167C8CC}"/>
            </c:ext>
          </c:extLst>
        </c:ser>
        <c:ser>
          <c:idx val="2"/>
          <c:order val="2"/>
          <c:tx>
            <c:strRef>
              <c:f>'Analysis report'!$C$673</c:f>
              <c:strCache>
                <c:ptCount val="1"/>
                <c:pt idx="0">
                  <c:v>India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'Analysis report'!$C$674:$C$677</c:f>
              <c:numCache>
                <c:formatCode>[$$-409]#,##0</c:formatCode>
                <c:ptCount val="4"/>
                <c:pt idx="0">
                  <c:v>417.33333333333331</c:v>
                </c:pt>
                <c:pt idx="1">
                  <c:v>628.33333333333337</c:v>
                </c:pt>
                <c:pt idx="2">
                  <c:v>807</c:v>
                </c:pt>
                <c:pt idx="3">
                  <c:v>757.85714285714289</c:v>
                </c:pt>
              </c:numCache>
            </c:numRef>
          </c:val>
          <c:smooth val="0"/>
          <c:extLst>
            <c:ext xmlns:c16="http://schemas.microsoft.com/office/drawing/2014/chart" uri="{C3380CC4-5D6E-409C-BE32-E72D297353CC}">
              <c16:uniqueId val="{00000002-5095-43D4-A164-A3F50167C8CC}"/>
            </c:ext>
          </c:extLst>
        </c:ser>
        <c:ser>
          <c:idx val="3"/>
          <c:order val="3"/>
          <c:tx>
            <c:strRef>
              <c:f>'Analysis report'!$D$673</c:f>
              <c:strCache>
                <c:ptCount val="1"/>
                <c:pt idx="0">
                  <c:v>New Zealand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'Analysis report'!$D$674:$D$677</c:f>
              <c:numCache>
                <c:formatCode>[$$-409]#,##0</c:formatCode>
                <c:ptCount val="4"/>
                <c:pt idx="0">
                  <c:v>3119</c:v>
                </c:pt>
                <c:pt idx="1">
                  <c:v>0</c:v>
                </c:pt>
                <c:pt idx="2">
                  <c:v>0</c:v>
                </c:pt>
                <c:pt idx="3">
                  <c:v>2825</c:v>
                </c:pt>
              </c:numCache>
            </c:numRef>
          </c:val>
          <c:smooth val="0"/>
          <c:extLst>
            <c:ext xmlns:c16="http://schemas.microsoft.com/office/drawing/2014/chart" uri="{C3380CC4-5D6E-409C-BE32-E72D297353CC}">
              <c16:uniqueId val="{00000003-5095-43D4-A164-A3F50167C8CC}"/>
            </c:ext>
          </c:extLst>
        </c:ser>
        <c:ser>
          <c:idx val="4"/>
          <c:order val="4"/>
          <c:tx>
            <c:strRef>
              <c:f>'Analysis report'!$E$673</c:f>
              <c:strCache>
                <c:ptCount val="1"/>
                <c:pt idx="0">
                  <c:v>Global Avg Cost/sqm</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'Analysis report'!$E$674:$E$677</c:f>
              <c:numCache>
                <c:formatCode>[$$-409]#,##0</c:formatCode>
                <c:ptCount val="4"/>
                <c:pt idx="0">
                  <c:v>2415.8000000000002</c:v>
                </c:pt>
                <c:pt idx="1">
                  <c:v>2925</c:v>
                </c:pt>
                <c:pt idx="2">
                  <c:v>2444.1428571428573</c:v>
                </c:pt>
                <c:pt idx="3">
                  <c:v>2168.5333333333333</c:v>
                </c:pt>
              </c:numCache>
            </c:numRef>
          </c:val>
          <c:smooth val="0"/>
          <c:extLst>
            <c:ext xmlns:c16="http://schemas.microsoft.com/office/drawing/2014/chart" uri="{C3380CC4-5D6E-409C-BE32-E72D297353CC}">
              <c16:uniqueId val="{00000004-5095-43D4-A164-A3F50167C8CC}"/>
            </c:ext>
          </c:extLst>
        </c:ser>
        <c:dLbls>
          <c:showLegendKey val="0"/>
          <c:showVal val="0"/>
          <c:showCatName val="0"/>
          <c:showSerName val="0"/>
          <c:showPercent val="0"/>
          <c:showBubbleSize val="0"/>
        </c:dLbls>
        <c:marker val="1"/>
        <c:smooth val="0"/>
        <c:axId val="486333936"/>
        <c:axId val="2093610063"/>
      </c:lineChart>
      <c:catAx>
        <c:axId val="48633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93610063"/>
        <c:crosses val="autoZero"/>
        <c:auto val="1"/>
        <c:lblAlgn val="ctr"/>
        <c:lblOffset val="100"/>
        <c:noMultiLvlLbl val="0"/>
      </c:catAx>
      <c:valAx>
        <c:axId val="209361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33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P10 Q4 — Benchmark grid — project type x country ($/sqm)</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'Analysis report'!$D$682:$D$691</c:f>
              <c:strCache>
                <c:ptCount val="10"/>
                <c:pt idx="0">
                  <c:v>New Zealand</c:v>
                </c:pt>
                <c:pt idx="1">
                  <c:v>$2,570</c:v>
                </c:pt>
                <c:pt idx="3">
                  <c:v>$3,479</c:v>
                </c:pt>
                <c:pt idx="4">
                  <c:v>$3,428</c:v>
                </c:pt>
                <c:pt idx="5">
                  <c:v>$1,998</c:v>
                </c:pt>
              </c:strCache>
            </c:strRef>
          </c:tx>
          <c:spPr>
            <a:solidFill>
              <a:schemeClr val="accent1"/>
            </a:solidFill>
            <a:ln>
              <a:noFill/>
            </a:ln>
            <a:effectLst/>
          </c:spPr>
          <c:invertIfNegative val="0"/>
          <c:cat>
            <c:strRef>
              <c:f>'Analysis report'!$A$692:$C$692</c:f>
              <c:strCache>
                <c:ptCount val="3"/>
                <c:pt idx="0">
                  <c:v>University Campus</c:v>
                </c:pt>
                <c:pt idx="1">
                  <c:v>$3,621</c:v>
                </c:pt>
                <c:pt idx="2">
                  <c:v>$440</c:v>
                </c:pt>
              </c:strCache>
            </c:strRef>
          </c:cat>
          <c:val>
            <c:numRef>
              <c:f>'Analysis report'!$D$692</c:f>
              <c:numCache>
                <c:formatCode>[$$-409]#,##0</c:formatCode>
                <c:ptCount val="1"/>
                <c:pt idx="0">
                  <c:v>0</c:v>
                </c:pt>
              </c:numCache>
            </c:numRef>
          </c:val>
          <c:extLst>
            <c:ext xmlns:c16="http://schemas.microsoft.com/office/drawing/2014/chart" uri="{C3380CC4-5D6E-409C-BE32-E72D297353CC}">
              <c16:uniqueId val="{00000000-F0DB-40EA-847C-5350E6B51B75}"/>
            </c:ext>
          </c:extLst>
        </c:ser>
        <c:dLbls>
          <c:showLegendKey val="0"/>
          <c:showVal val="0"/>
          <c:showCatName val="0"/>
          <c:showSerName val="0"/>
          <c:showPercent val="0"/>
          <c:showBubbleSize val="0"/>
        </c:dLbls>
        <c:gapWidth val="219"/>
        <c:overlap val="-27"/>
        <c:axId val="486341360"/>
        <c:axId val="35578640"/>
      </c:barChart>
      <c:catAx>
        <c:axId val="48634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78640"/>
        <c:crosses val="autoZero"/>
        <c:auto val="1"/>
        <c:lblAlgn val="ctr"/>
        <c:lblOffset val="100"/>
        <c:noMultiLvlLbl val="0"/>
      </c:catAx>
      <c:valAx>
        <c:axId val="3557864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4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P10 Q5 — Outlier test — projects above 1.5x type-country benchmark</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Dashboard'!$BB$301</c:f>
              <c:strCache>
                <c:ptCount val="1"/>
                <c:pt idx="0">
                  <c:v>Projects</c:v>
                </c:pt>
              </c:strCache>
            </c:strRef>
          </c:tx>
          <c:spPr>
            <a:solidFill>
              <a:schemeClr val="accent1"/>
            </a:solidFill>
            <a:ln>
              <a:noFill/>
            </a:ln>
            <a:effectLst/>
          </c:spPr>
          <c:invertIfNegative val="0"/>
          <c:cat>
            <c:strRef>
              <c:f>'Q&amp;A Chart Dashboard'!$BA$302:$BA$303</c:f>
              <c:strCache>
                <c:ptCount val="2"/>
                <c:pt idx="0">
                  <c:v>Projects tested</c:v>
                </c:pt>
                <c:pt idx="1">
                  <c:v>Outliers above 1.5x benchmark</c:v>
                </c:pt>
              </c:strCache>
            </c:strRef>
          </c:cat>
          <c:val>
            <c:numRef>
              <c:f>'Q&amp;A Chart Dashboard'!$BB$302:$BB$303</c:f>
              <c:numCache>
                <c:formatCode>0</c:formatCode>
                <c:ptCount val="2"/>
                <c:pt idx="0">
                  <c:v>40</c:v>
                </c:pt>
                <c:pt idx="1">
                  <c:v>0</c:v>
                </c:pt>
              </c:numCache>
            </c:numRef>
          </c:val>
          <c:extLst>
            <c:ext xmlns:c16="http://schemas.microsoft.com/office/drawing/2014/chart" uri="{C3380CC4-5D6E-409C-BE32-E72D297353CC}">
              <c16:uniqueId val="{00000000-B9CE-40BB-91C4-867AECBE19EE}"/>
            </c:ext>
          </c:extLst>
        </c:ser>
        <c:dLbls>
          <c:showLegendKey val="0"/>
          <c:showVal val="0"/>
          <c:showCatName val="0"/>
          <c:showSerName val="0"/>
          <c:showPercent val="0"/>
          <c:showBubbleSize val="0"/>
        </c:dLbls>
        <c:gapWidth val="219"/>
        <c:overlap val="-27"/>
        <c:axId val="486362704"/>
        <c:axId val="35568080"/>
      </c:barChart>
      <c:catAx>
        <c:axId val="48636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68080"/>
        <c:crosses val="autoZero"/>
        <c:auto val="1"/>
        <c:lblAlgn val="ctr"/>
        <c:lblOffset val="100"/>
        <c:noMultiLvlLbl val="0"/>
      </c:catAx>
      <c:valAx>
        <c:axId val="35568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6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P10 Q6 — 50,000 sqm Mumbai data centre — budget range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Dashboard'!$BB$306</c:f>
              <c:strCache>
                <c:ptCount val="1"/>
                <c:pt idx="0">
                  <c:v>Budget USD</c:v>
                </c:pt>
              </c:strCache>
            </c:strRef>
          </c:tx>
          <c:spPr>
            <a:solidFill>
              <a:schemeClr val="accent1"/>
            </a:solidFill>
            <a:ln>
              <a:noFill/>
            </a:ln>
            <a:effectLst/>
          </c:spPr>
          <c:invertIfNegative val="0"/>
          <c:cat>
            <c:strRef>
              <c:f>'Q&amp;A Chart Dashboard'!$BA$307:$BA$309</c:f>
              <c:strCache>
                <c:ptCount val="3"/>
                <c:pt idx="0">
                  <c:v>Low case</c:v>
                </c:pt>
                <c:pt idx="1">
                  <c:v>Base case</c:v>
                </c:pt>
                <c:pt idx="2">
                  <c:v>High case</c:v>
                </c:pt>
              </c:strCache>
            </c:strRef>
          </c:cat>
          <c:val>
            <c:numRef>
              <c:f>'Q&amp;A Chart Dashboard'!$BB$307:$BB$309</c:f>
              <c:numCache>
                <c:formatCode>[$$-409]#,##0</c:formatCode>
                <c:ptCount val="3"/>
                <c:pt idx="0">
                  <c:v>20350000</c:v>
                </c:pt>
                <c:pt idx="1">
                  <c:v>30720000</c:v>
                </c:pt>
                <c:pt idx="2">
                  <c:v>39900000</c:v>
                </c:pt>
              </c:numCache>
            </c:numRef>
          </c:val>
          <c:extLst>
            <c:ext xmlns:c16="http://schemas.microsoft.com/office/drawing/2014/chart" uri="{C3380CC4-5D6E-409C-BE32-E72D297353CC}">
              <c16:uniqueId val="{00000000-76AA-4DFF-AB0F-DEDA07BB3F18}"/>
            </c:ext>
          </c:extLst>
        </c:ser>
        <c:dLbls>
          <c:showLegendKey val="0"/>
          <c:showVal val="0"/>
          <c:showCatName val="0"/>
          <c:showSerName val="0"/>
          <c:showPercent val="0"/>
          <c:showBubbleSize val="0"/>
        </c:dLbls>
        <c:gapWidth val="219"/>
        <c:overlap val="-27"/>
        <c:axId val="486375232"/>
        <c:axId val="35585360"/>
      </c:barChart>
      <c:catAx>
        <c:axId val="4863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85360"/>
        <c:crosses val="autoZero"/>
        <c:auto val="1"/>
        <c:lblAlgn val="ctr"/>
        <c:lblOffset val="100"/>
        <c:noMultiLvlLbl val="0"/>
      </c:catAx>
      <c:valAx>
        <c:axId val="3558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7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P12 Q1 — Schedule variance (EV - PV) by month</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'Q&amp;A Chart Dashboard'!$BB$312</c:f>
              <c:strCache>
                <c:ptCount val="1"/>
                <c:pt idx="0">
                  <c:v>Schedule variance USD (EV - PV)</c:v>
                </c:pt>
              </c:strCache>
            </c:strRef>
          </c:tx>
          <c:spPr>
            <a:ln w="28575" cap="rnd">
              <a:solidFill>
                <a:schemeClr val="accent1"/>
              </a:solidFill>
              <a:round/>
            </a:ln>
            <a:effectLst/>
          </c:spPr>
          <c:marker>
            <c:symbol val="none"/>
          </c:marker>
          <c:cat>
            <c:strRef>
              <c:f>'Q&amp;A Chart Dashboard'!$BA$313:$BA$348</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'Q&amp;A Chart Dashboard'!$BB$313:$BB$348</c:f>
              <c:numCache>
                <c:formatCode>[$$-409]#,##0</c:formatCode>
                <c:ptCount val="36"/>
                <c:pt idx="0">
                  <c:v>-130878</c:v>
                </c:pt>
                <c:pt idx="1">
                  <c:v>-60661</c:v>
                </c:pt>
                <c:pt idx="2">
                  <c:v>-148083</c:v>
                </c:pt>
                <c:pt idx="3">
                  <c:v>130720</c:v>
                </c:pt>
                <c:pt idx="4">
                  <c:v>-25402</c:v>
                </c:pt>
                <c:pt idx="5">
                  <c:v>-31619</c:v>
                </c:pt>
                <c:pt idx="6">
                  <c:v>-1191915</c:v>
                </c:pt>
                <c:pt idx="7">
                  <c:v>-180291</c:v>
                </c:pt>
                <c:pt idx="8">
                  <c:v>-753563</c:v>
                </c:pt>
                <c:pt idx="9">
                  <c:v>-1210728</c:v>
                </c:pt>
                <c:pt idx="10">
                  <c:v>-484743</c:v>
                </c:pt>
                <c:pt idx="11">
                  <c:v>-848419</c:v>
                </c:pt>
                <c:pt idx="12">
                  <c:v>-2015131</c:v>
                </c:pt>
                <c:pt idx="13">
                  <c:v>-551661</c:v>
                </c:pt>
                <c:pt idx="14">
                  <c:v>489754</c:v>
                </c:pt>
                <c:pt idx="15">
                  <c:v>-1430580</c:v>
                </c:pt>
                <c:pt idx="16">
                  <c:v>-183433</c:v>
                </c:pt>
                <c:pt idx="17">
                  <c:v>-1931582</c:v>
                </c:pt>
                <c:pt idx="18">
                  <c:v>-890712</c:v>
                </c:pt>
                <c:pt idx="19">
                  <c:v>-2373180</c:v>
                </c:pt>
                <c:pt idx="20">
                  <c:v>-2076169</c:v>
                </c:pt>
                <c:pt idx="21">
                  <c:v>-3005313</c:v>
                </c:pt>
                <c:pt idx="22">
                  <c:v>-1398628</c:v>
                </c:pt>
                <c:pt idx="23">
                  <c:v>-354631</c:v>
                </c:pt>
                <c:pt idx="24">
                  <c:v>783654</c:v>
                </c:pt>
                <c:pt idx="25">
                  <c:v>894258</c:v>
                </c:pt>
                <c:pt idx="26">
                  <c:v>-2822359</c:v>
                </c:pt>
                <c:pt idx="27">
                  <c:v>-1390414</c:v>
                </c:pt>
                <c:pt idx="28">
                  <c:v>-1581355</c:v>
                </c:pt>
                <c:pt idx="29">
                  <c:v>21964</c:v>
                </c:pt>
                <c:pt idx="30">
                  <c:v>-1969190</c:v>
                </c:pt>
                <c:pt idx="31">
                  <c:v>-4941717</c:v>
                </c:pt>
                <c:pt idx="32">
                  <c:v>-2325712</c:v>
                </c:pt>
                <c:pt idx="33">
                  <c:v>-192630</c:v>
                </c:pt>
                <c:pt idx="34">
                  <c:v>-218108</c:v>
                </c:pt>
                <c:pt idx="35">
                  <c:v>-4915677</c:v>
                </c:pt>
              </c:numCache>
            </c:numRef>
          </c:val>
          <c:smooth val="0"/>
          <c:extLst>
            <c:ext xmlns:c16="http://schemas.microsoft.com/office/drawing/2014/chart" uri="{C3380CC4-5D6E-409C-BE32-E72D297353CC}">
              <c16:uniqueId val="{00000000-0399-4EBB-8117-29F88EF4C56E}"/>
            </c:ext>
          </c:extLst>
        </c:ser>
        <c:dLbls>
          <c:showLegendKey val="0"/>
          <c:showVal val="0"/>
          <c:showCatName val="0"/>
          <c:showSerName val="0"/>
          <c:showPercent val="0"/>
          <c:showBubbleSize val="0"/>
        </c:dLbls>
        <c:smooth val="0"/>
        <c:axId val="486392400"/>
        <c:axId val="35620880"/>
      </c:lineChart>
      <c:catAx>
        <c:axId val="4863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620880"/>
        <c:crosses val="autoZero"/>
        <c:auto val="1"/>
        <c:lblAlgn val="ctr"/>
        <c:lblOffset val="100"/>
        <c:noMultiLvlLbl val="0"/>
      </c:catAx>
      <c:valAx>
        <c:axId val="35620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9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P12 Q2 — CPI trend over 36 months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'Q&amp;A Chart Dashboard'!$BB$351</c:f>
              <c:strCache>
                <c:ptCount val="1"/>
                <c:pt idx="0">
                  <c:v>CPI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'Q&amp;A Chart Dashboard'!$BA$352:$BA$387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'Q&amp;A Chart Dashboard'!$BB$352:$BB$387</c:f>
              <c:numCache>
                <c:formatCode>0.000</c:formatCode>
                <c:ptCount val="36"/>
                <c:pt idx="0">
                  <c:v>1.0422753996499989</c:v>
                </c:pt>
                <c:pt idx="1">
                  <c:v>0.84654527702317151</c:v>
                </c:pt>
                <c:pt idx="2">
                  <c:v>0.85089868152869763</c:v>
                </c:pt>
                <c:pt idx="3">
                  <c:v>1.0423995783240323</c:v>
                </c:pt>
                <c:pt idx="4">
                  <c:v>1.0780586184799217</c:v>
                </c:pt>
                <c:pt idx="5">
                  <c:v>1.0675113978597615</c:v>
                </c:pt>
                <c:pt idx="6">
                  <c:v>0.8494449030917689</c:v>
                </c:pt>
                <c:pt idx="7">
                  <c:v>0.95343618097488902</c:v>
                </c:pt>
                <c:pt idx="8">
                  <c:v>0.9938550468389804</c:v>
                </c:pt>
                <c:pt idx="9">
                  <c:v>0.96730188814218421</c:v>
                </c:pt>
                <c:pt idx="10">
                  <c:v>0.92157989353916692</c:v>
                </c:pt>
                <c:pt idx="11">
                  <c:v>0.85849178498655043</c:v>
                </c:pt>
                <c:pt idx="12">
                  <c:v>0.98531435960278135</c:v>
                </c:pt>
                <c:pt idx="13">
                  <c:v>0.87784033280549212</c:v>
                </c:pt>
                <c:pt idx="14">
                  <c:v>0.94064801061078274</c:v>
                </c:pt>
                <c:pt idx="15">
                  <c:v>0.89765707790511373</c:v>
                </c:pt>
                <c:pt idx="16">
                  <c:v>0.99680010175868927</c:v>
                </c:pt>
                <c:pt idx="17">
                  <c:v>1.0192322838394479</c:v>
                </c:pt>
                <c:pt idx="18">
                  <c:v>1.1003630094270138</c:v>
                </c:pt>
                <c:pt idx="19">
                  <c:v>0.87519991432034117</c:v>
                </c:pt>
                <c:pt idx="20">
                  <c:v>0.9300624676338094</c:v>
                </c:pt>
                <c:pt idx="21">
                  <c:v>1.0263177563367045</c:v>
                </c:pt>
                <c:pt idx="22">
                  <c:v>0.87922047537731862</c:v>
                </c:pt>
                <c:pt idx="23">
                  <c:v>0.84435162789193274</c:v>
                </c:pt>
                <c:pt idx="24">
                  <c:v>0.98374198389296719</c:v>
                </c:pt>
                <c:pt idx="25">
                  <c:v>1.0502948425896335</c:v>
                </c:pt>
                <c:pt idx="26">
                  <c:v>0.89171742603107218</c:v>
                </c:pt>
                <c:pt idx="27">
                  <c:v>0.90006098636111687</c:v>
                </c:pt>
                <c:pt idx="28">
                  <c:v>1.0608608591277111</c:v>
                </c:pt>
                <c:pt idx="29">
                  <c:v>0.87479853784565731</c:v>
                </c:pt>
                <c:pt idx="30">
                  <c:v>1.0496847332130494</c:v>
                </c:pt>
                <c:pt idx="31">
                  <c:v>0.92549847925924855</c:v>
                </c:pt>
                <c:pt idx="32">
                  <c:v>1.0004800467234527</c:v>
                </c:pt>
                <c:pt idx="33">
                  <c:v>0.99777728018013256</c:v>
                </c:pt>
                <c:pt idx="34">
                  <c:v>0.86172344800535949</c:v>
                </c:pt>
                <c:pt idx="35">
                  <c:v>0.89975888835540241</c:v>
                </c:pt>
              </c:numCache>
            </c:numRef>
          </c:val>
          <c:smooth val="0"/>
          <c:extLst>
            <c:ext xmlns:c16="http://schemas.microsoft.com/office/drawing/2014/chart" uri="{C3380CC4-5D6E-409C-BE32-E72D297353CC}">
              <c16:uniqueId val="{00000000-CF69-4ACE-9D26-4340B846FA22}"/>
            </c:ext>
          </c:extLst>
        </c:ser>
        <c:dLbls>
          <c:showLegendKey val="0"/>
          <c:showVal val="0"/>
          <c:showCatName val="0"/>
          <c:showSerName val="0"/>
          <c:showPercent val="0"/>
          <c:showBubbleSize val="0"/>
        </c:dLbls>
        <c:marker val="1"/>
        <c:smooth val="0"/>
        <c:axId val="486407248"/>
        <c:axId val="35580080"/>
      </c:lineChart>
      <c:catAx>
        <c:axId val="48640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80080"/>
        <c:crosses val="autoZero"/>
        <c:auto val="1"/>
        <c:lblAlgn val="ctr"/>
        <c:lblOffset val="100"/>
        <c:noMultiLvlLbl val="0"/>
      </c:catAx>
      <c:valAx>
        <c:axId val="3558008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0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P12 Q3 — BAC vs EAC at Month 36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Dashboard'!$BB$390</c:f>
              <c:strCache>
                <c:ptCount val="1"/>
                <c:pt idx="0">
                  <c:v>USD</c:v>
                </c:pt>
              </c:strCache>
            </c:strRef>
          </c:tx>
          <c:spPr>
            <a:solidFill>
              <a:schemeClr val="accent1"/>
            </a:solidFill>
            <a:ln>
              <a:noFill/>
            </a:ln>
            <a:effectLst/>
          </c:spPr>
          <c:invertIfNegative val="0"/>
          <c:cat>
            <c:strRef>
              <c:f>'Q&amp;A Chart Dashboard'!$BA$391:$BA$392</c:f>
              <c:strCache>
                <c:ptCount val="2"/>
                <c:pt idx="0">
                  <c:v>BAC — budget at completion</c:v>
                </c:pt>
                <c:pt idx="1">
                  <c:v>EAC — forecast at completion</c:v>
                </c:pt>
              </c:strCache>
            </c:strRef>
          </c:cat>
          <c:val>
            <c:numRef>
              <c:f>'Q&amp;A Chart Dashboard'!$BB$391:$BB$392</c:f>
              <c:numCache>
                <c:formatCode>[$$-409]#,##0</c:formatCode>
                <c:ptCount val="2"/>
                <c:pt idx="0">
                  <c:v>25000000</c:v>
                </c:pt>
                <c:pt idx="1">
                  <c:v>27785221.489387572</c:v>
                </c:pt>
              </c:numCache>
            </c:numRef>
          </c:val>
          <c:extLst>
            <c:ext xmlns:c16="http://schemas.microsoft.com/office/drawing/2014/chart" uri="{C3380CC4-5D6E-409C-BE32-E72D297353CC}">
              <c16:uniqueId val="{00000000-A7CC-4B1A-A790-60984EE640D3}"/>
            </c:ext>
          </c:extLst>
        </c:ser>
        <c:dLbls>
          <c:showLegendKey val="0"/>
          <c:showVal val="0"/>
          <c:showCatName val="0"/>
          <c:showSerName val="0"/>
          <c:showPercent val="0"/>
          <c:showBubbleSize val="0"/>
        </c:dLbls>
        <c:gapWidth val="219"/>
        <c:overlap val="-27"/>
        <c:axId val="486425808"/>
        <c:axId val="35580560"/>
      </c:barChart>
      <c:catAx>
        <c:axId val="48642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80560"/>
        <c:crosses val="autoZero"/>
        <c:auto val="1"/>
        <c:lblAlgn val="ctr"/>
        <c:lblOffset val="100"/>
        <c:noMultiLvlLbl val="0"/>
      </c:catAx>
      <c:valAx>
        <c:axId val="3558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2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P12 Q4 — EVM S-curve — PV, EV and AC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'Analysis report'!$B$731</c:f>
              <c:strCache>
                <c:ptCount val="1"/>
                <c:pt idx="0">
                  <c:v>PV — Planned Value USD</c:v>
                </c:pt>
              </c:strCache>
            </c:strRef>
          </c:tx>
          <c:spPr>
            <a:ln w="28575" cap="rnd">
              <a:solidFill>
                <a:schemeClr val="accent1"/>
              </a:solidFill>
              <a:round/>
            </a:ln>
            <a:effectLst/>
          </c:spPr>
          <c:marker>
            <c:symbol val="none"/>
          </c:marker>
          <c:cat>
            <c:strRef>
              <c:f>'Analysis report'!$A$732:$A$767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'Analysis report'!$B$732:$B$767</c:f>
              <c:numCache>
                <c:formatCode>[$$-409]#,##0</c:formatCode>
                <c:ptCount val="36"/>
                <c:pt idx="0">
                  <c:v>713955</c:v>
                </c:pt>
                <c:pt idx="1">
                  <c:v>1375080</c:v>
                </c:pt>
                <c:pt idx="2">
                  <c:v>1996674</c:v>
                </c:pt>
                <c:pt idx="3">
                  <c:v>2659718</c:v>
                </c:pt>
                <c:pt idx="4">
                  <c:v>3522912</c:v>
                </c:pt>
                <c:pt idx="5">
                  <c:v>4311364</c:v>
                </c:pt>
                <c:pt idx="6">
                  <c:v>5076108</c:v>
                </c:pt>
                <c:pt idx="7">
                  <c:v>5518420</c:v>
                </c:pt>
                <c:pt idx="8">
                  <c:v>6176705</c:v>
                </c:pt>
                <c:pt idx="9">
                  <c:v>7227989</c:v>
                </c:pt>
                <c:pt idx="10">
                  <c:v>7370482</c:v>
                </c:pt>
                <c:pt idx="11">
                  <c:v>8456065</c:v>
                </c:pt>
                <c:pt idx="12">
                  <c:v>9008847</c:v>
                </c:pt>
                <c:pt idx="13">
                  <c:v>9643700</c:v>
                </c:pt>
                <c:pt idx="14">
                  <c:v>10155362</c:v>
                </c:pt>
                <c:pt idx="15">
                  <c:v>10577255</c:v>
                </c:pt>
                <c:pt idx="16">
                  <c:v>11781571</c:v>
                </c:pt>
                <c:pt idx="17">
                  <c:v>12582063</c:v>
                </c:pt>
                <c:pt idx="18">
                  <c:v>12569110</c:v>
                </c:pt>
                <c:pt idx="19">
                  <c:v>14320401</c:v>
                </c:pt>
                <c:pt idx="20">
                  <c:v>14542039</c:v>
                </c:pt>
                <c:pt idx="21">
                  <c:v>14869497</c:v>
                </c:pt>
                <c:pt idx="22">
                  <c:v>15558785</c:v>
                </c:pt>
                <c:pt idx="23">
                  <c:v>17061766</c:v>
                </c:pt>
                <c:pt idx="24">
                  <c:v>17492521</c:v>
                </c:pt>
                <c:pt idx="25">
                  <c:v>18841344</c:v>
                </c:pt>
                <c:pt idx="26">
                  <c:v>18256033</c:v>
                </c:pt>
                <c:pt idx="27">
                  <c:v>19169856</c:v>
                </c:pt>
                <c:pt idx="28">
                  <c:v>19840193</c:v>
                </c:pt>
                <c:pt idx="29">
                  <c:v>21767434</c:v>
                </c:pt>
                <c:pt idx="30">
                  <c:v>22540417</c:v>
                </c:pt>
                <c:pt idx="31">
                  <c:v>21195474</c:v>
                </c:pt>
                <c:pt idx="32">
                  <c:v>21816501</c:v>
                </c:pt>
                <c:pt idx="33">
                  <c:v>23880595</c:v>
                </c:pt>
                <c:pt idx="34">
                  <c:v>23521603</c:v>
                </c:pt>
                <c:pt idx="35">
                  <c:v>23898889</c:v>
                </c:pt>
              </c:numCache>
            </c:numRef>
          </c:val>
          <c:smooth val="0"/>
          <c:extLst>
            <c:ext xmlns:c16="http://schemas.microsoft.com/office/drawing/2014/chart" uri="{C3380CC4-5D6E-409C-BE32-E72D297353CC}">
              <c16:uniqueId val="{00000000-CA45-4D7A-9B3F-03DC7CAF8A28}"/>
            </c:ext>
          </c:extLst>
        </c:ser>
        <c:ser>
          <c:idx val="1"/>
          <c:order val="1"/>
          <c:tx>
            <c:strRef>
              <c:f>'Analysis report'!$C$731</c:f>
              <c:strCache>
                <c:ptCount val="1"/>
                <c:pt idx="0">
                  <c:v>EV — Earned Value USD</c:v>
                </c:pt>
              </c:strCache>
            </c:strRef>
          </c:tx>
          <c:spPr>
            <a:ln w="28575" cap="rnd">
              <a:solidFill>
                <a:schemeClr val="accent2"/>
              </a:solidFill>
              <a:round/>
            </a:ln>
            <a:effectLst/>
          </c:spPr>
          <c:marker>
            <c:symbol val="none"/>
          </c:marker>
          <c:cat>
            <c:strRef>
              <c:f>'Analysis report'!$A$732:$A$767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'Analysis report'!$C$732:$C$767</c:f>
              <c:numCache>
                <c:formatCode>[$$-409]#,##0</c:formatCode>
                <c:ptCount val="36"/>
                <c:pt idx="0">
                  <c:v>583077</c:v>
                </c:pt>
                <c:pt idx="1">
                  <c:v>1314419</c:v>
                </c:pt>
                <c:pt idx="2">
                  <c:v>1848591</c:v>
                </c:pt>
                <c:pt idx="3">
                  <c:v>2790438</c:v>
                </c:pt>
                <c:pt idx="4">
                  <c:v>3497510</c:v>
                </c:pt>
                <c:pt idx="5">
                  <c:v>4279745</c:v>
                </c:pt>
                <c:pt idx="6">
                  <c:v>3884193</c:v>
                </c:pt>
                <c:pt idx="7">
                  <c:v>5338129</c:v>
                </c:pt>
                <c:pt idx="8">
                  <c:v>5423142</c:v>
                </c:pt>
                <c:pt idx="9">
                  <c:v>6017261</c:v>
                </c:pt>
                <c:pt idx="10">
                  <c:v>6885739</c:v>
                </c:pt>
                <c:pt idx="11">
                  <c:v>7607646</c:v>
                </c:pt>
                <c:pt idx="12">
                  <c:v>6993716</c:v>
                </c:pt>
                <c:pt idx="13">
                  <c:v>9092039</c:v>
                </c:pt>
                <c:pt idx="14">
                  <c:v>10645116</c:v>
                </c:pt>
                <c:pt idx="15">
                  <c:v>9146675</c:v>
                </c:pt>
                <c:pt idx="16">
                  <c:v>11598138</c:v>
                </c:pt>
                <c:pt idx="17">
                  <c:v>10650481</c:v>
                </c:pt>
                <c:pt idx="18">
                  <c:v>11678398</c:v>
                </c:pt>
                <c:pt idx="19">
                  <c:v>11947221</c:v>
                </c:pt>
                <c:pt idx="20">
                  <c:v>12465870</c:v>
                </c:pt>
                <c:pt idx="21">
                  <c:v>11864184</c:v>
                </c:pt>
                <c:pt idx="22">
                  <c:v>14160157</c:v>
                </c:pt>
                <c:pt idx="23">
                  <c:v>16707135</c:v>
                </c:pt>
                <c:pt idx="24">
                  <c:v>18276175</c:v>
                </c:pt>
                <c:pt idx="25">
                  <c:v>19735602</c:v>
                </c:pt>
                <c:pt idx="26">
                  <c:v>15433674</c:v>
                </c:pt>
                <c:pt idx="27">
                  <c:v>17779442</c:v>
                </c:pt>
                <c:pt idx="28">
                  <c:v>18258838</c:v>
                </c:pt>
                <c:pt idx="29">
                  <c:v>21789398</c:v>
                </c:pt>
                <c:pt idx="30">
                  <c:v>20571227</c:v>
                </c:pt>
                <c:pt idx="31">
                  <c:v>16253757</c:v>
                </c:pt>
                <c:pt idx="32">
                  <c:v>19490789</c:v>
                </c:pt>
                <c:pt idx="33">
                  <c:v>23687965</c:v>
                </c:pt>
                <c:pt idx="34">
                  <c:v>23303495</c:v>
                </c:pt>
                <c:pt idx="35">
                  <c:v>18983212</c:v>
                </c:pt>
              </c:numCache>
            </c:numRef>
          </c:val>
          <c:smooth val="0"/>
          <c:extLst>
            <c:ext xmlns:c16="http://schemas.microsoft.com/office/drawing/2014/chart" uri="{C3380CC4-5D6E-409C-BE32-E72D297353CC}">
              <c16:uniqueId val="{00000001-CA45-4D7A-9B3F-03DC7CAF8A28}"/>
            </c:ext>
          </c:extLst>
        </c:ser>
        <c:ser>
          <c:idx val="2"/>
          <c:order val="2"/>
          <c:tx>
            <c:strRef>
              <c:f>'Analysis report'!$D$731</c:f>
              <c:strCache>
                <c:ptCount val="1"/>
                <c:pt idx="0">
                  <c:v>AC — Actual Cost USD</c:v>
                </c:pt>
              </c:strCache>
            </c:strRef>
          </c:tx>
          <c:spPr>
            <a:ln w="28575" cap="rnd">
              <a:solidFill>
                <a:schemeClr val="accent3"/>
              </a:solidFill>
              <a:round/>
            </a:ln>
            <a:effectLst/>
          </c:spPr>
          <c:marker>
            <c:symbol val="none"/>
          </c:marker>
          <c:cat>
            <c:strRef>
              <c:f>'Analysis report'!$A$732:$A$767</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'Analysis report'!$D$732:$D$767</c:f>
              <c:numCache>
                <c:formatCode>[$$-409]#,##0</c:formatCode>
                <c:ptCount val="36"/>
                <c:pt idx="0">
                  <c:v>559427</c:v>
                </c:pt>
                <c:pt idx="1">
                  <c:v>1552686</c:v>
                </c:pt>
                <c:pt idx="2">
                  <c:v>2172516</c:v>
                </c:pt>
                <c:pt idx="3">
                  <c:v>2676937</c:v>
                </c:pt>
                <c:pt idx="4">
                  <c:v>3244267</c:v>
                </c:pt>
                <c:pt idx="5">
                  <c:v>4009086</c:v>
                </c:pt>
                <c:pt idx="6">
                  <c:v>4572625</c:v>
                </c:pt>
                <c:pt idx="7">
                  <c:v>5598832</c:v>
                </c:pt>
                <c:pt idx="8">
                  <c:v>5456673</c:v>
                </c:pt>
                <c:pt idx="9">
                  <c:v>6220665</c:v>
                </c:pt>
                <c:pt idx="10">
                  <c:v>7471668</c:v>
                </c:pt>
                <c:pt idx="11">
                  <c:v>8861641</c:v>
                </c:pt>
                <c:pt idx="12">
                  <c:v>7097954</c:v>
                </c:pt>
                <c:pt idx="13">
                  <c:v>10357281</c:v>
                </c:pt>
                <c:pt idx="14">
                  <c:v>11316790</c:v>
                </c:pt>
                <c:pt idx="15">
                  <c:v>10189498</c:v>
                </c:pt>
                <c:pt idx="16">
                  <c:v>11635370</c:v>
                </c:pt>
                <c:pt idx="17">
                  <c:v>10449513</c:v>
                </c:pt>
                <c:pt idx="18">
                  <c:v>10613223</c:v>
                </c:pt>
                <c:pt idx="19">
                  <c:v>13650848</c:v>
                </c:pt>
                <c:pt idx="20">
                  <c:v>13403261</c:v>
                </c:pt>
                <c:pt idx="21">
                  <c:v>11559952</c:v>
                </c:pt>
                <c:pt idx="22">
                  <c:v>16105354</c:v>
                </c:pt>
                <c:pt idx="23">
                  <c:v>19786940</c:v>
                </c:pt>
                <c:pt idx="24">
                  <c:v>18578220</c:v>
                </c:pt>
                <c:pt idx="25">
                  <c:v>18790535</c:v>
                </c:pt>
                <c:pt idx="26">
                  <c:v>17307808</c:v>
                </c:pt>
                <c:pt idx="27">
                  <c:v>19753597</c:v>
                </c:pt>
                <c:pt idx="28">
                  <c:v>17211341</c:v>
                </c:pt>
                <c:pt idx="29">
                  <c:v>24907904</c:v>
                </c:pt>
                <c:pt idx="30">
                  <c:v>19597529</c:v>
                </c:pt>
                <c:pt idx="31">
                  <c:v>17562165</c:v>
                </c:pt>
                <c:pt idx="32">
                  <c:v>19481437</c:v>
                </c:pt>
                <c:pt idx="33">
                  <c:v>23740734</c:v>
                </c:pt>
                <c:pt idx="34">
                  <c:v>27042893</c:v>
                </c:pt>
                <c:pt idx="35">
                  <c:v>21098110</c:v>
                </c:pt>
              </c:numCache>
            </c:numRef>
          </c:val>
          <c:smooth val="0"/>
          <c:extLst>
            <c:ext xmlns:c16="http://schemas.microsoft.com/office/drawing/2014/chart" uri="{C3380CC4-5D6E-409C-BE32-E72D297353CC}">
              <c16:uniqueId val="{00000002-CA45-4D7A-9B3F-03DC7CAF8A28}"/>
            </c:ext>
          </c:extLst>
        </c:ser>
        <c:dLbls>
          <c:showLegendKey val="0"/>
          <c:showVal val="0"/>
          <c:showCatName val="0"/>
          <c:showSerName val="0"/>
          <c:showPercent val="0"/>
          <c:showBubbleSize val="0"/>
        </c:dLbls>
        <c:smooth val="0"/>
        <c:axId val="486443904"/>
        <c:axId val="35558480"/>
      </c:lineChart>
      <c:catAx>
        <c:axId val="48644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58480"/>
        <c:crosses val="autoZero"/>
        <c:auto val="1"/>
        <c:lblAlgn val="ctr"/>
        <c:lblOffset val="100"/>
        <c:noMultiLvlLbl val="0"/>
      </c:catAx>
      <c:valAx>
        <c:axId val="35558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43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P12 Q5 — SPI trend against the 0.90 threshold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'Q&amp;A Chart Dashboard'!$BB$395</c:f>
              <c:strCache>
                <c:ptCount val="1"/>
                <c:pt idx="0">
                  <c:v>SPI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'Q&amp;A Chart Dashboard'!$BA$396:$BA$431</c:f>
              <c:strCache>
                <c:ptCount val="36"/>
                <c:pt idx="0">
                  <c:v>Month 1</c:v>
                </c:pt>
                <c:pt idx="1">
                  <c:v>Month 2</c:v>
                </c:pt>
                <c:pt idx="2">
                  <c:v>Month 3</c:v>
                </c:pt>
                <c:pt idx="3">
                  <c:v>Month 4</c:v>
                </c:pt>
                <c:pt idx="4">
                  <c:v>Month 5</c:v>
                </c:pt>
                <c:pt idx="5">
                  <c:v>Month 6</c:v>
                </c:pt>
                <c:pt idx="6">
                  <c:v>Month 7</c:v>
                </c:pt>
                <c:pt idx="7">
                  <c:v>Month 8</c:v>
                </c:pt>
                <c:pt idx="8">
                  <c:v>Month 9</c:v>
                </c:pt>
                <c:pt idx="9">
                  <c:v>Month 10</c:v>
                </c:pt>
                <c:pt idx="10">
                  <c:v>Month 11</c:v>
                </c:pt>
                <c:pt idx="11">
                  <c:v>Month 12</c:v>
                </c:pt>
                <c:pt idx="12">
                  <c:v>Month 13</c:v>
                </c:pt>
                <c:pt idx="13">
                  <c:v>Month 14</c:v>
                </c:pt>
                <c:pt idx="14">
                  <c:v>Month 15</c:v>
                </c:pt>
                <c:pt idx="15">
                  <c:v>Month 16</c:v>
                </c:pt>
                <c:pt idx="16">
                  <c:v>Month 17</c:v>
                </c:pt>
                <c:pt idx="17">
                  <c:v>Month 18</c:v>
                </c:pt>
                <c:pt idx="18">
                  <c:v>Month 19</c:v>
                </c:pt>
                <c:pt idx="19">
                  <c:v>Month 20</c:v>
                </c:pt>
                <c:pt idx="20">
                  <c:v>Month 21</c:v>
                </c:pt>
                <c:pt idx="21">
                  <c:v>Month 22</c:v>
                </c:pt>
                <c:pt idx="22">
                  <c:v>Month 23</c:v>
                </c:pt>
                <c:pt idx="23">
                  <c:v>Month 24</c:v>
                </c:pt>
                <c:pt idx="24">
                  <c:v>Month 25</c:v>
                </c:pt>
                <c:pt idx="25">
                  <c:v>Month 26</c:v>
                </c:pt>
                <c:pt idx="26">
                  <c:v>Month 27</c:v>
                </c:pt>
                <c:pt idx="27">
                  <c:v>Month 28</c:v>
                </c:pt>
                <c:pt idx="28">
                  <c:v>Month 29</c:v>
                </c:pt>
                <c:pt idx="29">
                  <c:v>Month 30</c:v>
                </c:pt>
                <c:pt idx="30">
                  <c:v>Month 31</c:v>
                </c:pt>
                <c:pt idx="31">
                  <c:v>Month 32</c:v>
                </c:pt>
                <c:pt idx="32">
                  <c:v>Month 33</c:v>
                </c:pt>
                <c:pt idx="33">
                  <c:v>Month 34</c:v>
                </c:pt>
                <c:pt idx="34">
                  <c:v>Month 35</c:v>
                </c:pt>
                <c:pt idx="35">
                  <c:v>Month 36</c:v>
                </c:pt>
              </c:strCache>
            </c:strRef>
          </c:cat>
          <c:val>
            <c:numRef>
              <c:f>'Q&amp;A Chart Dashboard'!$BB$396:$BB$431</c:f>
              <c:numCache>
                <c:formatCode>0.000</c:formatCode>
                <c:ptCount val="36"/>
                <c:pt idx="0">
                  <c:v>0.81668592558354514</c:v>
                </c:pt>
                <c:pt idx="1">
                  <c:v>0.95588547575413796</c:v>
                </c:pt>
                <c:pt idx="2">
                  <c:v>0.92583516387752829</c:v>
                </c:pt>
                <c:pt idx="3">
                  <c:v>1.049148067577089</c:v>
                </c:pt>
                <c:pt idx="4">
                  <c:v>0.99278948778737586</c:v>
                </c:pt>
                <c:pt idx="5">
                  <c:v>0.99266612607982063</c:v>
                </c:pt>
                <c:pt idx="6">
                  <c:v>0.76519116614540117</c:v>
                </c:pt>
                <c:pt idx="7">
                  <c:v>0.9673292355420573</c:v>
                </c:pt>
                <c:pt idx="8">
                  <c:v>0.87799919212589883</c:v>
                </c:pt>
                <c:pt idx="9">
                  <c:v>0.83249448774756019</c:v>
                </c:pt>
                <c:pt idx="10">
                  <c:v>0.93423184535285486</c:v>
                </c:pt>
                <c:pt idx="11">
                  <c:v>0.89966739848854049</c:v>
                </c:pt>
                <c:pt idx="12">
                  <c:v>0.77631643649847759</c:v>
                </c:pt>
                <c:pt idx="13">
                  <c:v>0.94279571118968863</c:v>
                </c:pt>
                <c:pt idx="14">
                  <c:v>1.0482261489053764</c:v>
                </c:pt>
                <c:pt idx="15">
                  <c:v>0.86474940804584932</c:v>
                </c:pt>
                <c:pt idx="16">
                  <c:v>0.98443051440253593</c:v>
                </c:pt>
                <c:pt idx="17">
                  <c:v>0.84648129642968728</c:v>
                </c:pt>
                <c:pt idx="18">
                  <c:v>0.92913483930047558</c:v>
                </c:pt>
                <c:pt idx="19">
                  <c:v>0.83427978029386185</c:v>
                </c:pt>
                <c:pt idx="20">
                  <c:v>0.85722985614328229</c:v>
                </c:pt>
                <c:pt idx="21">
                  <c:v>0.79788737978157565</c:v>
                </c:pt>
                <c:pt idx="22">
                  <c:v>0.91010686245744765</c:v>
                </c:pt>
                <c:pt idx="23">
                  <c:v>0.97921487142655694</c:v>
                </c:pt>
                <c:pt idx="24">
                  <c:v>1.0447993745441266</c:v>
                </c:pt>
                <c:pt idx="25">
                  <c:v>1.0474625377043167</c:v>
                </c:pt>
                <c:pt idx="26">
                  <c:v>0.84540129829958133</c:v>
                </c:pt>
                <c:pt idx="27">
                  <c:v>0.92746873007288111</c:v>
                </c:pt>
                <c:pt idx="28">
                  <c:v>0.9202953822072194</c:v>
                </c:pt>
                <c:pt idx="29">
                  <c:v>1.0010090302789019</c:v>
                </c:pt>
                <c:pt idx="30">
                  <c:v>0.91263737489860985</c:v>
                </c:pt>
                <c:pt idx="31">
                  <c:v>0.76685036626215575</c:v>
                </c:pt>
                <c:pt idx="32">
                  <c:v>0.89339665421141545</c:v>
                </c:pt>
                <c:pt idx="33">
                  <c:v>0.99193361806939906</c:v>
                </c:pt>
                <c:pt idx="34">
                  <c:v>0.99072733265670709</c:v>
                </c:pt>
                <c:pt idx="35">
                  <c:v>0.79431357666877322</c:v>
                </c:pt>
              </c:numCache>
            </c:numRef>
          </c:val>
          <c:smooth val="0"/>
          <c:extLst>
            <c:ext xmlns:c16="http://schemas.microsoft.com/office/drawing/2014/chart" uri="{C3380CC4-5D6E-409C-BE32-E72D297353CC}">
              <c16:uniqueId val="{00000000-C507-4DFD-9254-81B2425D5652}"/>
            </c:ext>
          </c:extLst>
        </c:ser>
        <c:dLbls>
          <c:showLegendKey val="0"/>
          <c:showVal val="0"/>
          <c:showCatName val="0"/>
          <c:showSerName val="0"/>
          <c:showPercent val="0"/>
          <c:showBubbleSize val="0"/>
        </c:dLbls>
        <c:marker val="1"/>
        <c:smooth val="0"/>
        <c:axId val="486473600"/>
        <c:axId val="35610800"/>
      </c:lineChart>
      <c:catAx>
        <c:axId val="48647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610800"/>
        <c:crosses val="autoZero"/>
        <c:auto val="1"/>
        <c:lblAlgn val="ctr"/>
        <c:lblOffset val="100"/>
        <c:noMultiLvlLbl val="0"/>
      </c:catAx>
      <c:valAx>
        <c:axId val="356108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7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P12 Q6 — Cost recovery required for CPI 1.00 at Month 24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Dashboard'!$BB$434</c:f>
              <c:strCache>
                <c:ptCount val="1"/>
                <c:pt idx="0">
                  <c:v>USD</c:v>
                </c:pt>
              </c:strCache>
            </c:strRef>
          </c:tx>
          <c:spPr>
            <a:solidFill>
              <a:schemeClr val="accent1"/>
            </a:solidFill>
            <a:ln>
              <a:noFill/>
            </a:ln>
            <a:effectLst/>
          </c:spPr>
          <c:invertIfNegative val="0"/>
          <c:cat>
            <c:strRef>
              <c:f>'Q&amp;A Chart Dashboard'!$BA$435:$BA$437</c:f>
              <c:strCache>
                <c:ptCount val="3"/>
                <c:pt idx="0">
                  <c:v>EV at Month 24</c:v>
                </c:pt>
                <c:pt idx="1">
                  <c:v>AC at Month 24</c:v>
                </c:pt>
                <c:pt idx="2">
                  <c:v>AC allowed for CPI 1.00</c:v>
                </c:pt>
              </c:strCache>
            </c:strRef>
          </c:cat>
          <c:val>
            <c:numRef>
              <c:f>'Q&amp;A Chart Dashboard'!$BB$435:$BB$437</c:f>
              <c:numCache>
                <c:formatCode>[$$-409]#,##0</c:formatCode>
                <c:ptCount val="3"/>
                <c:pt idx="0">
                  <c:v>16707135</c:v>
                </c:pt>
                <c:pt idx="1">
                  <c:v>19786940</c:v>
                </c:pt>
                <c:pt idx="2">
                  <c:v>16707135</c:v>
                </c:pt>
              </c:numCache>
            </c:numRef>
          </c:val>
          <c:extLst>
            <c:ext xmlns:c16="http://schemas.microsoft.com/office/drawing/2014/chart" uri="{C3380CC4-5D6E-409C-BE32-E72D297353CC}">
              <c16:uniqueId val="{00000000-6721-4D6A-A90C-F422E0689B02}"/>
            </c:ext>
          </c:extLst>
        </c:ser>
        <c:dLbls>
          <c:showLegendKey val="0"/>
          <c:showVal val="0"/>
          <c:showCatName val="0"/>
          <c:showSerName val="0"/>
          <c:showPercent val="0"/>
          <c:showBubbleSize val="0"/>
        </c:dLbls>
        <c:gapWidth val="219"/>
        <c:overlap val="-27"/>
        <c:axId val="486487984"/>
        <c:axId val="35586800"/>
      </c:barChart>
      <c:catAx>
        <c:axId val="48648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86800"/>
        <c:crosses val="autoZero"/>
        <c:auto val="1"/>
        <c:lblAlgn val="ctr"/>
        <c:lblOffset val="100"/>
        <c:noMultiLvlLbl val="0"/>
      </c:catAx>
      <c:valAx>
        <c:axId val="35586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8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P13 Q1 — Avg lead time by material (days)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'Analysis report'!$B$783</c:f>
              <c:strCache>
                <c:ptCount val="1"/>
                <c:pt idx="0">
                  <c:v>Avg Lead Time (days)</c:v>
                </c:pt>
              </c:strCache>
            </c:strRef>
          </c:tx>
          <c:spPr>
            <a:solidFill>
              <a:schemeClr val="accent1"/>
            </a:solidFill>
            <a:ln>
              <a:noFill/>
            </a:ln>
            <a:effectLst/>
          </c:spPr>
          <c:invertIfNegative val="0"/>
          <c:cat>
            <c:strRef>
              <c:f>'Analysis report'!$A$784:$A$798</c:f>
              <c:strCache>
                <c:ptCount val="15"/>
                <c:pt idx="0">
                  <c:v>Cement (OPC 53)</c:v>
                </c:pt>
                <c:pt idx="1">
                  <c:v>TMT Steel (Fe500)</c:v>
                </c:pt>
                <c:pt idx="2">
                  <c:v>Structural Steel</c:v>
                </c:pt>
                <c:pt idx="3">
                  <c:v>Aluminium Facade</c:v>
                </c:pt>
                <c:pt idx="4">
                  <c:v>Glass (DGU)</c:v>
                </c:pt>
                <c:pt idx="5">
                  <c:v>RMC M30</c:v>
                </c:pt>
                <c:pt idx="6">
                  <c:v>Aggregate (20mm)</c:v>
                </c:pt>
                <c:pt idx="7">
                  <c:v>Sand (River)</c:v>
                </c:pt>
                <c:pt idx="8">
                  <c:v>Bricks (AAC)</c:v>
                </c:pt>
                <c:pt idx="9">
                  <c:v>Tiles (Vitrified)</c:v>
                </c:pt>
                <c:pt idx="10">
                  <c:v>Plywood (Marine)</c:v>
                </c:pt>
                <c:pt idx="11">
                  <c:v>Waterproofing Membrane</c:v>
                </c:pt>
                <c:pt idx="12">
                  <c:v>PVC Conduits</c:v>
                </c:pt>
                <c:pt idx="13">
                  <c:v>MS Pipes</c:v>
                </c:pt>
                <c:pt idx="14">
                  <c:v>Copper Wiring</c:v>
                </c:pt>
              </c:strCache>
            </c:strRef>
          </c:cat>
          <c:val>
            <c:numRef>
              <c:f>'Analysis report'!$B$784:$B$798</c:f>
              <c:numCache>
                <c:formatCode>0.0</c:formatCode>
                <c:ptCount val="15"/>
                <c:pt idx="0">
                  <c:v>38.6</c:v>
                </c:pt>
                <c:pt idx="1">
                  <c:v>26.25</c:v>
                </c:pt>
                <c:pt idx="2">
                  <c:v>41</c:v>
                </c:pt>
                <c:pt idx="3">
                  <c:v>55</c:v>
                </c:pt>
                <c:pt idx="4">
                  <c:v>36</c:v>
                </c:pt>
                <c:pt idx="5">
                  <c:v>41</c:v>
                </c:pt>
                <c:pt idx="6">
                  <c:v>26.333333333333332</c:v>
                </c:pt>
                <c:pt idx="7">
                  <c:v>34</c:v>
                </c:pt>
                <c:pt idx="8">
                  <c:v>37</c:v>
                </c:pt>
                <c:pt idx="9">
                  <c:v>46</c:v>
                </c:pt>
                <c:pt idx="10">
                  <c:v>21.666666666666668</c:v>
                </c:pt>
                <c:pt idx="11">
                  <c:v>45.333333333333336</c:v>
                </c:pt>
                <c:pt idx="12">
                  <c:v>42.333333333333336</c:v>
                </c:pt>
                <c:pt idx="13">
                  <c:v>49</c:v>
                </c:pt>
                <c:pt idx="14">
                  <c:v>69</c:v>
                </c:pt>
              </c:numCache>
            </c:numRef>
          </c:val>
          <c:extLst>
            <c:ext xmlns:c16="http://schemas.microsoft.com/office/drawing/2014/chart" uri="{C3380CC4-5D6E-409C-BE32-E72D297353CC}">
              <c16:uniqueId val="{00000000-65F6-4CF3-B817-DC7FCA00A1A4}"/>
            </c:ext>
          </c:extLst>
        </c:ser>
        <c:dLbls>
          <c:showLegendKey val="0"/>
          <c:showVal val="0"/>
          <c:showCatName val="0"/>
          <c:showSerName val="0"/>
          <c:showPercent val="0"/>
          <c:showBubbleSize val="0"/>
        </c:dLbls>
        <c:gapWidth val="182"/>
        <c:axId val="486304240"/>
        <c:axId val="35577680"/>
      </c:barChart>
      <c:catAx>
        <c:axId val="486304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77680"/>
        <c:crosses val="autoZero"/>
        <c:auto val="1"/>
        <c:lblAlgn val="ctr"/>
        <c:lblOffset val="100"/>
        <c:noMultiLvlLbl val="0"/>
      </c:catAx>
      <c:valAx>
        <c:axId val="3557768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0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P13 Q2 — On-time delivery % by supplier</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Dashboard'!$BB$440</c:f>
              <c:strCache>
                <c:ptCount val="1"/>
                <c:pt idx="0">
                  <c:v>On-time delivery %</c:v>
                </c:pt>
              </c:strCache>
            </c:strRef>
          </c:tx>
          <c:spPr>
            <a:solidFill>
              <a:schemeClr val="accent1"/>
            </a:solidFill>
            <a:ln>
              <a:noFill/>
            </a:ln>
            <a:effectLst/>
          </c:spPr>
          <c:invertIfNegative val="0"/>
          <c:cat>
            <c:strRef>
              <c:f>'Q&amp;A Chart Dashboard'!$BA$441:$BA$450</c:f>
              <c:strCache>
                <c:ptCount val="10"/>
                <c:pt idx="0">
                  <c:v>Supplier-A</c:v>
                </c:pt>
                <c:pt idx="1">
                  <c:v>Supplier-B</c:v>
                </c:pt>
                <c:pt idx="2">
                  <c:v>Supplier-C</c:v>
                </c:pt>
                <c:pt idx="3">
                  <c:v>Supplier-D</c:v>
                </c:pt>
                <c:pt idx="4">
                  <c:v>Supplier-E</c:v>
                </c:pt>
                <c:pt idx="5">
                  <c:v>Supplier-F</c:v>
                </c:pt>
                <c:pt idx="6">
                  <c:v>Supplier-G</c:v>
                </c:pt>
                <c:pt idx="7">
                  <c:v>Supplier-H</c:v>
                </c:pt>
                <c:pt idx="8">
                  <c:v>Supplier-I</c:v>
                </c:pt>
                <c:pt idx="9">
                  <c:v>Supplier-J</c:v>
                </c:pt>
              </c:strCache>
            </c:strRef>
          </c:cat>
          <c:val>
            <c:numRef>
              <c:f>'Q&amp;A Chart Dashboard'!$BB$441:$BB$450</c:f>
              <c:numCache>
                <c:formatCode>0.0%</c:formatCode>
                <c:ptCount val="10"/>
                <c:pt idx="0">
                  <c:v>0.33333333333333331</c:v>
                </c:pt>
                <c:pt idx="1">
                  <c:v>0</c:v>
                </c:pt>
                <c:pt idx="2">
                  <c:v>0.4</c:v>
                </c:pt>
                <c:pt idx="3">
                  <c:v>0.4</c:v>
                </c:pt>
                <c:pt idx="4">
                  <c:v>0.2857142857142857</c:v>
                </c:pt>
                <c:pt idx="5">
                  <c:v>0.375</c:v>
                </c:pt>
                <c:pt idx="6">
                  <c:v>0.16666666666666666</c:v>
                </c:pt>
                <c:pt idx="7">
                  <c:v>0</c:v>
                </c:pt>
                <c:pt idx="8">
                  <c:v>0.14285714285714285</c:v>
                </c:pt>
                <c:pt idx="9">
                  <c:v>0.42857142857142855</c:v>
                </c:pt>
              </c:numCache>
            </c:numRef>
          </c:val>
          <c:extLst>
            <c:ext xmlns:c16="http://schemas.microsoft.com/office/drawing/2014/chart" uri="{C3380CC4-5D6E-409C-BE32-E72D297353CC}">
              <c16:uniqueId val="{00000000-E551-4443-B5EA-1A2DF339ADA0}"/>
            </c:ext>
          </c:extLst>
        </c:ser>
        <c:dLbls>
          <c:showLegendKey val="0"/>
          <c:showVal val="0"/>
          <c:showCatName val="0"/>
          <c:showSerName val="0"/>
          <c:showPercent val="0"/>
          <c:showBubbleSize val="0"/>
        </c:dLbls>
        <c:gapWidth val="219"/>
        <c:overlap val="-27"/>
        <c:axId val="486327440"/>
        <c:axId val="35571440"/>
      </c:barChart>
      <c:catAx>
        <c:axId val="48632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71440"/>
        <c:crosses val="autoZero"/>
        <c:auto val="1"/>
        <c:lblAlgn val="ctr"/>
        <c:lblOffset val="100"/>
        <c:noMultiLvlLbl val="0"/>
      </c:catAx>
      <c:valAx>
        <c:axId val="355714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2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P13 Q3 — POs delivered on time vs late</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doughnutChart>
        <c:varyColors val="1"/>
        <c:ser>
          <c:idx val="0"/>
          <c:order val="0"/>
          <c:tx>
            <c:strRef>
              <c:f>'Q&amp;A Chart Dashboard'!$BB$453</c:f>
              <c:strCache>
                <c:ptCount val="1"/>
                <c:pt idx="0">
                  <c:v>POs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D9-493C-9CED-687B79B6A9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D9-493C-9CED-687B79B6A9D2}"/>
              </c:ext>
            </c:extLst>
          </c:dPt>
          <c:cat>
            <c:strRef>
              <c:f>'Q&amp;A Chart Dashboard'!$BA$454:$BA$455</c:f>
              <c:strCache>
                <c:ptCount val="2"/>
                <c:pt idx="0">
                  <c:v>Delivered on time</c:v>
                </c:pt>
                <c:pt idx="1">
                  <c:v>Delivered late</c:v>
                </c:pt>
              </c:strCache>
            </c:strRef>
          </c:cat>
          <c:val>
            <c:numRef>
              <c:f>'Q&amp;A Chart Dashboard'!$BB$454:$BB$455</c:f>
              <c:numCache>
                <c:formatCode>0</c:formatCode>
                <c:ptCount val="2"/>
                <c:pt idx="0">
                  <c:v>15</c:v>
                </c:pt>
                <c:pt idx="1">
                  <c:v>35</c:v>
                </c:pt>
              </c:numCache>
            </c:numRef>
          </c:val>
          <c:extLst>
            <c:ext xmlns:c16="http://schemas.microsoft.com/office/drawing/2014/chart" uri="{C3380CC4-5D6E-409C-BE32-E72D297353CC}">
              <c16:uniqueId val="{00000000-0FED-45D1-B0FC-B545456154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P13 Q4 — Lead time and delay by country (days)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Dashboard'!$BB$458</c:f>
              <c:strCache>
                <c:ptCount val="1"/>
                <c:pt idx="0">
                  <c:v>Avg lead time (days)</c:v>
                </c:pt>
              </c:strCache>
            </c:strRef>
          </c:tx>
          <c:spPr>
            <a:solidFill>
              <a:schemeClr val="accent1"/>
            </a:solidFill>
            <a:ln>
              <a:noFill/>
            </a:ln>
            <a:effectLst/>
          </c:spPr>
          <c:invertIfNegative val="0"/>
          <c:cat>
            <c:strRef>
              <c:f>'Q&amp;A Chart Dashboard'!$BA$459:$BA$461</c:f>
              <c:strCache>
                <c:ptCount val="3"/>
                <c:pt idx="0">
                  <c:v>India</c:v>
                </c:pt>
                <c:pt idx="1">
                  <c:v>Australia</c:v>
                </c:pt>
                <c:pt idx="2">
                  <c:v>New Zealand</c:v>
                </c:pt>
              </c:strCache>
            </c:strRef>
          </c:cat>
          <c:val>
            <c:numRef>
              <c:f>'Q&amp;A Chart Dashboard'!$BB$459:$BB$461</c:f>
              <c:numCache>
                <c:formatCode>0.0</c:formatCode>
                <c:ptCount val="3"/>
                <c:pt idx="0">
                  <c:v>35.857142857142854</c:v>
                </c:pt>
                <c:pt idx="1">
                  <c:v>36.846153846153847</c:v>
                </c:pt>
                <c:pt idx="2">
                  <c:v>38.3125</c:v>
                </c:pt>
              </c:numCache>
            </c:numRef>
          </c:val>
          <c:extLst>
            <c:ext xmlns:c16="http://schemas.microsoft.com/office/drawing/2014/chart" uri="{C3380CC4-5D6E-409C-BE32-E72D297353CC}">
              <c16:uniqueId val="{00000000-D495-4289-85B5-8CE6E4DE6CE2}"/>
            </c:ext>
          </c:extLst>
        </c:ser>
        <c:ser>
          <c:idx val="1"/>
          <c:order val="1"/>
          <c:tx>
            <c:strRef>
              <c:f>'Q&amp;A Chart Dashboard'!$BC$458</c:f>
              <c:strCache>
                <c:ptCount val="1"/>
                <c:pt idx="0">
                  <c:v>Avg delay (days)</c:v>
                </c:pt>
              </c:strCache>
            </c:strRef>
          </c:tx>
          <c:spPr>
            <a:solidFill>
              <a:schemeClr val="accent2"/>
            </a:solidFill>
            <a:ln>
              <a:noFill/>
            </a:ln>
            <a:effectLst/>
          </c:spPr>
          <c:invertIfNegative val="0"/>
          <c:cat>
            <c:strRef>
              <c:f>'Q&amp;A Chart Dashboard'!$BA$459:$BA$461</c:f>
              <c:strCache>
                <c:ptCount val="3"/>
                <c:pt idx="0">
                  <c:v>India</c:v>
                </c:pt>
                <c:pt idx="1">
                  <c:v>Australia</c:v>
                </c:pt>
                <c:pt idx="2">
                  <c:v>New Zealand</c:v>
                </c:pt>
              </c:strCache>
            </c:strRef>
          </c:cat>
          <c:val>
            <c:numRef>
              <c:f>'Q&amp;A Chart Dashboard'!$BC$459:$BC$461</c:f>
              <c:numCache>
                <c:formatCode>0.0</c:formatCode>
                <c:ptCount val="3"/>
                <c:pt idx="0">
                  <c:v>6.333333333333333</c:v>
                </c:pt>
                <c:pt idx="1">
                  <c:v>6.6923076923076925</c:v>
                </c:pt>
                <c:pt idx="2">
                  <c:v>4.625</c:v>
                </c:pt>
              </c:numCache>
            </c:numRef>
          </c:val>
          <c:extLst>
            <c:ext xmlns:c16="http://schemas.microsoft.com/office/drawing/2014/chart" uri="{C3380CC4-5D6E-409C-BE32-E72D297353CC}">
              <c16:uniqueId val="{00000001-D495-4289-85B5-8CE6E4DE6CE2}"/>
            </c:ext>
          </c:extLst>
        </c:ser>
        <c:dLbls>
          <c:showLegendKey val="0"/>
          <c:showVal val="0"/>
          <c:showCatName val="0"/>
          <c:showSerName val="0"/>
          <c:showPercent val="0"/>
          <c:showBubbleSize val="0"/>
        </c:dLbls>
        <c:gapWidth val="219"/>
        <c:overlap val="-27"/>
        <c:axId val="486369664"/>
        <c:axId val="35558960"/>
      </c:barChart>
      <c:catAx>
        <c:axId val="4863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58960"/>
        <c:crosses val="autoZero"/>
        <c:auto val="1"/>
        <c:lblAlgn val="ctr"/>
        <c:lblOffset val="100"/>
        <c:noMultiLvlLbl val="0"/>
      </c:catAx>
      <c:valAx>
        <c:axId val="355589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6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P13 Q5 — Lead-time unpredictability by material (std dev, days)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'Q&amp;A Chart Dashboard'!$BB$464:$BB$478</c:f>
              <c:strCache>
                <c:ptCount val="15"/>
                <c:pt idx="0">
                  <c:v>Std dev of lead time (days)</c:v>
                </c:pt>
                <c:pt idx="1">
                  <c:v>13.1</c:v>
                </c:pt>
                <c:pt idx="2">
                  <c:v>15.5</c:v>
                </c:pt>
                <c:pt idx="3">
                  <c:v>20.1</c:v>
                </c:pt>
                <c:pt idx="4">
                  <c:v>1.4</c:v>
                </c:pt>
                <c:pt idx="5">
                  <c:v>25.5</c:v>
                </c:pt>
                <c:pt idx="6">
                  <c:v>28.1</c:v>
                </c:pt>
                <c:pt idx="7">
                  <c:v>15.2</c:v>
                </c:pt>
                <c:pt idx="8">
                  <c:v>-</c:v>
                </c:pt>
                <c:pt idx="9">
                  <c:v>7.0</c:v>
                </c:pt>
                <c:pt idx="10">
                  <c:v>39.6</c:v>
                </c:pt>
                <c:pt idx="11">
                  <c:v>18.3</c:v>
                </c:pt>
                <c:pt idx="12">
                  <c:v>12.3</c:v>
                </c:pt>
                <c:pt idx="13">
                  <c:v>18.0</c:v>
                </c:pt>
                <c:pt idx="14">
                  <c:v>21.2</c:v>
                </c:pt>
              </c:strCache>
            </c:strRef>
          </c:tx>
          <c:spPr>
            <a:solidFill>
              <a:schemeClr val="accent1"/>
            </a:solidFill>
            <a:ln>
              <a:noFill/>
            </a:ln>
            <a:effectLst/>
          </c:spPr>
          <c:invertIfNegative val="0"/>
          <c:cat>
            <c:strRef>
              <c:f>'Q&amp;A Chart Dashboard'!$BA$479</c:f>
              <c:strCache>
                <c:ptCount val="1"/>
                <c:pt idx="0">
                  <c:v>Copper Wiring</c:v>
                </c:pt>
              </c:strCache>
            </c:strRef>
          </c:cat>
          <c:val>
            <c:numRef>
              <c:f>'Q&amp;A Chart Dashboard'!$BB$479</c:f>
              <c:numCache>
                <c:formatCode>0.0</c:formatCode>
                <c:ptCount val="1"/>
                <c:pt idx="0">
                  <c:v>0</c:v>
                </c:pt>
              </c:numCache>
            </c:numRef>
          </c:val>
          <c:extLst>
            <c:ext xmlns:c16="http://schemas.microsoft.com/office/drawing/2014/chart" uri="{C3380CC4-5D6E-409C-BE32-E72D297353CC}">
              <c16:uniqueId val="{00000000-DB46-4EC4-A99D-7CD83BABD1F0}"/>
            </c:ext>
          </c:extLst>
        </c:ser>
        <c:dLbls>
          <c:showLegendKey val="0"/>
          <c:showVal val="0"/>
          <c:showCatName val="0"/>
          <c:showSerName val="0"/>
          <c:showPercent val="0"/>
          <c:showBubbleSize val="0"/>
        </c:dLbls>
        <c:gapWidth val="182"/>
        <c:axId val="486391472"/>
        <c:axId val="35574320"/>
      </c:barChart>
      <c:catAx>
        <c:axId val="48639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74320"/>
        <c:crosses val="autoZero"/>
        <c:auto val="1"/>
        <c:lblAlgn val="ctr"/>
        <c:lblOffset val="100"/>
        <c:noMultiLvlLbl val="0"/>
      </c:catAx>
      <c:valAx>
        <c:axId val="3557432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9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P13 Q6 — Supplier reliability scorecard — on-time %</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'Analysis report'!$C$833</c:f>
              <c:strCache>
                <c:ptCount val="1"/>
                <c:pt idx="0">
                  <c:v>On-time %</c:v>
                </c:pt>
              </c:strCache>
            </c:strRef>
          </c:tx>
          <c:spPr>
            <a:solidFill>
              <a:schemeClr val="accent1"/>
            </a:solidFill>
            <a:ln>
              <a:noFill/>
            </a:ln>
            <a:effectLst/>
          </c:spPr>
          <c:invertIfNegative val="0"/>
          <c:cat>
            <c:strRef>
              <c:f>'Analysis report'!$B$834:$B$843</c:f>
              <c:strCache>
                <c:ptCount val="10"/>
                <c:pt idx="0">
                  <c:v>Supplier-J</c:v>
                </c:pt>
                <c:pt idx="1">
                  <c:v>Supplier-C</c:v>
                </c:pt>
                <c:pt idx="2">
                  <c:v>Supplier-D</c:v>
                </c:pt>
                <c:pt idx="3">
                  <c:v>Supplier-F</c:v>
                </c:pt>
                <c:pt idx="4">
                  <c:v>Supplier-A</c:v>
                </c:pt>
                <c:pt idx="5">
                  <c:v>Supplier-E</c:v>
                </c:pt>
                <c:pt idx="6">
                  <c:v>Supplier-G</c:v>
                </c:pt>
                <c:pt idx="7">
                  <c:v>Supplier-I</c:v>
                </c:pt>
                <c:pt idx="8">
                  <c:v>Supplier-B</c:v>
                </c:pt>
                <c:pt idx="9">
                  <c:v>Supplier-H</c:v>
                </c:pt>
              </c:strCache>
            </c:strRef>
          </c:cat>
          <c:val>
            <c:numRef>
              <c:f>'Analysis report'!$C$834:$C$843</c:f>
              <c:numCache>
                <c:formatCode>0.0%</c:formatCode>
                <c:ptCount val="10"/>
                <c:pt idx="0">
                  <c:v>0.42857142857142855</c:v>
                </c:pt>
                <c:pt idx="1">
                  <c:v>0.4</c:v>
                </c:pt>
                <c:pt idx="2">
                  <c:v>0.4</c:v>
                </c:pt>
                <c:pt idx="3">
                  <c:v>0.375</c:v>
                </c:pt>
                <c:pt idx="4">
                  <c:v>0.33333333333333331</c:v>
                </c:pt>
                <c:pt idx="5">
                  <c:v>0.2857142857142857</c:v>
                </c:pt>
                <c:pt idx="6">
                  <c:v>0.16666666666666666</c:v>
                </c:pt>
                <c:pt idx="7">
                  <c:v>0.14285714285714285</c:v>
                </c:pt>
                <c:pt idx="8">
                  <c:v>0</c:v>
                </c:pt>
                <c:pt idx="9">
                  <c:v>0</c:v>
                </c:pt>
              </c:numCache>
            </c:numRef>
          </c:val>
          <c:extLst>
            <c:ext xmlns:c16="http://schemas.microsoft.com/office/drawing/2014/chart" uri="{C3380CC4-5D6E-409C-BE32-E72D297353CC}">
              <c16:uniqueId val="{00000000-BA8D-43FF-ACAC-0FC121E40D99}"/>
            </c:ext>
          </c:extLst>
        </c:ser>
        <c:dLbls>
          <c:showLegendKey val="0"/>
          <c:showVal val="0"/>
          <c:showCatName val="0"/>
          <c:showSerName val="0"/>
          <c:showPercent val="0"/>
          <c:showBubbleSize val="0"/>
        </c:dLbls>
        <c:gapWidth val="182"/>
        <c:axId val="486412352"/>
        <c:axId val="35587280"/>
      </c:barChart>
      <c:catAx>
        <c:axId val="48641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87280"/>
        <c:crosses val="autoZero"/>
        <c:auto val="1"/>
        <c:lblAlgn val="ctr"/>
        <c:lblOffset val="100"/>
        <c:noMultiLvlLbl val="0"/>
      </c:catAx>
      <c:valAx>
        <c:axId val="3558728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1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P14 Q1 — Invoiced, paid and outstanding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Dashboard'!$BB$482</c:f>
              <c:strCache>
                <c:ptCount val="1"/>
                <c:pt idx="0">
                  <c:v>Amount USD</c:v>
                </c:pt>
              </c:strCache>
            </c:strRef>
          </c:tx>
          <c:spPr>
            <a:solidFill>
              <a:schemeClr val="accent1"/>
            </a:solidFill>
            <a:ln>
              <a:noFill/>
            </a:ln>
            <a:effectLst/>
          </c:spPr>
          <c:invertIfNegative val="0"/>
          <c:cat>
            <c:strRef>
              <c:f>'Q&amp;A Chart Dashboard'!$BA$483:$BA$485</c:f>
              <c:strCache>
                <c:ptCount val="3"/>
                <c:pt idx="0">
                  <c:v>Invoiced</c:v>
                </c:pt>
                <c:pt idx="1">
                  <c:v>Paid</c:v>
                </c:pt>
                <c:pt idx="2">
                  <c:v>Outstanding</c:v>
                </c:pt>
              </c:strCache>
            </c:strRef>
          </c:cat>
          <c:val>
            <c:numRef>
              <c:f>'Q&amp;A Chart Dashboard'!$BB$483:$BB$485</c:f>
              <c:numCache>
                <c:formatCode>[$$-409]#,##0</c:formatCode>
                <c:ptCount val="3"/>
                <c:pt idx="0">
                  <c:v>41713158</c:v>
                </c:pt>
                <c:pt idx="1">
                  <c:v>29856300</c:v>
                </c:pt>
                <c:pt idx="2">
                  <c:v>11856858</c:v>
                </c:pt>
              </c:numCache>
            </c:numRef>
          </c:val>
          <c:extLst>
            <c:ext xmlns:c16="http://schemas.microsoft.com/office/drawing/2014/chart" uri="{C3380CC4-5D6E-409C-BE32-E72D297353CC}">
              <c16:uniqueId val="{00000000-911B-425B-B422-2AEB98F9EAF6}"/>
            </c:ext>
          </c:extLst>
        </c:ser>
        <c:dLbls>
          <c:showLegendKey val="0"/>
          <c:showVal val="0"/>
          <c:showCatName val="0"/>
          <c:showSerName val="0"/>
          <c:showPercent val="0"/>
          <c:showBubbleSize val="0"/>
        </c:dLbls>
        <c:gapWidth val="219"/>
        <c:overlap val="-27"/>
        <c:axId val="486436480"/>
        <c:axId val="35603600"/>
      </c:barChart>
      <c:catAx>
        <c:axId val="48643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603600"/>
        <c:crosses val="autoZero"/>
        <c:auto val="1"/>
        <c:lblAlgn val="ctr"/>
        <c:lblOffset val="100"/>
        <c:noMultiLvlLbl val="0"/>
      </c:catAx>
      <c:valAx>
        <c:axId val="35603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3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P14 Q2 — Outstanding and paid-late amounts by client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Dashboard'!$BB$488</c:f>
              <c:strCache>
                <c:ptCount val="1"/>
                <c:pt idx="0">
                  <c:v>Outstanding USD</c:v>
                </c:pt>
              </c:strCache>
            </c:strRef>
          </c:tx>
          <c:spPr>
            <a:solidFill>
              <a:schemeClr val="accent1"/>
            </a:solidFill>
            <a:ln>
              <a:noFill/>
            </a:ln>
            <a:effectLst/>
          </c:spPr>
          <c:invertIfNegative val="0"/>
          <c:cat>
            <c:strRef>
              <c:f>'Q&amp;A Chart Dashboard'!$BA$489:$BA$498</c:f>
              <c:strCache>
                <c:ptCount val="10"/>
                <c:pt idx="0">
                  <c:v>GPT Group</c:v>
                </c:pt>
                <c:pt idx="1">
                  <c:v>Ascendas REIT</c:v>
                </c:pt>
                <c:pt idx="2">
                  <c:v>Goodman Group</c:v>
                </c:pt>
                <c:pt idx="3">
                  <c:v>Tata Realty</c:v>
                </c:pt>
                <c:pt idx="4">
                  <c:v>Brookfield</c:v>
                </c:pt>
                <c:pt idx="5">
                  <c:v>Dexus</c:v>
                </c:pt>
                <c:pt idx="6">
                  <c:v>Stockland</c:v>
                </c:pt>
                <c:pt idx="7">
                  <c:v>Embassy Group</c:v>
                </c:pt>
                <c:pt idx="8">
                  <c:v>Mirvac</c:v>
                </c:pt>
                <c:pt idx="9">
                  <c:v>Lendlease</c:v>
                </c:pt>
              </c:strCache>
            </c:strRef>
          </c:cat>
          <c:val>
            <c:numRef>
              <c:f>'Q&amp;A Chart Dashboard'!$BB$489:$BB$498</c:f>
              <c:numCache>
                <c:formatCode>[$$-409]#,##0</c:formatCode>
                <c:ptCount val="10"/>
                <c:pt idx="0">
                  <c:v>725333</c:v>
                </c:pt>
                <c:pt idx="1">
                  <c:v>1145957</c:v>
                </c:pt>
                <c:pt idx="2">
                  <c:v>850225</c:v>
                </c:pt>
                <c:pt idx="3">
                  <c:v>2912761</c:v>
                </c:pt>
                <c:pt idx="4">
                  <c:v>4135698</c:v>
                </c:pt>
                <c:pt idx="5">
                  <c:v>189837</c:v>
                </c:pt>
                <c:pt idx="6">
                  <c:v>0</c:v>
                </c:pt>
                <c:pt idx="7">
                  <c:v>606457</c:v>
                </c:pt>
                <c:pt idx="8">
                  <c:v>603256</c:v>
                </c:pt>
                <c:pt idx="9">
                  <c:v>687334</c:v>
                </c:pt>
              </c:numCache>
            </c:numRef>
          </c:val>
          <c:extLst>
            <c:ext xmlns:c16="http://schemas.microsoft.com/office/drawing/2014/chart" uri="{C3380CC4-5D6E-409C-BE32-E72D297353CC}">
              <c16:uniqueId val="{00000000-8BF5-420F-902A-D0E41E61A123}"/>
            </c:ext>
          </c:extLst>
        </c:ser>
        <c:ser>
          <c:idx val="1"/>
          <c:order val="1"/>
          <c:tx>
            <c:strRef>
              <c:f>'Q&amp;A Chart Dashboard'!$BC$488</c:f>
              <c:strCache>
                <c:ptCount val="1"/>
                <c:pt idx="0">
                  <c:v>Paid after due date USD</c:v>
                </c:pt>
              </c:strCache>
            </c:strRef>
          </c:tx>
          <c:spPr>
            <a:solidFill>
              <a:schemeClr val="accent2"/>
            </a:solidFill>
            <a:ln>
              <a:noFill/>
            </a:ln>
            <a:effectLst/>
          </c:spPr>
          <c:invertIfNegative val="0"/>
          <c:cat>
            <c:strRef>
              <c:f>'Q&amp;A Chart Dashboard'!$BA$489:$BA$498</c:f>
              <c:strCache>
                <c:ptCount val="10"/>
                <c:pt idx="0">
                  <c:v>GPT Group</c:v>
                </c:pt>
                <c:pt idx="1">
                  <c:v>Ascendas REIT</c:v>
                </c:pt>
                <c:pt idx="2">
                  <c:v>Goodman Group</c:v>
                </c:pt>
                <c:pt idx="3">
                  <c:v>Tata Realty</c:v>
                </c:pt>
                <c:pt idx="4">
                  <c:v>Brookfield</c:v>
                </c:pt>
                <c:pt idx="5">
                  <c:v>Dexus</c:v>
                </c:pt>
                <c:pt idx="6">
                  <c:v>Stockland</c:v>
                </c:pt>
                <c:pt idx="7">
                  <c:v>Embassy Group</c:v>
                </c:pt>
                <c:pt idx="8">
                  <c:v>Mirvac</c:v>
                </c:pt>
                <c:pt idx="9">
                  <c:v>Lendlease</c:v>
                </c:pt>
              </c:strCache>
            </c:strRef>
          </c:cat>
          <c:val>
            <c:numRef>
              <c:f>'Q&amp;A Chart Dashboard'!$BC$489:$BC$498</c:f>
              <c:numCache>
                <c:formatCode>[$$-409]#,##0</c:formatCode>
                <c:ptCount val="10"/>
                <c:pt idx="0">
                  <c:v>3341941</c:v>
                </c:pt>
                <c:pt idx="1">
                  <c:v>4622054</c:v>
                </c:pt>
                <c:pt idx="2">
                  <c:v>2880469</c:v>
                </c:pt>
                <c:pt idx="3">
                  <c:v>4145611</c:v>
                </c:pt>
                <c:pt idx="4">
                  <c:v>4423250</c:v>
                </c:pt>
                <c:pt idx="5">
                  <c:v>2364281</c:v>
                </c:pt>
                <c:pt idx="6">
                  <c:v>1861221</c:v>
                </c:pt>
                <c:pt idx="7">
                  <c:v>0</c:v>
                </c:pt>
                <c:pt idx="8">
                  <c:v>2280472</c:v>
                </c:pt>
                <c:pt idx="9">
                  <c:v>1180273</c:v>
                </c:pt>
              </c:numCache>
            </c:numRef>
          </c:val>
          <c:extLst>
            <c:ext xmlns:c16="http://schemas.microsoft.com/office/drawing/2014/chart" uri="{C3380CC4-5D6E-409C-BE32-E72D297353CC}">
              <c16:uniqueId val="{00000001-8BF5-420F-902A-D0E41E61A123}"/>
            </c:ext>
          </c:extLst>
        </c:ser>
        <c:dLbls>
          <c:showLegendKey val="0"/>
          <c:showVal val="0"/>
          <c:showCatName val="0"/>
          <c:showSerName val="0"/>
          <c:showPercent val="0"/>
          <c:showBubbleSize val="0"/>
        </c:dLbls>
        <c:gapWidth val="219"/>
        <c:overlap val="-27"/>
        <c:axId val="486469888"/>
        <c:axId val="35584400"/>
      </c:barChart>
      <c:catAx>
        <c:axId val="48646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84400"/>
        <c:crosses val="autoZero"/>
        <c:auto val="1"/>
        <c:lblAlgn val="ctr"/>
        <c:lblOffset val="100"/>
        <c:noMultiLvlLbl val="0"/>
      </c:catAx>
      <c:valAx>
        <c:axId val="35584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69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P14 Q3 — Outstanding balance by aging bucket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Dashboard'!$BB$501</c:f>
              <c:strCache>
                <c:ptCount val="1"/>
                <c:pt idx="0">
                  <c:v>Outstanding USD</c:v>
                </c:pt>
              </c:strCache>
            </c:strRef>
          </c:tx>
          <c:spPr>
            <a:solidFill>
              <a:schemeClr val="accent1"/>
            </a:solidFill>
            <a:ln>
              <a:noFill/>
            </a:ln>
            <a:effectLst/>
          </c:spPr>
          <c:invertIfNegative val="0"/>
          <c:cat>
            <c:strRef>
              <c:f>'Q&amp;A Chart Dashboard'!$BA$502:$BA$505</c:f>
              <c:strCache>
                <c:ptCount val="4"/>
                <c:pt idx="0">
                  <c:v>0–30 days</c:v>
                </c:pt>
                <c:pt idx="1">
                  <c:v>31–60 days</c:v>
                </c:pt>
                <c:pt idx="2">
                  <c:v>61–90 days</c:v>
                </c:pt>
                <c:pt idx="3">
                  <c:v>90+ days</c:v>
                </c:pt>
              </c:strCache>
            </c:strRef>
          </c:cat>
          <c:val>
            <c:numRef>
              <c:f>'Q&amp;A Chart Dashboard'!$BB$502:$BB$505</c:f>
              <c:numCache>
                <c:formatCode>[$$-409]#,##0</c:formatCode>
                <c:ptCount val="4"/>
                <c:pt idx="0">
                  <c:v>998469</c:v>
                </c:pt>
                <c:pt idx="1">
                  <c:v>3071180</c:v>
                </c:pt>
                <c:pt idx="2">
                  <c:v>0</c:v>
                </c:pt>
                <c:pt idx="3">
                  <c:v>6831506</c:v>
                </c:pt>
              </c:numCache>
            </c:numRef>
          </c:val>
          <c:extLst>
            <c:ext xmlns:c16="http://schemas.microsoft.com/office/drawing/2014/chart" uri="{C3380CC4-5D6E-409C-BE32-E72D297353CC}">
              <c16:uniqueId val="{00000000-69F8-4A00-834D-226E51804DB7}"/>
            </c:ext>
          </c:extLst>
        </c:ser>
        <c:dLbls>
          <c:showLegendKey val="0"/>
          <c:showVal val="0"/>
          <c:showCatName val="0"/>
          <c:showSerName val="0"/>
          <c:showPercent val="0"/>
          <c:showBubbleSize val="0"/>
        </c:dLbls>
        <c:gapWidth val="219"/>
        <c:overlap val="-27"/>
        <c:axId val="486269440"/>
        <c:axId val="35572880"/>
      </c:barChart>
      <c:catAx>
        <c:axId val="4862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572880"/>
        <c:crosses val="autoZero"/>
        <c:auto val="1"/>
        <c:lblAlgn val="ctr"/>
        <c:lblOffset val="100"/>
        <c:noMultiLvlLbl val="0"/>
      </c:catAx>
      <c:valAx>
        <c:axId val="35572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26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P14 Q4 — Avg and max days to pay by client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Dashboard'!$BB$508</c:f>
              <c:strCache>
                <c:ptCount val="1"/>
                <c:pt idx="0">
                  <c:v>Avg days to pay</c:v>
                </c:pt>
              </c:strCache>
            </c:strRef>
          </c:tx>
          <c:spPr>
            <a:solidFill>
              <a:schemeClr val="accent1"/>
            </a:solidFill>
            <a:ln>
              <a:noFill/>
            </a:ln>
            <a:effectLst/>
          </c:spPr>
          <c:invertIfNegative val="0"/>
          <c:cat>
            <c:strRef>
              <c:f>'Q&amp;A Chart Dashboard'!$BA$509:$BA$518</c:f>
              <c:strCache>
                <c:ptCount val="10"/>
                <c:pt idx="0">
                  <c:v>GPT Group</c:v>
                </c:pt>
                <c:pt idx="1">
                  <c:v>Ascendas REIT</c:v>
                </c:pt>
                <c:pt idx="2">
                  <c:v>Goodman Group</c:v>
                </c:pt>
                <c:pt idx="3">
                  <c:v>Tata Realty</c:v>
                </c:pt>
                <c:pt idx="4">
                  <c:v>Brookfield</c:v>
                </c:pt>
                <c:pt idx="5">
                  <c:v>Dexus</c:v>
                </c:pt>
                <c:pt idx="6">
                  <c:v>Stockland</c:v>
                </c:pt>
                <c:pt idx="7">
                  <c:v>Embassy Group</c:v>
                </c:pt>
                <c:pt idx="8">
                  <c:v>Mirvac</c:v>
                </c:pt>
                <c:pt idx="9">
                  <c:v>Lendlease</c:v>
                </c:pt>
              </c:strCache>
            </c:strRef>
          </c:cat>
          <c:val>
            <c:numRef>
              <c:f>'Q&amp;A Chart Dashboard'!$BB$509:$BB$518</c:f>
              <c:numCache>
                <c:formatCode>0</c:formatCode>
                <c:ptCount val="10"/>
                <c:pt idx="0">
                  <c:v>53.666666666666664</c:v>
                </c:pt>
                <c:pt idx="1">
                  <c:v>71</c:v>
                </c:pt>
                <c:pt idx="2">
                  <c:v>57</c:v>
                </c:pt>
                <c:pt idx="3">
                  <c:v>53</c:v>
                </c:pt>
                <c:pt idx="4">
                  <c:v>64.428571428571431</c:v>
                </c:pt>
                <c:pt idx="5">
                  <c:v>53</c:v>
                </c:pt>
                <c:pt idx="6">
                  <c:v>38</c:v>
                </c:pt>
                <c:pt idx="7">
                  <c:v>28</c:v>
                </c:pt>
                <c:pt idx="8">
                  <c:v>70</c:v>
                </c:pt>
                <c:pt idx="9">
                  <c:v>44</c:v>
                </c:pt>
              </c:numCache>
            </c:numRef>
          </c:val>
          <c:extLst>
            <c:ext xmlns:c16="http://schemas.microsoft.com/office/drawing/2014/chart" uri="{C3380CC4-5D6E-409C-BE32-E72D297353CC}">
              <c16:uniqueId val="{00000000-6105-4EB2-BFE2-4D01A4874339}"/>
            </c:ext>
          </c:extLst>
        </c:ser>
        <c:ser>
          <c:idx val="1"/>
          <c:order val="1"/>
          <c:tx>
            <c:strRef>
              <c:f>'Q&amp;A Chart Dashboard'!$BC$508</c:f>
              <c:strCache>
                <c:ptCount val="1"/>
                <c:pt idx="0">
                  <c:v>Max days to pay</c:v>
                </c:pt>
              </c:strCache>
            </c:strRef>
          </c:tx>
          <c:spPr>
            <a:solidFill>
              <a:schemeClr val="accent2"/>
            </a:solidFill>
            <a:ln>
              <a:noFill/>
            </a:ln>
            <a:effectLst/>
          </c:spPr>
          <c:invertIfNegative val="0"/>
          <c:cat>
            <c:strRef>
              <c:f>'Q&amp;A Chart Dashboard'!$BA$509:$BA$518</c:f>
              <c:strCache>
                <c:ptCount val="10"/>
                <c:pt idx="0">
                  <c:v>GPT Group</c:v>
                </c:pt>
                <c:pt idx="1">
                  <c:v>Ascendas REIT</c:v>
                </c:pt>
                <c:pt idx="2">
                  <c:v>Goodman Group</c:v>
                </c:pt>
                <c:pt idx="3">
                  <c:v>Tata Realty</c:v>
                </c:pt>
                <c:pt idx="4">
                  <c:v>Brookfield</c:v>
                </c:pt>
                <c:pt idx="5">
                  <c:v>Dexus</c:v>
                </c:pt>
                <c:pt idx="6">
                  <c:v>Stockland</c:v>
                </c:pt>
                <c:pt idx="7">
                  <c:v>Embassy Group</c:v>
                </c:pt>
                <c:pt idx="8">
                  <c:v>Mirvac</c:v>
                </c:pt>
                <c:pt idx="9">
                  <c:v>Lendlease</c:v>
                </c:pt>
              </c:strCache>
            </c:strRef>
          </c:cat>
          <c:val>
            <c:numRef>
              <c:f>'Q&amp;A Chart Dashboard'!$BC$509:$BC$518</c:f>
              <c:numCache>
                <c:formatCode>0</c:formatCode>
                <c:ptCount val="10"/>
                <c:pt idx="0">
                  <c:v>67</c:v>
                </c:pt>
                <c:pt idx="1">
                  <c:v>88</c:v>
                </c:pt>
                <c:pt idx="2">
                  <c:v>76</c:v>
                </c:pt>
                <c:pt idx="3">
                  <c:v>69</c:v>
                </c:pt>
                <c:pt idx="4">
                  <c:v>89</c:v>
                </c:pt>
                <c:pt idx="5">
                  <c:v>58</c:v>
                </c:pt>
                <c:pt idx="6">
                  <c:v>47</c:v>
                </c:pt>
                <c:pt idx="7">
                  <c:v>28</c:v>
                </c:pt>
                <c:pt idx="8">
                  <c:v>84</c:v>
                </c:pt>
                <c:pt idx="9">
                  <c:v>44</c:v>
                </c:pt>
              </c:numCache>
            </c:numRef>
          </c:val>
          <c:extLst>
            <c:ext xmlns:c16="http://schemas.microsoft.com/office/drawing/2014/chart" uri="{C3380CC4-5D6E-409C-BE32-E72D297353CC}">
              <c16:uniqueId val="{00000001-6105-4EB2-BFE2-4D01A4874339}"/>
            </c:ext>
          </c:extLst>
        </c:ser>
        <c:dLbls>
          <c:showLegendKey val="0"/>
          <c:showVal val="0"/>
          <c:showCatName val="0"/>
          <c:showSerName val="0"/>
          <c:showPercent val="0"/>
          <c:showBubbleSize val="0"/>
        </c:dLbls>
        <c:gapWidth val="219"/>
        <c:overlap val="-27"/>
        <c:axId val="486313520"/>
        <c:axId val="35618000"/>
      </c:barChart>
      <c:catAx>
        <c:axId val="48631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5618000"/>
        <c:crosses val="autoZero"/>
        <c:auto val="1"/>
        <c:lblAlgn val="ctr"/>
        <c:lblOffset val="100"/>
        <c:noMultiLvlLbl val="0"/>
      </c:catAx>
      <c:valAx>
        <c:axId val="35618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13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P14 Q5 — Collection rate by project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Dashboard'!$BB$521</c:f>
              <c:strCache>
                <c:ptCount val="1"/>
                <c:pt idx="0">
                  <c:v>Collection rate</c:v>
                </c:pt>
              </c:strCache>
            </c:strRef>
          </c:tx>
          <c:spPr>
            <a:solidFill>
              <a:schemeClr val="accent1"/>
            </a:solidFill>
            <a:ln>
              <a:noFill/>
            </a:ln>
            <a:effectLst/>
          </c:spPr>
          <c:invertIfNegative val="0"/>
          <c:cat>
            <c:strRef>
              <c:f>'Q&amp;A Chart Dashboard'!$BA$522:$BA$526</c:f>
              <c:strCache>
                <c:ptCount val="5"/>
                <c:pt idx="0">
                  <c:v>WT-DC-MUM-01</c:v>
                </c:pt>
                <c:pt idx="1">
                  <c:v>WT-OFF-SYD-02</c:v>
                </c:pt>
                <c:pt idx="2">
                  <c:v>WT-HOS-AKL-03</c:v>
                </c:pt>
                <c:pt idx="3">
                  <c:v>WT-ITP-BLR-04</c:v>
                </c:pt>
                <c:pt idx="4">
                  <c:v>WT-RES-MEL-05</c:v>
                </c:pt>
              </c:strCache>
            </c:strRef>
          </c:cat>
          <c:val>
            <c:numRef>
              <c:f>'Q&amp;A Chart Dashboard'!$BB$522:$BB$526</c:f>
              <c:numCache>
                <c:formatCode>0.0%</c:formatCode>
                <c:ptCount val="5"/>
                <c:pt idx="0">
                  <c:v>0.58447554547103464</c:v>
                </c:pt>
                <c:pt idx="1">
                  <c:v>0.80679119734313376</c:v>
                </c:pt>
                <c:pt idx="2">
                  <c:v>0.69397819742576694</c:v>
                </c:pt>
                <c:pt idx="3">
                  <c:v>0.92458517539849328</c:v>
                </c:pt>
                <c:pt idx="4">
                  <c:v>0.71872266873675383</c:v>
                </c:pt>
              </c:numCache>
            </c:numRef>
          </c:val>
          <c:extLst>
            <c:ext xmlns:c16="http://schemas.microsoft.com/office/drawing/2014/chart" uri="{C3380CC4-5D6E-409C-BE32-E72D297353CC}">
              <c16:uniqueId val="{00000000-B116-40A1-867E-8263399EE142}"/>
            </c:ext>
          </c:extLst>
        </c:ser>
        <c:dLbls>
          <c:showLegendKey val="0"/>
          <c:showVal val="0"/>
          <c:showCatName val="0"/>
          <c:showSerName val="0"/>
          <c:showPercent val="0"/>
          <c:showBubbleSize val="0"/>
        </c:dLbls>
        <c:gapWidth val="219"/>
        <c:overlap val="-27"/>
        <c:axId val="486384976"/>
        <c:axId val="553054128"/>
      </c:barChart>
      <c:catAx>
        <c:axId val="48638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3054128"/>
        <c:crosses val="autoZero"/>
        <c:auto val="1"/>
        <c:lblAlgn val="ctr"/>
        <c:lblOffset val="100"/>
        <c:noMultiLvlLbl val="0"/>
      </c:catAx>
      <c:valAx>
        <c:axId val="5530541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8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P14 Q6 — Interest receivable at 1.5%/month by client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'Q&amp;A Chart Dashboard'!$BB$529</c:f>
              <c:strCache>
                <c:ptCount val="1"/>
                <c:pt idx="0">
                  <c:v>Interest receivable USD</c:v>
                </c:pt>
              </c:strCache>
            </c:strRef>
          </c:tx>
          <c:spPr>
            <a:solidFill>
              <a:schemeClr val="accent1"/>
            </a:solidFill>
            <a:ln>
              <a:noFill/>
            </a:ln>
            <a:effectLst/>
          </c:spPr>
          <c:invertIfNegative val="0"/>
          <c:cat>
            <c:strRef>
              <c:f>'Q&amp;A Chart Dashboard'!$BA$530:$BA$539</c:f>
              <c:strCache>
                <c:ptCount val="10"/>
                <c:pt idx="0">
                  <c:v>GPT Group</c:v>
                </c:pt>
                <c:pt idx="1">
                  <c:v>Ascendas REIT</c:v>
                </c:pt>
                <c:pt idx="2">
                  <c:v>Goodman Group</c:v>
                </c:pt>
                <c:pt idx="3">
                  <c:v>Tata Realty</c:v>
                </c:pt>
                <c:pt idx="4">
                  <c:v>Brookfield</c:v>
                </c:pt>
                <c:pt idx="5">
                  <c:v>Dexus</c:v>
                </c:pt>
                <c:pt idx="6">
                  <c:v>Stockland</c:v>
                </c:pt>
                <c:pt idx="7">
                  <c:v>Embassy Group</c:v>
                </c:pt>
                <c:pt idx="8">
                  <c:v>Mirvac</c:v>
                </c:pt>
                <c:pt idx="9">
                  <c:v>Lendlease</c:v>
                </c:pt>
              </c:strCache>
            </c:strRef>
          </c:cat>
          <c:val>
            <c:numRef>
              <c:f>'Q&amp;A Chart Dashboard'!$BB$530:$BB$539</c:f>
              <c:numCache>
                <c:formatCode>[$$-409]#,##0</c:formatCode>
                <c:ptCount val="10"/>
                <c:pt idx="0">
                  <c:v>54399.974999999991</c:v>
                </c:pt>
                <c:pt idx="1">
                  <c:v>29900.297500000001</c:v>
                </c:pt>
                <c:pt idx="2">
                  <c:v>25506.75</c:v>
                </c:pt>
                <c:pt idx="3">
                  <c:v>270697.55249999999</c:v>
                </c:pt>
                <c:pt idx="4">
                  <c:v>378457.24599999998</c:v>
                </c:pt>
                <c:pt idx="5">
                  <c:v>13383.5085</c:v>
                </c:pt>
                <c:pt idx="6">
                  <c:v>0</c:v>
                </c:pt>
                <c:pt idx="7">
                  <c:v>0</c:v>
                </c:pt>
                <c:pt idx="8">
                  <c:v>7842.3280000000004</c:v>
                </c:pt>
                <c:pt idx="9">
                  <c:v>17527.017</c:v>
                </c:pt>
              </c:numCache>
            </c:numRef>
          </c:val>
          <c:extLst>
            <c:ext xmlns:c16="http://schemas.microsoft.com/office/drawing/2014/chart" uri="{C3380CC4-5D6E-409C-BE32-E72D297353CC}">
              <c16:uniqueId val="{00000000-C8CD-464B-9379-54E149C73312}"/>
            </c:ext>
          </c:extLst>
        </c:ser>
        <c:dLbls>
          <c:showLegendKey val="0"/>
          <c:showVal val="0"/>
          <c:showCatName val="0"/>
          <c:showSerName val="0"/>
          <c:showPercent val="0"/>
          <c:showBubbleSize val="0"/>
        </c:dLbls>
        <c:gapWidth val="182"/>
        <c:axId val="486447152"/>
        <c:axId val="553045488"/>
      </c:barChart>
      <c:catAx>
        <c:axId val="48644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3045488"/>
        <c:crosses val="autoZero"/>
        <c:auto val="1"/>
        <c:lblAlgn val="ctr"/>
        <c:lblOffset val="100"/>
        <c:noMultiLvlLbl val="0"/>
      </c:catAx>
      <c:valAx>
        <c:axId val="553045488"/>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P15 Q1 — Portfolio status mix (25 projects)</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pieChart>
        <c:varyColors val="1"/>
        <c:ser>
          <c:idx val="0"/>
          <c:order val="0"/>
          <c:tx>
            <c:strRef>
              <c:f>'Analysis report'!$B$918</c:f>
              <c:strCache>
                <c:ptCount val="1"/>
                <c:pt idx="0">
                  <c:v>Projects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DB-41FB-A391-8DC47BC95E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DB-41FB-A391-8DC47BC95E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DB-41FB-A391-8DC47BC95E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DB-41FB-A391-8DC47BC95E7B}"/>
              </c:ext>
            </c:extLst>
          </c:dPt>
          <c:cat>
            <c:strRef>
              <c:f>'Analysis report'!$A$919:$A$922</c:f>
              <c:strCache>
                <c:ptCount val="4"/>
                <c:pt idx="0">
                  <c:v>In Progress</c:v>
                </c:pt>
                <c:pt idx="1">
                  <c:v>On Hold</c:v>
                </c:pt>
                <c:pt idx="2">
                  <c:v>Completed</c:v>
                </c:pt>
                <c:pt idx="3">
                  <c:v>Planning</c:v>
                </c:pt>
              </c:strCache>
            </c:strRef>
          </c:cat>
          <c:val>
            <c:numRef>
              <c:f>'Analysis report'!$B$919:$B$922</c:f>
              <c:numCache>
                <c:formatCode>General</c:formatCode>
                <c:ptCount val="4"/>
                <c:pt idx="0">
                  <c:v>4</c:v>
                </c:pt>
                <c:pt idx="1">
                  <c:v>8</c:v>
                </c:pt>
                <c:pt idx="2">
                  <c:v>8</c:v>
                </c:pt>
                <c:pt idx="3">
                  <c:v>5</c:v>
                </c:pt>
              </c:numCache>
            </c:numRef>
          </c:val>
          <c:extLst>
            <c:ext xmlns:c16="http://schemas.microsoft.com/office/drawing/2014/chart" uri="{C3380CC4-5D6E-409C-BE32-E72D297353CC}">
              <c16:uniqueId val="{00000000-5BBC-4CA2-ACDF-F3D5C7ECC66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P15 Q2 — Portfolio budget, spend and remaining (USD)</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Dashboard'!$BB$542</c:f>
              <c:strCache>
                <c:ptCount val="1"/>
                <c:pt idx="0">
                  <c:v>Amount USD</c:v>
                </c:pt>
              </c:strCache>
            </c:strRef>
          </c:tx>
          <c:spPr>
            <a:solidFill>
              <a:schemeClr val="accent1"/>
            </a:solidFill>
            <a:ln>
              <a:noFill/>
            </a:ln>
            <a:effectLst/>
          </c:spPr>
          <c:invertIfNegative val="0"/>
          <c:cat>
            <c:strRef>
              <c:f>'Q&amp;A Chart Dashboard'!$BA$543:$BA$545</c:f>
              <c:strCache>
                <c:ptCount val="3"/>
                <c:pt idx="0">
                  <c:v>Total budget</c:v>
                </c:pt>
                <c:pt idx="1">
                  <c:v>Spent to date</c:v>
                </c:pt>
                <c:pt idx="2">
                  <c:v>Budget remaining</c:v>
                </c:pt>
              </c:strCache>
            </c:strRef>
          </c:cat>
          <c:val>
            <c:numRef>
              <c:f>'Q&amp;A Chart Dashboard'!$BB$543:$BB$545</c:f>
              <c:numCache>
                <c:formatCode>[$$-409]#,##0</c:formatCode>
                <c:ptCount val="3"/>
                <c:pt idx="0">
                  <c:v>1425725823</c:v>
                </c:pt>
                <c:pt idx="1">
                  <c:v>690772336</c:v>
                </c:pt>
                <c:pt idx="2">
                  <c:v>734953487</c:v>
                </c:pt>
              </c:numCache>
            </c:numRef>
          </c:val>
          <c:extLst>
            <c:ext xmlns:c16="http://schemas.microsoft.com/office/drawing/2014/chart" uri="{C3380CC4-5D6E-409C-BE32-E72D297353CC}">
              <c16:uniqueId val="{00000000-7C1B-43D3-B841-2F8B42F78EC4}"/>
            </c:ext>
          </c:extLst>
        </c:ser>
        <c:dLbls>
          <c:showLegendKey val="0"/>
          <c:showVal val="0"/>
          <c:showCatName val="0"/>
          <c:showSerName val="0"/>
          <c:showPercent val="0"/>
          <c:showBubbleSize val="0"/>
        </c:dLbls>
        <c:gapWidth val="219"/>
        <c:overlap val="-27"/>
        <c:axId val="486339504"/>
        <c:axId val="553068048"/>
      </c:barChart>
      <c:catAx>
        <c:axId val="48633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3068048"/>
        <c:crosses val="autoZero"/>
        <c:auto val="1"/>
        <c:lblAlgn val="ctr"/>
        <c:lblOffset val="100"/>
        <c:noMultiLvlLbl val="0"/>
      </c:catAx>
      <c:valAx>
        <c:axId val="553068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a:t>USD millions</a:t>
                </a:r>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409]#,##0.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3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P15 Q3 — Red-zone projects — SPI and CPI</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Dashboard'!$BB$548</c:f>
              <c:strCache>
                <c:ptCount val="1"/>
                <c:pt idx="0">
                  <c:v>SPI</c:v>
                </c:pt>
              </c:strCache>
            </c:strRef>
          </c:tx>
          <c:spPr>
            <a:solidFill>
              <a:schemeClr val="accent1"/>
            </a:solidFill>
            <a:ln>
              <a:noFill/>
            </a:ln>
            <a:effectLst/>
          </c:spPr>
          <c:invertIfNegative val="0"/>
          <c:cat>
            <c:strRef>
              <c:f>'Q&amp;A Chart Dashboard'!$BA$549:$BA$551</c:f>
              <c:strCache>
                <c:ptCount val="3"/>
                <c:pt idx="0">
                  <c:v>IT Park Sydney</c:v>
                </c:pt>
                <c:pt idx="1">
                  <c:v>Shopping Mall Canberra</c:v>
                </c:pt>
                <c:pt idx="2">
                  <c:v>Hospital Bangalore</c:v>
                </c:pt>
              </c:strCache>
            </c:strRef>
          </c:cat>
          <c:val>
            <c:numRef>
              <c:f>'Q&amp;A Chart Dashboard'!$BB$549:$BB$551</c:f>
              <c:numCache>
                <c:formatCode>0.00</c:formatCode>
                <c:ptCount val="3"/>
                <c:pt idx="0">
                  <c:v>0.78</c:v>
                </c:pt>
                <c:pt idx="1">
                  <c:v>0.88</c:v>
                </c:pt>
                <c:pt idx="2">
                  <c:v>0.78</c:v>
                </c:pt>
              </c:numCache>
            </c:numRef>
          </c:val>
          <c:extLst>
            <c:ext xmlns:c16="http://schemas.microsoft.com/office/drawing/2014/chart" uri="{C3380CC4-5D6E-409C-BE32-E72D297353CC}">
              <c16:uniqueId val="{00000000-50F1-4F5D-8DE7-4A2D510D4ABC}"/>
            </c:ext>
          </c:extLst>
        </c:ser>
        <c:ser>
          <c:idx val="1"/>
          <c:order val="1"/>
          <c:tx>
            <c:strRef>
              <c:f>'Q&amp;A Chart Dashboard'!$BC$548</c:f>
              <c:strCache>
                <c:ptCount val="1"/>
                <c:pt idx="0">
                  <c:v>CPI</c:v>
                </c:pt>
              </c:strCache>
            </c:strRef>
          </c:tx>
          <c:spPr>
            <a:solidFill>
              <a:schemeClr val="accent2"/>
            </a:solidFill>
            <a:ln>
              <a:noFill/>
            </a:ln>
            <a:effectLst/>
          </c:spPr>
          <c:invertIfNegative val="0"/>
          <c:cat>
            <c:strRef>
              <c:f>'Q&amp;A Chart Dashboard'!$BA$549:$BA$551</c:f>
              <c:strCache>
                <c:ptCount val="3"/>
                <c:pt idx="0">
                  <c:v>IT Park Sydney</c:v>
                </c:pt>
                <c:pt idx="1">
                  <c:v>Shopping Mall Canberra</c:v>
                </c:pt>
                <c:pt idx="2">
                  <c:v>Hospital Bangalore</c:v>
                </c:pt>
              </c:strCache>
            </c:strRef>
          </c:cat>
          <c:val>
            <c:numRef>
              <c:f>'Q&amp;A Chart Dashboard'!$BC$549:$BC$551</c:f>
              <c:numCache>
                <c:formatCode>0.00</c:formatCode>
                <c:ptCount val="3"/>
                <c:pt idx="0">
                  <c:v>0.86</c:v>
                </c:pt>
                <c:pt idx="1">
                  <c:v>0.83</c:v>
                </c:pt>
                <c:pt idx="2">
                  <c:v>0.89</c:v>
                </c:pt>
              </c:numCache>
            </c:numRef>
          </c:val>
          <c:extLst>
            <c:ext xmlns:c16="http://schemas.microsoft.com/office/drawing/2014/chart" uri="{C3380CC4-5D6E-409C-BE32-E72D297353CC}">
              <c16:uniqueId val="{00000001-50F1-4F5D-8DE7-4A2D510D4ABC}"/>
            </c:ext>
          </c:extLst>
        </c:ser>
        <c:dLbls>
          <c:showLegendKey val="0"/>
          <c:showVal val="0"/>
          <c:showCatName val="0"/>
          <c:showSerName val="0"/>
          <c:showPercent val="0"/>
          <c:showBubbleSize val="0"/>
        </c:dLbls>
        <c:gapWidth val="219"/>
        <c:overlap val="-27"/>
        <c:axId val="486430912"/>
        <c:axId val="553063728"/>
      </c:barChart>
      <c:catAx>
        <c:axId val="48643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3063728"/>
        <c:crosses val="autoZero"/>
        <c:auto val="1"/>
        <c:lblAlgn val="ctr"/>
        <c:lblOffset val="100"/>
        <c:noMultiLvlLbl val="0"/>
      </c:catAx>
      <c:valAx>
        <c:axId val="553063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3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P15 Q4 — SPI vs CPI, bubble size = budget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ubbleChart>
        <c:varyColors val="0"/>
        <c:ser>
          <c:idx val="0"/>
          <c:order val="0"/>
          <c:tx>
            <c:strRef>
              <c:f>'Analysis report'!$B$945</c:f>
              <c:strCache>
                <c:ptCount val="1"/>
                <c:pt idx="0">
                  <c:v>CPI</c:v>
                </c:pt>
              </c:strCache>
            </c:strRef>
          </c:tx>
          <c:spPr>
            <a:solidFill>
              <a:schemeClr val="accent1">
                <a:alpha val="75000"/>
              </a:schemeClr>
            </a:solidFill>
            <a:ln>
              <a:noFill/>
            </a:ln>
            <a:effectLst/>
          </c:spPr>
          <c:invertIfNegative val="0"/>
          <c:xVal>
            <c:numRef>
              <c:f>'Analysis report'!$A$946:$A$970</c:f>
              <c:numCache>
                <c:formatCode>0.00</c:formatCode>
                <c:ptCount val="25"/>
                <c:pt idx="0">
                  <c:v>0.91</c:v>
                </c:pt>
                <c:pt idx="1">
                  <c:v>1</c:v>
                </c:pt>
                <c:pt idx="2">
                  <c:v>1.06</c:v>
                </c:pt>
                <c:pt idx="3">
                  <c:v>0.9</c:v>
                </c:pt>
                <c:pt idx="4">
                  <c:v>0.81</c:v>
                </c:pt>
                <c:pt idx="5">
                  <c:v>0.78</c:v>
                </c:pt>
                <c:pt idx="6">
                  <c:v>1.1599999999999999</c:v>
                </c:pt>
                <c:pt idx="7">
                  <c:v>1.1100000000000001</c:v>
                </c:pt>
                <c:pt idx="8">
                  <c:v>1.1599999999999999</c:v>
                </c:pt>
                <c:pt idx="9">
                  <c:v>1.02</c:v>
                </c:pt>
                <c:pt idx="10">
                  <c:v>0.86</c:v>
                </c:pt>
                <c:pt idx="11">
                  <c:v>0.75</c:v>
                </c:pt>
                <c:pt idx="12">
                  <c:v>0.72</c:v>
                </c:pt>
                <c:pt idx="13">
                  <c:v>0.77</c:v>
                </c:pt>
                <c:pt idx="14">
                  <c:v>0.96</c:v>
                </c:pt>
                <c:pt idx="15">
                  <c:v>0.88</c:v>
                </c:pt>
                <c:pt idx="16">
                  <c:v>1.1000000000000001</c:v>
                </c:pt>
                <c:pt idx="17">
                  <c:v>1.06</c:v>
                </c:pt>
                <c:pt idx="18">
                  <c:v>1.1000000000000001</c:v>
                </c:pt>
                <c:pt idx="19">
                  <c:v>0.96</c:v>
                </c:pt>
                <c:pt idx="20">
                  <c:v>0.96</c:v>
                </c:pt>
                <c:pt idx="21">
                  <c:v>0.7</c:v>
                </c:pt>
                <c:pt idx="22">
                  <c:v>1.19</c:v>
                </c:pt>
                <c:pt idx="23">
                  <c:v>0.93</c:v>
                </c:pt>
                <c:pt idx="24">
                  <c:v>0.78</c:v>
                </c:pt>
              </c:numCache>
            </c:numRef>
          </c:xVal>
          <c:yVal>
            <c:numRef>
              <c:f>'Analysis report'!$B$946:$B$970</c:f>
              <c:numCache>
                <c:formatCode>0.00</c:formatCode>
                <c:ptCount val="25"/>
                <c:pt idx="0">
                  <c:v>0.79</c:v>
                </c:pt>
                <c:pt idx="1">
                  <c:v>1.1200000000000001</c:v>
                </c:pt>
                <c:pt idx="2">
                  <c:v>0.99</c:v>
                </c:pt>
                <c:pt idx="3">
                  <c:v>1.04</c:v>
                </c:pt>
                <c:pt idx="4">
                  <c:v>1.0900000000000001</c:v>
                </c:pt>
                <c:pt idx="5">
                  <c:v>0.86</c:v>
                </c:pt>
                <c:pt idx="6">
                  <c:v>1.04</c:v>
                </c:pt>
                <c:pt idx="7">
                  <c:v>0.79</c:v>
                </c:pt>
                <c:pt idx="8">
                  <c:v>0.88</c:v>
                </c:pt>
                <c:pt idx="9">
                  <c:v>1</c:v>
                </c:pt>
                <c:pt idx="10">
                  <c:v>1.03</c:v>
                </c:pt>
                <c:pt idx="11">
                  <c:v>0.92</c:v>
                </c:pt>
                <c:pt idx="12">
                  <c:v>0.91</c:v>
                </c:pt>
                <c:pt idx="13">
                  <c:v>0.97</c:v>
                </c:pt>
                <c:pt idx="14">
                  <c:v>0.85</c:v>
                </c:pt>
                <c:pt idx="15">
                  <c:v>0.83</c:v>
                </c:pt>
                <c:pt idx="16">
                  <c:v>1</c:v>
                </c:pt>
                <c:pt idx="17">
                  <c:v>0.78</c:v>
                </c:pt>
                <c:pt idx="18">
                  <c:v>0.87</c:v>
                </c:pt>
                <c:pt idx="19">
                  <c:v>0.85</c:v>
                </c:pt>
                <c:pt idx="20">
                  <c:v>0.85</c:v>
                </c:pt>
                <c:pt idx="21">
                  <c:v>0.91</c:v>
                </c:pt>
                <c:pt idx="22">
                  <c:v>0.95</c:v>
                </c:pt>
                <c:pt idx="23">
                  <c:v>1.1200000000000001</c:v>
                </c:pt>
                <c:pt idx="24">
                  <c:v>0.89</c:v>
                </c:pt>
              </c:numCache>
            </c:numRef>
          </c:yVal>
          <c:bubbleSize>
            <c:numRef>
              <c:f>'Analysis report'!$C$946:$C$970</c:f>
              <c:numCache>
                <c:formatCode>[$$-409]#,##0</c:formatCode>
                <c:ptCount val="25"/>
                <c:pt idx="0">
                  <c:v>95528859</c:v>
                </c:pt>
                <c:pt idx="1">
                  <c:v>93252435</c:v>
                </c:pt>
                <c:pt idx="2">
                  <c:v>60343779</c:v>
                </c:pt>
                <c:pt idx="3">
                  <c:v>53319528</c:v>
                </c:pt>
                <c:pt idx="4">
                  <c:v>45512501</c:v>
                </c:pt>
                <c:pt idx="5">
                  <c:v>17655004</c:v>
                </c:pt>
                <c:pt idx="6">
                  <c:v>17335296</c:v>
                </c:pt>
                <c:pt idx="7">
                  <c:v>97555887</c:v>
                </c:pt>
                <c:pt idx="8">
                  <c:v>15533057</c:v>
                </c:pt>
                <c:pt idx="9">
                  <c:v>92614538</c:v>
                </c:pt>
                <c:pt idx="10">
                  <c:v>47857940</c:v>
                </c:pt>
                <c:pt idx="11">
                  <c:v>84877290</c:v>
                </c:pt>
                <c:pt idx="12">
                  <c:v>16079017</c:v>
                </c:pt>
                <c:pt idx="13">
                  <c:v>98666595</c:v>
                </c:pt>
                <c:pt idx="14">
                  <c:v>80318641</c:v>
                </c:pt>
                <c:pt idx="15">
                  <c:v>20103503</c:v>
                </c:pt>
                <c:pt idx="16">
                  <c:v>51938140</c:v>
                </c:pt>
                <c:pt idx="17">
                  <c:v>96987358</c:v>
                </c:pt>
                <c:pt idx="18">
                  <c:v>43612439</c:v>
                </c:pt>
                <c:pt idx="19">
                  <c:v>77209870</c:v>
                </c:pt>
                <c:pt idx="20">
                  <c:v>83249598</c:v>
                </c:pt>
                <c:pt idx="21">
                  <c:v>12124981</c:v>
                </c:pt>
                <c:pt idx="22">
                  <c:v>44258091</c:v>
                </c:pt>
                <c:pt idx="23">
                  <c:v>30020518</c:v>
                </c:pt>
                <c:pt idx="24">
                  <c:v>49770958</c:v>
                </c:pt>
              </c:numCache>
            </c:numRef>
          </c:bubbleSize>
          <c:bubble3D val="0"/>
          <c:extLst>
            <c:ext xmlns:c16="http://schemas.microsoft.com/office/drawing/2014/chart" uri="{C3380CC4-5D6E-409C-BE32-E72D297353CC}">
              <c16:uniqueId val="{00000000-0BF7-485B-B6D6-6270944897F7}"/>
            </c:ext>
          </c:extLst>
        </c:ser>
        <c:dLbls>
          <c:showLegendKey val="0"/>
          <c:showVal val="0"/>
          <c:showCatName val="0"/>
          <c:showSerName val="0"/>
          <c:showPercent val="0"/>
          <c:showBubbleSize val="0"/>
        </c:dLbls>
        <c:bubbleScale val="100"/>
        <c:showNegBubbles val="0"/>
        <c:axId val="486407712"/>
        <c:axId val="553080048"/>
      </c:bubbleChart>
      <c:valAx>
        <c:axId val="486407712"/>
        <c:scaling>
          <c:orientation val="minMax"/>
          <c:max val="1.25"/>
          <c:min val="0.6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SPI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3080048"/>
        <c:crosses val="autoZero"/>
        <c:crossBetween val="midCat"/>
      </c:valAx>
      <c:valAx>
        <c:axId val="553080048"/>
        <c:scaling>
          <c:orientation val="minMax"/>
          <c:max val="1.2"/>
          <c:min val="0.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CPI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4077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P15 Q5 — Avg completion % by country</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Dashboard'!$BB$554</c:f>
              <c:strCache>
                <c:ptCount val="1"/>
                <c:pt idx="0">
                  <c:v>Avg completion %</c:v>
                </c:pt>
              </c:strCache>
            </c:strRef>
          </c:tx>
          <c:spPr>
            <a:solidFill>
              <a:schemeClr val="accent1"/>
            </a:solidFill>
            <a:ln>
              <a:noFill/>
            </a:ln>
            <a:effectLst/>
          </c:spPr>
          <c:invertIfNegative val="0"/>
          <c:cat>
            <c:strRef>
              <c:f>'Q&amp;A Chart Dashboard'!$BA$555:$BA$558</c:f>
              <c:strCache>
                <c:ptCount val="4"/>
                <c:pt idx="0">
                  <c:v>India</c:v>
                </c:pt>
                <c:pt idx="1">
                  <c:v>Australia</c:v>
                </c:pt>
                <c:pt idx="2">
                  <c:v>New Zealand</c:v>
                </c:pt>
                <c:pt idx="3">
                  <c:v>PORTFOLIO</c:v>
                </c:pt>
              </c:strCache>
            </c:strRef>
          </c:cat>
          <c:val>
            <c:numRef>
              <c:f>'Q&amp;A Chart Dashboard'!$BB$555:$BB$558</c:f>
              <c:numCache>
                <c:formatCode>0.0%</c:formatCode>
                <c:ptCount val="4"/>
                <c:pt idx="0">
                  <c:v>0.41333333333333333</c:v>
                </c:pt>
                <c:pt idx="1">
                  <c:v>0.627</c:v>
                </c:pt>
                <c:pt idx="2">
                  <c:v>0.40333333333333338</c:v>
                </c:pt>
                <c:pt idx="3">
                  <c:v>0.49759999999999999</c:v>
                </c:pt>
              </c:numCache>
            </c:numRef>
          </c:val>
          <c:extLst>
            <c:ext xmlns:c16="http://schemas.microsoft.com/office/drawing/2014/chart" uri="{C3380CC4-5D6E-409C-BE32-E72D297353CC}">
              <c16:uniqueId val="{00000000-E3A0-4A27-A392-31B84BD3681E}"/>
            </c:ext>
          </c:extLst>
        </c:ser>
        <c:dLbls>
          <c:showLegendKey val="0"/>
          <c:showVal val="0"/>
          <c:showCatName val="0"/>
          <c:showSerName val="0"/>
          <c:showPercent val="0"/>
          <c:showBubbleSize val="0"/>
        </c:dLbls>
        <c:gapWidth val="219"/>
        <c:overlap val="-27"/>
        <c:axId val="486374304"/>
        <c:axId val="553084848"/>
      </c:barChart>
      <c:catAx>
        <c:axId val="48637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3084848"/>
        <c:crosses val="autoZero"/>
        <c:auto val="1"/>
        <c:lblAlgn val="ctr"/>
        <c:lblOffset val="100"/>
        <c:noMultiLvlLbl val="0"/>
      </c:catAx>
      <c:valAx>
        <c:axId val="553084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637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P15 Q6 — Traffic-light summary — green / red / amber</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doughnutChart>
        <c:varyColors val="1"/>
        <c:ser>
          <c:idx val="0"/>
          <c:order val="0"/>
          <c:tx>
            <c:strRef>
              <c:f>'Q&amp;A Chart Dashboard'!$BB$561</c:f>
              <c:strCache>
                <c:ptCount val="1"/>
                <c:pt idx="0">
                  <c:v>Projects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02-476E-B773-32493C5209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02-476E-B773-32493C5209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02-476E-B773-32493C5209E1}"/>
              </c:ext>
            </c:extLst>
          </c:dPt>
          <c:cat>
            <c:strRef>
              <c:f>'Q&amp;A Chart Dashboard'!$BA$562:$BA$564</c:f>
              <c:strCache>
                <c:ptCount val="3"/>
                <c:pt idx="0">
                  <c:v>GREEN</c:v>
                </c:pt>
                <c:pt idx="1">
                  <c:v>RED</c:v>
                </c:pt>
                <c:pt idx="2">
                  <c:v>AMBER</c:v>
                </c:pt>
              </c:strCache>
            </c:strRef>
          </c:cat>
          <c:val>
            <c:numRef>
              <c:f>'Q&amp;A Chart Dashboard'!$BB$562:$BB$564</c:f>
              <c:numCache>
                <c:formatCode>0</c:formatCode>
                <c:ptCount val="3"/>
                <c:pt idx="0">
                  <c:v>4</c:v>
                </c:pt>
                <c:pt idx="1">
                  <c:v>3</c:v>
                </c:pt>
                <c:pt idx="2">
                  <c:v>18</c:v>
                </c:pt>
              </c:numCache>
            </c:numRef>
          </c:val>
          <c:extLst>
            <c:ext xmlns:c16="http://schemas.microsoft.com/office/drawing/2014/chart" uri="{C3380CC4-5D6E-409C-BE32-E72D297353CC}">
              <c16:uniqueId val="{00000000-89DD-471C-8833-1B4DFE1406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P15 Q7 — Portfolio quadrant mix — where the 25 projects sit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Dashboard'!$BB$567</c:f>
              <c:strCache>
                <c:ptCount val="1"/>
                <c:pt idx="0">
                  <c:v>Projects</c:v>
                </c:pt>
              </c:strCache>
            </c:strRef>
          </c:tx>
          <c:spPr>
            <a:solidFill>
              <a:schemeClr val="accent1"/>
            </a:solidFill>
            <a:ln>
              <a:noFill/>
            </a:ln>
            <a:effectLst/>
          </c:spPr>
          <c:invertIfNegative val="0"/>
          <c:cat>
            <c:strRef>
              <c:f>'Q&amp;A Chart Dashboard'!$BA$568:$BA$571</c:f>
              <c:strCache>
                <c:ptCount val="4"/>
                <c:pt idx="0">
                  <c:v>Star</c:v>
                </c:pt>
                <c:pt idx="1">
                  <c:v>On time, over cost</c:v>
                </c:pt>
                <c:pt idx="2">
                  <c:v>Late, on cost</c:v>
                </c:pt>
                <c:pt idx="3">
                  <c:v>Late and over cost</c:v>
                </c:pt>
              </c:strCache>
            </c:strRef>
          </c:cat>
          <c:val>
            <c:numRef>
              <c:f>'Q&amp;A Chart Dashboard'!$BB$568:$BB$571</c:f>
              <c:numCache>
                <c:formatCode>0</c:formatCode>
                <c:ptCount val="4"/>
                <c:pt idx="0">
                  <c:v>4</c:v>
                </c:pt>
                <c:pt idx="1">
                  <c:v>6</c:v>
                </c:pt>
                <c:pt idx="2">
                  <c:v>4</c:v>
                </c:pt>
                <c:pt idx="3">
                  <c:v>11</c:v>
                </c:pt>
              </c:numCache>
            </c:numRef>
          </c:val>
          <c:extLst>
            <c:ext xmlns:c16="http://schemas.microsoft.com/office/drawing/2014/chart" uri="{C3380CC4-5D6E-409C-BE32-E72D297353CC}">
              <c16:uniqueId val="{00000000-759D-4F66-BDB7-59652911756D}"/>
            </c:ext>
          </c:extLst>
        </c:ser>
        <c:dLbls>
          <c:showLegendKey val="0"/>
          <c:showVal val="0"/>
          <c:showCatName val="0"/>
          <c:showSerName val="0"/>
          <c:showPercent val="0"/>
          <c:showBubbleSize val="0"/>
        </c:dLbls>
        <c:gapWidth val="219"/>
        <c:overlap val="-27"/>
        <c:axId val="480593840"/>
        <c:axId val="553093968"/>
      </c:barChart>
      <c:catAx>
        <c:axId val="48059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3093968"/>
        <c:crosses val="autoZero"/>
        <c:auto val="1"/>
        <c:lblAlgn val="ctr"/>
        <c:lblOffset val="100"/>
        <c:noMultiLvlLbl val="0"/>
      </c:catAx>
      <c:valAx>
        <c:axId val="553093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059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r>
              <a:rPr lang="en-US"/>
              <a:t>P06 Q1 — Delay cause Pareto — occurrences and cumulative %</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'Q&amp;A Chart Dashboard'!$BB$161</c:f>
              <c:strCache>
                <c:ptCount val="1"/>
                <c:pt idx="0">
                  <c:v>Occurrences</c:v>
                </c:pt>
              </c:strCache>
            </c:strRef>
          </c:tx>
          <c:spPr>
            <a:solidFill>
              <a:schemeClr val="accent1"/>
            </a:solidFill>
            <a:ln>
              <a:noFill/>
            </a:ln>
            <a:effectLst/>
          </c:spPr>
          <c:invertIfNegative val="0"/>
          <c:cat>
            <c:strRef>
              <c:f>'Q&amp;A Chart Dashboard'!$BA$162:$BA$171</c:f>
              <c:strCache>
                <c:ptCount val="10"/>
                <c:pt idx="0">
                  <c:v>RFI Response Delay</c:v>
                </c:pt>
                <c:pt idx="1">
                  <c:v>Permit Delay</c:v>
                </c:pt>
                <c:pt idx="2">
                  <c:v>Material Delay</c:v>
                </c:pt>
                <c:pt idx="3">
                  <c:v>Client Decision Pending</c:v>
                </c:pt>
                <c:pt idx="4">
                  <c:v>Labour Shortage</c:v>
                </c:pt>
                <c:pt idx="5">
                  <c:v>Equipment Breakdown</c:v>
                </c:pt>
                <c:pt idx="6">
                  <c:v>Rework</c:v>
                </c:pt>
                <c:pt idx="7">
                  <c:v>Weather</c:v>
                </c:pt>
                <c:pt idx="8">
                  <c:v>Design Change</c:v>
                </c:pt>
                <c:pt idx="9">
                  <c:v>Subcontractor Default</c:v>
                </c:pt>
              </c:strCache>
            </c:strRef>
          </c:cat>
          <c:val>
            <c:numRef>
              <c:f>'Q&amp;A Chart Dashboard'!$BB$162:$BB$171</c:f>
              <c:numCache>
                <c:formatCode>0</c:formatCode>
                <c:ptCount val="10"/>
                <c:pt idx="0">
                  <c:v>11</c:v>
                </c:pt>
                <c:pt idx="1">
                  <c:v>8</c:v>
                </c:pt>
                <c:pt idx="2">
                  <c:v>8</c:v>
                </c:pt>
                <c:pt idx="3">
                  <c:v>6</c:v>
                </c:pt>
                <c:pt idx="4">
                  <c:v>5</c:v>
                </c:pt>
                <c:pt idx="5">
                  <c:v>5</c:v>
                </c:pt>
                <c:pt idx="6">
                  <c:v>5</c:v>
                </c:pt>
                <c:pt idx="7">
                  <c:v>5</c:v>
                </c:pt>
                <c:pt idx="8">
                  <c:v>4</c:v>
                </c:pt>
                <c:pt idx="9">
                  <c:v>3</c:v>
                </c:pt>
              </c:numCache>
            </c:numRef>
          </c:val>
          <c:extLst>
            <c:ext xmlns:c16="http://schemas.microsoft.com/office/drawing/2014/chart" uri="{C3380CC4-5D6E-409C-BE32-E72D297353CC}">
              <c16:uniqueId val="{00000000-E278-455A-BF4A-4B212CB37D8E}"/>
            </c:ext>
          </c:extLst>
        </c:ser>
        <c:dLbls>
          <c:showLegendKey val="0"/>
          <c:showVal val="0"/>
          <c:showCatName val="0"/>
          <c:showSerName val="0"/>
          <c:showPercent val="0"/>
          <c:showBubbleSize val="0"/>
        </c:dLbls>
        <c:gapWidth val="219"/>
        <c:overlap val="-27"/>
        <c:axId val="467148928"/>
        <c:axId val="553044528"/>
      </c:barChart>
      <c:lineChart>
        <c:grouping val="standard"/>
        <c:varyColors val="0"/>
        <c:ser>
          <c:idx val="1"/>
          <c:order val="1"/>
          <c:tx>
            <c:strRef>
              <c:f>'Q&amp;A Chart Dashboard'!$BC$161</c:f>
              <c:strCache>
                <c:ptCount val="1"/>
                <c:pt idx="0">
                  <c:v>Cumulative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'Q&amp;A Chart Dashboard'!$BA$162:$BA$171</c:f>
              <c:strCache>
                <c:ptCount val="10"/>
                <c:pt idx="0">
                  <c:v>RFI Response Delay</c:v>
                </c:pt>
                <c:pt idx="1">
                  <c:v>Permit Delay</c:v>
                </c:pt>
                <c:pt idx="2">
                  <c:v>Material Delay</c:v>
                </c:pt>
                <c:pt idx="3">
                  <c:v>Client Decision Pending</c:v>
                </c:pt>
                <c:pt idx="4">
                  <c:v>Labour Shortage</c:v>
                </c:pt>
                <c:pt idx="5">
                  <c:v>Equipment Breakdown</c:v>
                </c:pt>
                <c:pt idx="6">
                  <c:v>Rework</c:v>
                </c:pt>
                <c:pt idx="7">
                  <c:v>Weather</c:v>
                </c:pt>
                <c:pt idx="8">
                  <c:v>Design Change</c:v>
                </c:pt>
                <c:pt idx="9">
                  <c:v>Subcontractor Default</c:v>
                </c:pt>
              </c:strCache>
            </c:strRef>
          </c:cat>
          <c:val>
            <c:numRef>
              <c:f>'Q&amp;A Chart Dashboard'!$BC$162:$BC$171</c:f>
              <c:numCache>
                <c:formatCode>0.0%</c:formatCode>
                <c:ptCount val="10"/>
                <c:pt idx="0">
                  <c:v>0.18333333333333332</c:v>
                </c:pt>
                <c:pt idx="1">
                  <c:v>0.31666666666666665</c:v>
                </c:pt>
                <c:pt idx="2">
                  <c:v>0.44999999999999996</c:v>
                </c:pt>
                <c:pt idx="3">
                  <c:v>0.54999999999999993</c:v>
                </c:pt>
                <c:pt idx="4">
                  <c:v>0.6333333333333333</c:v>
                </c:pt>
                <c:pt idx="5">
                  <c:v>0.71666666666666667</c:v>
                </c:pt>
                <c:pt idx="6">
                  <c:v>0.8</c:v>
                </c:pt>
                <c:pt idx="7">
                  <c:v>0.88333333333333341</c:v>
                </c:pt>
                <c:pt idx="8">
                  <c:v>0.95000000000000007</c:v>
                </c:pt>
                <c:pt idx="9">
                  <c:v>1</c:v>
                </c:pt>
              </c:numCache>
            </c:numRef>
          </c:val>
          <c:smooth val="0"/>
          <c:extLst>
            <c:ext xmlns:c16="http://schemas.microsoft.com/office/drawing/2014/chart" uri="{C3380CC4-5D6E-409C-BE32-E72D297353CC}">
              <c16:uniqueId val="{00000001-E278-455A-BF4A-4B212CB37D8E}"/>
            </c:ext>
          </c:extLst>
        </c:ser>
        <c:dLbls>
          <c:showLegendKey val="0"/>
          <c:showVal val="0"/>
          <c:showCatName val="0"/>
          <c:showSerName val="0"/>
          <c:showPercent val="0"/>
          <c:showBubbleSize val="0"/>
        </c:dLbls>
        <c:marker val="1"/>
        <c:smooth val="0"/>
        <c:axId val="467163312"/>
        <c:axId val="553069008"/>
      </c:lineChart>
      <c:catAx>
        <c:axId val="46714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3044528"/>
        <c:crosses val="autoZero"/>
        <c:auto val="1"/>
        <c:lblAlgn val="ctr"/>
        <c:lblOffset val="100"/>
        <c:noMultiLvlLbl val="0"/>
      </c:catAx>
      <c:valAx>
        <c:axId val="553044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67148928"/>
        <c:crosses val="autoZero"/>
        <c:crossBetween val="between"/>
      </c:valAx>
      <c:valAx>
        <c:axId val="55306900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163312"/>
        <c:crosses val="max"/>
        <c:crossBetween val="between"/>
      </c:valAx>
      <c:catAx>
        <c:axId val="467163312"/>
        <c:scaling>
          <c:orientation val="minMax"/>
        </c:scaling>
        <c:delete val="1"/>
        <c:axPos val="b"/>
        <c:numFmt formatCode="General" sourceLinked="1"/>
        <c:majorTickMark val="out"/>
        <c:minorTickMark val="none"/>
        <c:tickLblPos val="nextTo"/>
        <c:crossAx val="5530690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Average Construction Cost per sqm by Country (USD)</cx:v>
        </cx:txData>
      </cx:tx>
      <cx:txPr>
        <a:bodyPr vertOverflow="overflow" horzOverflow="overflow" wrap="square" lIns="0" tIns="0" rIns="0" bIns="0"/>
        <a:lstStyle/>
        <a:p>
          <a:pPr algn="ctr" rtl="0">
            <a:defRPr sz="1100" b="1" i="0">
              <a:solidFill>
                <a:srgbClr val="1F3864"/>
              </a:solidFill>
              <a:latin typeface="Calibri" panose="020F0502020204030204" pitchFamily="34" charset="0"/>
              <a:ea typeface="Calibri" panose="020F0502020204030204" pitchFamily="34" charset="0"/>
              <a:cs typeface="Calibri" panose="020F0502020204030204" pitchFamily="34" charset="0"/>
            </a:defRPr>
          </a:pPr>
          <a:r>
            <a:rPr lang="en-IN" sz="1100" b="1">
              <a:solidFill>
                <a:srgbClr val="1F3864"/>
              </a:solidFill>
            </a:rPr>
            <a:t>Average Construction Cost per sqm by Country (USD)</a:t>
          </a:r>
        </a:p>
      </cx:txPr>
    </cx:title>
    <cx:plotArea>
      <cx:plotAreaRegion>
        <cx:series layoutId="regionMap" uniqueId="{00000001-27BE-43F9-8FD8-53F59297D44B}">
          <cx:tx>
            <cx:txData>
              <cx:f>_xlchart.v5.2</cx:f>
              <cx:v>Avg Cost per sqm USD</cx:v>
            </cx:txData>
          </cx:tx>
          <cx:dataId val="0"/>
          <cx:layoutPr>
            <cx:regionLabelLayout val="none"/>
            <cx:geography cultureLanguage="en-US" cultureRegion="IN" attribution="Powered by Bing">
              <cx:geoCache provider="{E9337A44-BEBE-4D9F-B70C-5C5E7DAFC167}">
                <cx:binary>xHxrc9RI0vVfmeDzK6buVdrY2Ygtqbt9aQPGwABfFB4wqpJKt9Jdv/7JBnZoi1737sRGvEPMTGC5
fZTXyjyZ5b9/mv72yT3c+1+mwpXt3z5Nvz0zXVf/7ddf20/mobhvnxf2k6/a6kv3/FNV/Fp9+WI/
Pfz62d+Ptkx/JQizXz+Ze989TM/+8Xf4aelDta8+3Xe2Km/7Bz+/fmh717VPPDv56JdPVV92h4+n
8JN+e/bPvu38vbP3z355KDvbzW/m+uG3Z4++69kvv65/1k+4vzh4ta7/DJ8NCH8uiUJMURx+++fZ
L64q0+/PMWXPWYiwpJShwz/4X9gv7gv4/H/0Sl9f6P7zZ//Qtr98//+jjz6S4NET21bRNyVE1eF9
//n2q4C/PlbyP/6++gKIvPrKkR3W+jn3aG2GFw/jLx8f7t19+flfyvgfGILh5xz0q2hIvioakceG
kOS5ooxhLODBN/N/M8F/+DqnjfDowyszPHq2NsSLj///DXFZfv5fxgIhzyknSmD6PRLUIwvI8DkV
lEKs0G8Gko/tcPZtTlvg+8dWuv/+1bXWL1/8L7T+70Pjz1QR33f3m6855ig6nn76r7BaffSpVPXN
jS8///aMHeWtww945OH/dOmD/2Hp79//cN92vz3D+HkYQnYKCVOCS0LAKuPD4UmgnguhJAsVCong
mAp4VFa+M789o/I5Uiw8/IG8pgiiz35pq/7wCKvnoVCYhVhxrJAQ7M+c/qpyc1qVf6rh+99/Kfvi
VWXLrv3tGVcgSf3t+w7vKYkMhQgxDzmRjCmuIHrrT/ev4eCAb8f/z6Ym8UVur6oxaNL8jUctYzcD
mng+YD3NZJxsrOoE+0IjmpRNtkvDJZ+i9CBuEOo6HIOOviDhjD4U85jSrteFqPs2lkNL0+J9lXZT
KDchszNqNMrga/4+Mz1Gt1KmCBtd9LMdyUc+hc1QfjDehSbXU0CmcdKL4Ya9ldaNMnbY9tMdbUte
xGPR8yGelpEPG7WEctK1KpvrzpBk1Bl2g9nOFVru5rzNaUxDk74QeVfbCLO8ILqiTCzRUA3mc0qV
a3ZVliFzyTIT1HssLBLRwEhV6aXNeBDjaQnshVRlkukmxEN3M5dB4IKIsZI32QfWTfVkotT4RVxI
0ovsHatIg9qNG+SI74J6ntSuzRlNb5q+GN+4sA7bCxZ0efiqsWOINqYrp0KD1QXajl0vyotC1SjK
7dDlW1JO8C7OYN5rUtZLqpuucEXcV5QzzcxcX0x1WE5auWIpdV35Bu/wzFQa15KWw47RVogomLpA
FFulJtEP287nrce6baA26DcFJyhdrprADkmts65m6MpxO10qEXCnPcH+jzzHZoyaQrbFprGF6VGo
O2IX02ypE+ns4jnA2LdXKWGZ8xFLWTndzTWS6avCw7NtkgZs0jLMp5JovuASnGsom+IFCm2V6q72
ZNwWQThTzfo8rwtNcY+CiyIZZK3LoRhUVJBAlHoMlKovCkybIiICNfk2F5NcNmGVDXlk2yYc4mVu
m/EqXUT7ouGqDXaon1i+G+DnTBdjJ7i6xUW4zBvnHB7iJB2aJmoHRXg0NgXHUUjm8q0Qs7hNeZV9
qPOwU5ERirwVC5pIlOWyfrUETjW6SKtuHyTe38yGKqWlTajUYcvmTPe8Fn28EMFCjV1evuvUYNgl
MnX6RRqRlbsZy0lpn6QM7ZOM5G3ksmmqYmRaJy6EmkG3JinCMG4rEbwUQdVwPWajxVHgs7C84rUz
76esHsmms4VHG0mF6iPPKos1L8c22aJiaj/lC09xtAxBlYO7FsErXPOujFKS9pl2JQrb7ZQFmEQd
rsVHHBZ9qxuRhigKxViWOg3onEdKJc2gecbBZjK1PdKqMMJEVZYyeC8jA68XhsV9C5jvh6kIvuQq
64SmGU5tjCRxozbFOLoo7brRa9+qIN02aZm9Dqui7+Nc2Yruq2kyH5xvJNZhs3RjhCZr0w2t+/A+
mKRs4rw0tNkGHjKmrpLK7zgqk2ojh96941UucZSXbWkjiNbluhRtc5+phqROlxiF4FIe9JuOG2QW
NlzldmnQJi8ZThs9L0w0W0GmrN8tfTglGoV1p+6NGorwKmiXYnC6QhWG/zGItXEzeteKN/1QZehl
Uo+tu1Uz592gc5mURRyGQ1dUG69cn9yPwzhMSZQmXdDn2tLUmM9TA1kCAmtplsi0dcnTOBRBuPCX
yth8YjF3HtGLtE9J/nvrjCovwoA0TAd51/q7KZg935hkSOy1XPoq/2jyTNFZ11PdNXe5odLFfsjc
IeWyoSnSS4hPyN6QL9Qyq80UkqqIpxbP83hVAIirYulb25tItpC/N0nJAnlVhyKp3yXZINhOddiE
LywuuyIeSMfzWVtTV/P7YuS0vFWJCweNuzAfex0kitWXE8Gd/F1a0pGLQ+otkk2vApulOhukSj8X
AYSW1+MyB5meiyEQOjBkolvjy7rcWMVyGWV15vOYjgUTGo1NVV92Zanuu8ySD8NIguBuGPgyQTrt
2S1LRD++mqcC35slyFW8jHVuN/0wDXhDc0zMe1xg1G7nMelJNJLRLdoEqDex6fnoXqg6mMddL2jP
3oSq92rDKiEmPbIxvROkx28cwvOkMzW3Kpr6yTgNCDKLpGomr3NC01mbTiZ7l0yj1S4LijRmuC7g
OKnJOGhU8rqBgKzqIPasyW9rRkyxo34Z3w4VN34bTqyxl3nmTKiXcYAA61Vjkw3pzdTGjOSDzCPv
pSxizJOGXiauChk4kkf1oLukxh8S70p1kQ0BD3ZpA9ETOesav2vnFDk9dXnitOvLZNFcsGXRY10k
1bZPgpBoUzoFWjGVe22czXjMmfVbxMYp3Y0Ojo6oKX2aXpSGNc2lzCv8hmOGWYybgIob3LKeaTzU
iu4odcuXQvWN0Dzx+CP4sW21ai1J47JITfqyH/C4aCuLJLsKx6a+GbGb3wZuqvKtAz3mL+ZBIb5J
pApNp5E1uN0Yw0DXCFkXXi2FV9u0aapyR2zmZ8iAztTRlFIokO7KnPAc/M0g/7IUHUORKJgBs6Bh
uMtE1nWQ/hn+0qvMFdoGbqQxYqKdN2VfT0xnPpWvXDaoTNdFyPNtM6XDm7loUxqz0pZ3Q+bFR9Ng
n+iGCzNFXTZPuTZLCTaSU42TTcoEJYfqRphNDjXg67r0eacdKQrIb8pPfywkKdWWBAm9xVPd06u+
LlW1wVBVic1AWtleQ101+ZdhscBBHpNlwOyqCZvJ3ruwadt80ymcqERnmSjGt1M2+myX4yr5tFQB
ryJk2/RNh8MZX6dyseWLbqib/lM1yfELSzCYdDBEuMi5PDCx6wUfdM+artYICpkwynjDL6zveL1r
C9+JuM5o6SOTFtjdJmzOg4ucWyu3aqig8ltKIaqXOKXFsG3dOEkt2rLZ8i5o2jixBYkhhn0e0bGc
kO7tbKUuKlc7nRdj30SVEuk9LgZUxWXuvb9IfRXIyy5k+YeaLHP3Erta1q9JMXf+LjBB63eYVv5L
6Nql2bCSJIm2Yz+jq3xU1m3rgpQyMtaPYgMEh5ijOWxddmVVNof3tpzCQnd0xtWrJaM52dgg8Px9
SfPWvQLKIuvveAbVs7V6LPyQz8EmKGooBczOKF9XU78TFYjRQuwGtLcYohCZzPI8GpaUtvvEm+xL
GnA06zRD0uzIjDMHZ7Mniw6aqntRe7RQ3bjUVTrIpEw0VtPsdRdW8C2jgyPxylBPKFTomXUXvhXs
Bk5Ys0RQ+bhEB4swvy8uz2+huko6OKtpj3WSJgpdUvAsoZt2nutoEIR9ULlSPpp4RZIoR6KGGjyE
6jlq+1rd14mhnVZVx6oIp1WQQXFVBIOGA268kcPgX/Zly1KdJHi4h6plnrbWGMejZWbNR1nP/o1s
lhxFSd+kt7kbyRRXIikXLXCxtLHPquUDZMSm00NoULHJpE+2yRDASVxQ0OuWWiPf29GhHhITYxnU
VmPAdU9R9oVObKh39VC0ha4y5t9NE827aLLVZLRxRU62KvX2iwmhUtj2DYVTSYRKqQvMZZ3GiyTo
D8zFWGvVJ3MT+bSc76qiyktI1j39LB2R0AClI6ojKWpvI1elTauRtHC+p95VRWSMWC7SYkh9JEo2
uF2OAmzhDMn9+7kiZRkhUolWB74sXdSbhgENNqGHLEncoCsre7/JXAZlKguGvteuEoPQITQaRh+3
3Y/awE8VqBaauO/s3p9//cfNvyjDr0zUj68f+MEff3tZP5R3nX946G7u6/V3Hvr0P7/1B6V16I//
5LdW3fY3pvHftOJPPvzP+nQM7eufBOPPjfqaoDy0wIePfO/Vefgcqj4MDIsUIaeHJ996dYzJ85Bg
Au24CgVTDLro7616AJ9hBBpoJnAoORSN0MZ/79UDRp9Lhhh8XYUYY0rUf9OsA79z1KoriZAEbEWB
4QE+FNi2x616WlSyC81I9vIlVOKl0XaKxvdVDflwc6SWE7RAeAaJP0Za0gSqLD6Qfa6wtgjS45Vw
eokq/MI31wHU+E/jiTN4h+dHJMSEF6hAKOB18qVu1OXg4mTK/gIIZxQYj5CARUL0GOSQM3jQzHgP
fHmcuY+k+ORxtjMVPQN00M4PSuWbnXgIXSLnYHTBV9IU0ttpHlKyL1t12dga2iUT5XX8tM5OoEAP
x5iUAv5IBG53rDM3IMohQ7F9Og3jm25O6sghK+PctfTiaajHHNFXgQBKhsBRcQSuvIKCIiMrU+fZ
vhmJiqR0Szwxk9w8jXLCCSTDhCtMMZRTQGw9EmioSI0xp2xfjo2N6cDf9OloNkut6pt5aNkZK5FT
CuQ0lJhQRhg7MHPHChxUGjSKKLYXDEHdHxSyeFuNFc70ZKcUMjyC9kRb7ger1ThA2ZCn/r73xZRD
Fx62fJOOHNimgC3eRcBPyPs+G+t0i6GmMVDbZdmbauqWyB6OKNP40ca2JMOH1AJF9GqYx/Aiq/Oc
b/IJHp4RD8PkY+2FUiDMwRPlgS5ceWHfjoilS8/21CKz6XDzguU2jU2g2AVaZDQlwcuC9R/rpFuu
XBtAn+8V3T9tU3wIqlUsAF0J+RRGM0KAdR8rWdRJI7oBlExogGMClR0LuxvolKxu52wboGbD606X
IboE8uxcyJ9SQqgwhAgJQ0HgP4/hWSVR0tGF71leVxFN6/m2xK9b3y4b1nVubzMWI4UaaLSzyzzw
9CWXk7g6o4SfTaFgcgKDEwaZB5xt9RadIlnR2Z7vCc6b9wJarAsk1YdhyPILS8i4mR3Kb/p56XcB
1NcbnFh80U4uuHz6RX6KYzjT4AiTiILTS8nJY23UNGzpqKrgWuSz2M3QPdwtfEzOJKafbQ4wHAGd
DFaHYD6Q18eBRRluaUv64NqnsUyWq0nWn8M8WDQVKDKZqfWIoXdqvL1J7/57CTlGcEhCGgHefaXp
qcL56NMluFb4ymOnR/FtTvRtXnfiZPwpSR1k+wHAVofIvKQe5WQMrgm5LearwUd9eIn4mVR4SD2P
ooZTDqMcDt0oFRgS72MNVk7iPmzD8LobKI6w5Xcs8FvrSRZnWZJfpMqZzdOaOyHYI8iVb7TK+6LN
ZXgtX7rmAyZvVf62pW+fBvkp5a7kWnnGmJt0GCoRXqfo41jec3w5utunIU7IAcUbgSEl8AtwaK0M
hKho84BZsw+CJcpSBRxuD43/7UCH7dNIJ6LpEdLKSGOblZgsxux7nGwrrna9nX5/GuKEHxwqUQHn
vIIpEDkIe1QXNWogU9FkZj/WvdkNS3Op8rTdlKm4zpN6vmmNRWfOjVNSHbhhmDFJOBblSqrBzX3X
1B1Apn7XzOMHL+Srp6U6B7FytcGnc1M1AOFnbzSVPtU1P1dSHiJ9FUJSwutDDgo51N8rELwkva+T
3uwhUIHYv1LBbobjvAM3KMNr1dx1ip5JfKdcT3IJ7QEsJMCgdpV8ejQ3xFGATMkNSsnB64LxFliW
v2KiHzhrF8d1mMmBj2Yvcr9jIxALZi6mMyA/NRucHipLyD3Q88CccXVwI5d4ywcAwS9FuamY7mf3
csjmnSqAnDhXjJ201hHaytGLPAcGqprNvkiLHemLK+zR58LMugppnGQYePo64qM8k/S+nrw/eckR
7qoGxLMYgjwBXG9eo6bbtWEfp81VnWlDyPuhmeM85RpmWtr2fVTk18Y9pOaiaJPIBh9HfwObOePA
9JJ2NynwuGO1yUS+LcJ811K+m6ouLlWqcQBs1fwXMt2xhQ4WPEoOHZKNKhwy+3o0Www1BagwngKq
eXH/dMCeSkPHSCvHHnknej6DL5j+FujkF80CY1P/e2oN0UHfRk+jkUNo/mQUCWPxEIadRB0a6mPB
hrAPRrlQsx+41Yu6gMWnsP2IF5gpzf0HOqg3KTSkU/MeWKiC68TdZnWpjZ/japFxX15lw63I5ogC
YabkNoXx5dNveOIYk/LoBVeaT7IeqGOgnvd95cItggLzRT8hE7FlPncsn8qVQGVzJaH1gp5yFRgW
TQLXPTZ7Vzkf9xwGHj1jxeXTAp3KXMcoK43PgzBJxycIA3vf9v5mDD52M7sqSHFGcyfFgSUIAcUn
NATrejxzLc+hOTb7HL2BORHMjJYzCKdso/5EAM7ksfNYlC2jH0CULgDmOPRa+du/UsdIsAXsZcCK
BiJ0ZZW+6ubFw9x7n+DbdKYXwG9HAa3PtN0nReGHUh2aYijOVqJUti5p3SWQgsH1g+FdvXwc6zO9
yUkMcdgoIkgQHB6eHyURIiokbCbMPitvkoVGebsDXv/MwfhzGwaHiTpCWemL0gUkbIzdT6REuugY
iVuRmsslSeuNzciNoPX72o5Rm/IPvO2KTUr9dOYtTmWx45dYOfnEU5owAqIuUxsAq87CeJ4s1Xae
uIbx8wZV4zmS5iSmRNCBA3MBe4qraio57LzkPZjwspgHPVSwobGwiJGX8+u/EMFHQOSxHTlsdPhB
HlLSAJNWes+BF4JDapnHM1o8mSqOgFYlfHboWoZJmX0V3sHASE+wZcDplarrzdMSnfRMCctsX3tV
aA0fSwRnW0hHIFL2ZfA2zeTGwwTQnisATkqjMLRYSIKB8MonetLQ0QeZ3Wfki0wXnWcvQuVi1pkz
hxo+mfkUkMT8wAIAl/xYnKkvg8Ms3e6Hw9Rl7mJV7JrxpvwjhwlmWV5MEcr0Esao3Lah1cEZs53Q
pgJWjcOmLFTFwIU8hs9Hl1k5HQQN33b0rYH+61wqOdX3P8JYuQbxCHaYOGAIFuygCpZXYrabetvN
7mJu2l3gPgeKnHGTE3pVmEMuxkCxAOuwSi29JCMUqqndq2S8zRoeYyS+z0v+bdN/UnlQBgNMyDhQ
WY+Vl8i+C9qysPuk51tojQOab3zSnHGRk5IcoaxyRS+CrJtoafcG5vC9bHQILN3TMXUKAlgoLJCA
f+HseixI1QxmQmFn94u66Uu/TQdxBuFEQEGjCuw6LE+FMCtZ+UA4GJd2ZWv3Hr2z5GacqteG3FDk
zhCLp0wCqYHQEDbDMUTwY0ksTVrjGg7+LB5Y8ToY33buXJl3oimBYcsPjFXMVC1MPzLH7J6Zpb9K
c9pEfcXqHVD6V0Utf8/CNr9Fqrkds/xc+3VOvpUeuwU1QT8AdqtehcO7jH/owi9POwM+/IxVnf1I
vpU3LMriaWqF3QfXLRY7fiFmvQwwHs40fSjmRku8Y/2oofWSxTnlnnKUY+UeFHBUeHSEjr0Zqd3n
vdNzuWn477ZAOsw/PS3lSRwon2XIKEwy5KpWZ3WvcgRLpHv8XkywdrVhzRuEXv8FEBj0wBYvVBiw
1PtYmGpiImOHQ5HKC1gwhC1Tee3OucRJSY5AVhoTJQ4MXSQciHM4bnhrXwtPZt36nEZ2Yir6KzKF
ULvA2UuwXMHJnAUFbMrZvYR1pjatY9FduaaMLTnnCieKJJgQhBR2kL+STqv0OjHW9F7CueFhMw0q
apKNkbB9fNjnKfrrp8U6dRA/QltlDjwnSdNngLb4WP5ewCKVd7d40TBgMu11n1HYl3s7VpB+5SaF
NaF5Zmc0ezKvwBQNUWggCF1TU+VU5wmWkCOnFPgCAsOTqJ9HWP9EA4s9DhPtGrrEfs7HXZXU7Rln
PZlajuAPaeEo8sIGNvDwQd2wZgt7NlInwduzNOzXemadXBgSh3G1JIzwlVGXwihYofOHBN3pIHjZ
DBa89CYr3ls43kL/u3yLq0uoimKYp51pag4x/RM2RnBlCOaIJOQr1+2RAFLM9Hb/bq5abSysTg+w
nJpfS9gjpPIv9GmKHcEdAvdIobA6nhbOAxyanOby1vmHJXv3tNueMtoxxqpQTRmsu5IJMOrhqqru
bX878zNaOxWGxxCrTKkCY5pmOEDAOuFNSTZNcKHmhxafcf+TdSLDEqwTQtATttLXYUWIwqoknG2m
j6Ak1lX6Oq1RnPXB597Ue1QuSVQOl12ef7tv8m8LudPQBPyShIcqaA1dj47i6nCkF3VKL8VSWB2O
/RRbXKudRLCHkyawEQn8Ht5T3447Aft4Z/R88tyFvgYmgQqGglKtFJ0FzjYII5Cf3MLaWbXN+yZe
Bvq5sP4GNsX2NFguD7QhrdHGBbthvLQlOjNiOulQRy+x4vRQ531q2WT3Db4JPSxOtrdnh2Un45Ax
IZU8dD5rolrxNh9cV0EB5XEelUkoLrlIy03vFn6Z17AR6uf5GvGafXo6Wk66MoOqkAHzDxX76jwW
IyuqwQFwVzt0hQe2yzBeIlWKIZYpV7FtpvkMh3barBwG7khCVkdfac2jNNDXM+xW9w2kdR7c9M3b
fLggdFN13RYHcQh8ZK/eJTnbWOzgNgzaDB+eFvog1E9Zj8N9Ihh6QXkPu0aP0tDYqaQXw6FLyZIb
2bEYxlNnQvek0xxBrJxGZVYIP0KLgqp3S91EC7qhotFPy3HSa36ArGkvbwwi0gAIrFO+h+o0y+8m
CZeKWns72E/OnfGVU2UVOCdcfRKcKkzWB1WSMD+HNchUXC3zrJ27ArbZFGdO3ZMuCfe9KIKlDAYz
vcfWGfCimkSAS05q1rDGFUn+0fEyxvZ83J0USRJYuIDJF/CG5DEWdrDyDMvSoLpJRdbCZY7qS03m
DR/PpbKTDiGhJSZgMEjpq0ALR1d3dQupvHKtnpLPZt6Sfqv49eKS6DJUdQTDNtuVmokogQpLlMN2
nD8/7TDnXuLw/Cjwyk7CYYIh8LLs3sBqZmevFvvH0xgnnRJYogMJAAt4eIUBd7EMghUOuw+hPOPq
YspwZJpXqdnKepssZ9BOS/QDbeUsaQLXdBoPfTo3sCbh46LFuja3T4t0Ml8cibQuKUrmcuvAdh1p
IpF8TOu/FMlHCKuMJCmsN1UtKK3so068TuGuhzHL1g1TFL7zS3omO301wk8Z8AhvlZ76SWZ+Sgbg
2LIkItPLPG901r6s7OVhFNTbqxpuEGiOXme82HHax6bqdAoemZ9b+Tmj23VSyQUeM1uA5MZlUSZv
kyTXT1vvpIsoGNAzBgtWwEs9dvplCUIj3QxZ0vZf2l4ul4uA7fSJVmdqppPJ5Aho5fnN2PDJCVDq
lMP6fR7BryiAq1uFTob2jEjnkFZejxPPYEcOkMqFXzSkuoLRDaw5xGV1/7TuTlrnSKSV56sS7nHQ
boSEsaSjtuIht/6c75+zz8r3Z1aMle8BY5FvC0M3ZfsHzovN04KcA1k5POwIS2oQuJkCo+TJF9g4
OFvEnbYKD4E9hrpCqZX9Ucbagk3gaHCtYzfCwn5QfJnRtO/sGUc7LcwPoJX5aVqakKWgMdmI64I+
KLiSBuv6Z5zs5DmsoPaG1VnGydcq7uiwqLtRVjOB4ntKuYQtrsMlTYIruDPMN95ZfK1SnJ1JTKcl
+4G5itXKNbA+ygGzh7sReN6Ax8GdvDMgJ08o2HKEFWcBJcY6IdQoNdDZL9BVVF9yR7UYLph9GFDk
xXYq0eV/73lwZfzr6jtcIF97RdllfRZOIXD9pkS7pgpYXCfZCHecK3cG6usQZp3WYYDI4PdPwNQV
FvQfp7oWLlD0DHYiYSVpuWhDfLgrts/dpjXVrqp3Ybc9NJFj3m7yYY7lcstlf9f17KpFXZQHKNdL
N++elv9UVHAG2+SwlQWr5HwV3kQNS1jl8E7WTjGUcrj8UnaBnvrN0zinUhWHHW8OW+uHfcZVUIzZ
XHeTctnepa/n9AsMwZ7++ae85vjnr1JhZhJgnoIi28NVOVXABV2c6zz9vZ7h7jAckGUeP413sgOH
3W5Yz8QYwaRgBWhyzuDa0kEguNm39U3OtksuqM6mSl6kNcl160K4TShy+N0C6VS8n0PY0X36JU7F
42G/DVbDgHYUap02Zd5VXIDQOH1HUhTBKCwQ757GOGU4Ab+iITzcJIE0c3h+lGfycum7hVTZvnTF
2xa6fQ3rYfVfSGaQkuGqIPAICHaLH4M0tpnnai6zfdOWLOqRGSIE20DxUNef2hruwbtQTH8hz8BI
VigoPeA2zHrgBrywn1E1Z/sZ3aTt24G7KK8+4KSIiuJmDqszIh5ssQ5++LUZsJ8A3QxD61sbcJsT
ZhSmz/Yqk+9qqkn/ISMXU3lhpwQur7+C/vOMd5xEFIwQRmGFFFq1x0qtKFwhDZzI9kO7gZqnUiX0
LXMXVSwFylTqtJnew68T2D7tL/jnSGSI/h9pZ9bbNrZs4V9EgPPwSlKSLdtynMHpzgvhJA7neeav
vx99cToSTYjo9HkIGidASnuzdu3aVWutgvkA44BeJk2tS7O1VqRFMPg0Kn4YezVxy/ROgib23Xul
QjOgRTDcl+NB7R2YCF18RNTACYC3+Jvl+Peeyw/hTWeB3ma/l+WpHjBhUvhlcG+N963oStmGA62U
hjEAPUY3WewMcb5c6RiIpQIDAhBQz5OjCd3pRqi8D/pYgqT+0g+vY1Y4fVU6UBRPY6tveNTqRtOZ
lCSL9qGypCSUhaGPwVQH99w1th/DNacj30mV0+wa9W/6ihv23mccUMDII4jfEuVobbHcxIDai0RL
cF8atRN23+picLr+R6LvgzTauJbWbGlQjoy5Gw4rbVHMSAohDXIfGIjSFTs5/TR9FowJKDSE/39d
P1Rpu4IMBZYGAGoJgbLawAjinARAUH/FEUlUcpTicMNV3h9FFfgpsCRZlgk1y/iWSo0QTimloCak
PZJ+KYfIsV5G/UXIXuWvVr/xIl7xDMxplM641ee+8qVjVqk8aDV0yvu8T+iKCK7ifVW9vRzfmrlF
QvVz48jL/HuXsW1e3m9789+f3RECiJQwq3nmSzp0ZE9yukK7TQLjYErdswJu2B9+Tc034TYJG3ur
orFSr7y0vvDLKjCH3hwpm8CVRttmsPMJxq1RHOvwGMXeg9Vqu7owb7y+2cuwrotOc3gDbJyOlYSA
nzE3iOAqofP2jlwmemauzZUV3RpuUYVwVPHbGD2PSXiok9pRlL/H1rc7ZevufJ8EcCgtC7Q29VLy
ykUi4qWi5Ft5QpjTY9uEEEwLhz73lguvFCWA0QN2nAkJ1BeXPky5NtTGBLT7NP4UD4HoFsHoxGrg
BKqEwIX9RbvVD1N3kwl2Xm80O1fCAWGW4rsBhhuHnh3+zMHmAFGOfkjVyvghDTVc5s9V9WpFH6Lo
x4Yvz5Fl4csXphY5lWm0qin0mCr7l2h8zbVTmOa27n80poOqHz1zn+dfN2yunJ9zm8sqizoZUkEz
hfMa13Z9CpAjyO8i7zB8b6qPAcpIsziSRQXtsGF4bbG0kKi6UPTkkb3YV9+r2O6BoxMk92r3KpYv
8WstKo4ft47ZfEZ3CRGjrcf++ycH6ESov3xKGJI8Bi4/ppdLVTsiH3I/wBOnsOuZFoTcyZGzjTC4
0iK/tLTIXc24nmR/rqOlU+vAYhTqr1kl73hyKRacWScXEmcU74Ii+CDL6SGwPnrj8K8BPvyGGacE
E4Vz+hY2zlx3qL0pEufVdoIgOZUANd8zAIjoSpRv3DKrR5Q3iQh6mmAM3eZyZ0evnoJUGkOotLmj
Ks1NUjz6Ka3cm1JVY1s1nyUVdq3huYaa7uYuoZzE90E07SrZ23iQrVx5rPv3b1nsvS53kdLm9OUy
SoZFZtme9RIbla3rhj21KaolobNZ3V6LhedGFykv6mjd/JwnBkvxF6sw3T5DtqN/vX5sVpdm0SpH
HYQH4HKb60LXIJFYHNdJuqnMg9JaboNuiKlWrxGyPKriRK14c93oSjbL04j2DswvUs1lxzfPulYX
A4naSwJNoitUwUkVpd24xdbO5rmVxWUi54Jvlj3FF1lIDojQ3bTlk9JTeNjCAawakgjcMJPpnovz
358di3TQutZrBdyDQtoOOF9xyDUDvRYEN6TaNzeyvNXdo+qgzm8BnXrPpblm0kzklVRYVCMImelp
zFv3+vdZXdDMPCQ91mB8LFwvbmuQlAIxPC0tR9EeJDHfCf5xs7q4lmfIczfsf4YWO9eOQjYNsyEp
0O6NNNiVAQJuQ3dLl8CVaqQ2wmnYi1b0g7LD3/9tkQv3GBTNr5r5HkYhJJr2ZfKhyCNbQhXqup3V
z8W7ipIUfWBVW9gxC7iCngZzhnzKgayjpNPuuoWVFBn2BkzE+fGk86i5dAglqfoEqgjMBzlzaZJ6
ZMq69FfShPuCdrMxbFy18+dfphWwRSS+G38Yy8e4kpQx/zfMgajZjaihTDfNv++kwP0/M7FwjFFQ
uggaZ3g/Nh+jbnBr1OFkVPuub9yqn59ZWXwaRctEWchhAvS/cpZgGE/QOabi5bqV+V+5tl2LxKQg
2UVxgLUMMrpjSbkrh7t4OKFh5xTRhitsrWjhCqmV0RAGVn7fFvUDmknHPHgdyq9yVH28vqhVQ+io
UGUFMyQuofNtLHRSI3J6SnF01fJZGpWHWnQHhHauG1p1tjNDizwAGFel+fNzs5YKcnNpfgFa2jdU
T7WNW2n1O8FPBQZlzUzR+SCfhfEqLSQri/lO6AI4o3KM6RJ+biLaamoe/Lq+qtUje2ZrXvWZLQng
6DBF4EIMtZ4e+8wTD+loPjaG9FrVRnjI0vG7Lk75xsld/Wqo3pjEI2qty8q1VMuIqrWAEAyxQZDR
hyuSZ96nTNWg/gfRsHG+VkMfWrqaoc8ibkvMXz2JCE1pmEsMaq1IP3LZQ+Hb8Pk1D6FybfJWRR6I
/7jcy6nykBgrkv+H+nGGG8TZNqP4lpHFwQpjE5nTGWUTS8dGq+DAPuj5lj7I2n7NxAkqfZRwSIwu
V+IVJdh8i1pHbSjlJwnlU1sTonzjAbrSu1EB9f42s3C+yG/VZswGbl3Lym+yqFTA2iXfkipK90li
RaCKpdH1q6lFfrLVd54ci27nITiHXBw6d1OcInSmKzdSEFokv5N/RDpmk7oy5zHLuHn+M2dnPjsj
gy/r/w8CqmQn11EQrpvd4CNUoWg3pnpsvTvFih1ee81mjWv9awPaUlTkCnGsS9NSiUamFdLRqncQ
rc1xn325fv7XYg2Vun8MLNamaAjZhBNVJhKeOyCG5q5Ssx3yTinlneBRncKNk7+aas35KaKr4lul
93JJ/UjLzh/JhrWisHZFK+Ru2oto2GV9vIvlKrbL1s+czORRVzR58Xel5VtV5tVtJRKQ8alvUeHy
NyRRr7eBJ3M7Sd/gTlpRZQfx9+s7uxZZqdZDzwRkbJja4gxlPkogshfTBDRcUT6WSu2iYptm30As
+PVGe/yt+vjOR8+sLR3FynUxU4g9oSzuDc8Rx5FMeXyiCbTrmgIR3G+pMpKUtTtTrm+vL3U1XGho
uVCNRdvgTUb87IBYUlgEGeKW94hJV4ic/kn45lv98+8vFud1I2dD4N8fPARMZYS3w63keA6b7/bv
zMTiHAhoeI9Gzw2hlv0+lsO9LN3VY3sTiZ9z5VlDlnoreV09eWcW578/27RG6yNBmVhUpP5IBsG0
ETZ3UXxy6zF4jaT99U+06vFn1hZ3UyoKstlPeGMEeHkqq8f50mj96g8KM9zpKqrxVGU4WpeL8iSz
E6M39kL8UkbfIwQzN1tQqxtHURhBbBgS6Glc2uBiiNtqJGRNgUsL7nNmumX9GenV6zu2eqR4KQEI
n8vAJA6XdlpgFEkgUuhC5PGuyXMnSj9POoBdpKoTQ7VNpUdOIaBEEbaHMTW3isNrn4xCHt1bhcCP
0v+lfUkv1RDhfQKl/CsB6UQTpcX09VWuRCn+dT4VWQt9tWW/S1HSUMxyjFQdLTWltov2kESKS9HC
zYPc7rONWLFy0DDIWw00CjfAMkkCNjIankRXGgicE3nRoypyo8rICI7Ws6aFx1Y8Nmh3X1/mfHwX
xxukK6x8APUyUnWLYFwJelW2ehndVxa1O10XPtdh/IC6rOdmopH8+6cCwQpIO4BQ9EO0RWEkV+Mh
UYf4DZeBNK5dSA+9+XR9RSun4MKGfOkdWoSmte9F0X1Dg3JUvWNsICM9PPTtcxWaG9u36iVznwK1
NJohyy6l15PDKX4X3avTWx8/bexSU4O97InJPhf7F8ZD5Lzv9dfri1w5AuBpf9tdfLZGNZPJFIro
XmiYF/Agmi/1lqDImgmWpRNKKFy8e4nkvLFEK+mje6s3H5DBvaNi3g0bUOj5dy7dD4FQCAc0VWDM
LdZR610rWj5GDBmUzmtubDHI1/wbcgGEV2vGjy/j7iDVGgRJI7qfs0QkGsK9DgIz8z5e/x5rTndu
ZnFL1krm8XAD/RAmyNcke9m8lVF5Tl01+uu6pTWPO7e0uB0pu5VKNbIgY9wLXYXSrij+NWglzT7J
zsxdovx7SqOKetvvLZx/0dl9jHp9X4iiGt0r1otmPOjhrisDG6LNf1vYHB/PzFjG2NRki9G9L92q
PcpJQn4/F3vi57is7KSoNuLtqn//XtayVRJ1ioa2vIJ/T3RpDa926lnjsU1/XV/X2nXJ/tFIhLhE
OW4JxJtizYozwQMZk4HQMtK/ZUW+FfvqFOXNj7Lbd+Jr9aoFlAQnZq/8ya6CbACDihwaoIPLXa28
rvJqRQCpZgLyYzyCq0sZNPwIsX0DstqEhtOP6wte9dAzk4t6EEJb3tSnmOwl6TFhHsCQIc4YoeRR
17dqUuwCP/+DmD/jN/63ykUYQa8zKzo5ju9jPXKKQPf3Varkdt5Lgl0FyU3ad/GGyVX3IZubH+po
2Sz7isWEYGw1g4jlZNfSZo8oT9b6RiNh1Qgc7JkchbDcUhttEOoCogptGLV9AbMZtF8225arX4tn
58x/QjBJX5zupAgiRHF58TFMyIlHyGXid6/g1QmsUb5B1Py6c6yfhjN7i2MeC3mQZSX2ijB68sve
noqjOT1I4R51/p3oyQiX38bJ38XW+3p1L38bXtLqLKEUEXJQKFhLt5kKR1E3dzT/P1xf37oVoIXz
lcl5W2yn2aReHQ462Bvq4UZ+rBJGTqiH60bWbs15ntzMVOLqXBLnke9DQD3FSKRJ93GV3HWq93Ld
xNo6ZkAdxVZkT1DQvowbuhz0VF0wwSAYhAZeVOsLqnx/YAMBJTgF/OJ3zWoGUuUtow7IeJujANMv
HSs7ovp+3cpaBgDe+B8r0uVKTL9Dq0b3ifPVU6ZMu6FBWS49aoK2caG8UQWXycy5pUWs1YfEQ228
4aIM/OpWSLSUeVwGvReGjeyqsKhcX2mMJ1FAUbFUU/1DJCdPdd//bfRGYAv+NBxyBv3YhWrmbjCG
pS1O7WQPgYiscmV+ZZQDNPscZn2t+NZtGYXw+8IkOBhD0943QPeR7uQh1Pn1lsrKqjuQ384wefr9
S8yIVyhI0VB/vp8i5rMkzY7MPTS2Lqs39NC7HYRey/sVijPYv8tvpXgT7zEfmLOW7IE7Hy1ldEw1
nXkg+m6Uoy9y8klmlMjABCW/emII1LMUlU6nf1Cy720UMKQmv637E7rIqfkEqH4vyl98QXa0bNck
JwGdMxun3l/3sLVyrTInsYgU0yonp7j82WmEwgRjqUgyi7uoT5/CDnTvlN9qQeSK43Q/RsFDk4IR
z0rm0HQBMsp5eyjr2s6N0JUN5TiG8s4rR3Ej2q5+trMftjjFsaJHRa0B2dbbwRmiwg6PterdXF/+
lpH5788TtyGylEQBs10nTIx6LofXzNyonqwGPJjJoLVnuaIlYbIsR4ZPyBW54fAxsiJHFDfC3WqQ
ODOwWENQM9FDCDHQJy7Sp7iXLH+K/efrO7X2SmCi4T/LmH/F2U4xY405hBGP7cG8zbpjPxzRdEhO
UbPhkGt3+rmdxRuhkkwLZyIQydrJEFyGxvgIglaCRd/gJx54fVVrhWvwwAgDADviACy/TjuZjD0o
8TJSIUWenN6APzukAJ4+1rUbVdIdj3xmkmzYnYPBu2BxZnbxzXJPkPKpp2BSBTsTGUuVhNYupsGR
AsOuGbWjD5LdSuUWtn71K57ZXXzFsA/NJJ6LGIr3KIJ8YmEShDjN2lVk1Nf3dtUWDOuZxDPLPy4u
r7GGaTJqfMnOOCaMmrJjCVZ+0t3UXkjBd0v+d96yd1t6Zm5xg0WGFnZqhYNa/gt9JYQGvuTpxq2/
mgFChEDaEGwnsx4WQd6qUlVjzg/u4g26IxXBcTIdaXrxYFynqLj4zaFIhWdEc7Mq+vIn+/mP7eU9
lk1l2g09tvvkgzfWN41aOyCBGIP5aoV/Uu06W6i8+HgB48bywoDzIfAK4lmS5IcW2OxTFk/pH+By
mdGBltLMeKLTuriCVCnIq7ynEHVXaKUjFygOi8NGL2XVGc9sLG6TqUVdMO0lAj3ThBpmOo7pi15F
bo8sPe2+619q1RXPjM1/fxYrOQ5jjpB2dJ8axVdJYIyeZvwULd29bmY9eMF+RlMFlQHRXJxmncFK
TVBBSSuUirlMyWPhaXdFeuzy/FaIp1ORHQvLSb9vmJ2//buTZs6Cb7OEKHCGy+UNrZgZ6YTZ0qvd
PDKctPiCxlbTfR6Y3aV0ua3QAjxM5RbmbvUqNXmacAkgbPh2Os/2VSCBiSambDBVITUcIxyG294T
68P19W1ZWSzPk+A5V/JsBb1aRzCK0fViwtd1K6s+AhJklklldsGykwjqs02GiovHQLO23Vmz2PS0
0Yufv/+7D3VmY+GHagm7IR14pChRIM+1eYZzJSKX3Bg4A5yk/7ikhTs21Nl0vWZJinc0+xfJZZzr
RlK4viKEtOg0U92dByifn6y4HbRAGTEhMs5E+aUhVNZ8jrL0D1xgLsSDp6OnbZiL6DfqqhH2PXdJ
0kxAFW7HQN39+89/bmHhZLI/D5iTa14Lxo+cGWa991iWm9nNmiuDGAVFBUYG7eXFdSWEAyOLe657
JvTCRB5814xil9auq/IaG50heZDSG0Gs9pn/Mc1OmVdt+MRa3IXiRnMIGVKEcuZfeHZkx3jqmPLC
B1NxcBTs0R9r1R2TBd0s1N1Ji7/8wb6e2Vu6fGI1VpNiT0jNW7jrjtIWD0I+brwb1qg0UPcUFZYy
mkP0vC7XVfoM0kwHHg5tV7iV8WD1TF0tjxTVUALsEFIMTDvl/aZkrjAgT/653Zo9MK9kebjPf8HC
R8OIKZ/ZyC8ws+e20vZTajlmtKXJu+pBZ+tc+GkeM4bWaLCia/vQsE1x417eWsXi7leKqQJmMO9j
dYL9zx3ZC9mGD66vAUwashkaRY6FD3Yy80+ZBM5Oecr3wNcZ6FxIk/snjvfbyMLxIlQZMm8m5lIQ
Ckv5aGo/Gi/bcLv13fptZBFhY63OlH6ac9ywuPF80y0G6WYTcb5q5Q0lhjwjegjzE+3szJpdGeWm
SO6X6yWqHy0SenWHuOUkCOn++q6thgdI9fPgDuDr5uIYFRLDDP0IU4Gk74y/hJERlPmN1vtM7/yT
vQNwhTPP4/mWkr5JkGuUtaa5Ry06mf9thp3X6UbRe+1+mlFd/zOyOJSK2mhcXmR+lhzqtjT1TJvr
R2OvqGmGNpiyhchd3T9tHlNI+WZmCFx+qtAwK8aBibi2LkgUIJvIgUET7AUprtzMUmmZhH26cQmv
EZcVmNL/WF1cK2qQFlNT0X6a6uoo15OjS+JhlJC2yrPd1Fm3xti58ovaWfshtH7CDjkZmn+vRx+m
ODoqwtOMVpoVZa4706rfwoGl3wD+VFrWr4EClPJkmaTdVN9i41CpvmPSMf1vVhaL15K6HrXS4kYT
eevRKbW+6ONWlXzVj8AZvM2mhAa7MNL7mZiS6cb3uWy6qD96ItJr1sio2A2HXd+z/xliaNmlA3mM
tVZHQYjeauVxpx5Fo7EZMvgn0fGf9QBLuTTDI1KM6o71FNbgyr51o6uxm2xKDM/u/u5OPDOzuK3U
OhJm4AvqCJ68pyH7Adq8FYVO2zzMhEE4H39wfSErid4DagVQWRfXV+rFkSjEnPdAPA0fpZQ1/YG7
nVtYXF5F3wflJBK2gv5TML2O3UMbbtWu15wA9sg8MA86Du3ey68j50VsInZNMppFN0Gu3sCzjrRg
wwfWPg7YTNjPJO6zuMOlFUEwar+No/g+rEcbHepdDAKAboYkZI5QTgyt3vg4a8FRm6dYzlxcQ1Pn
ZZ/dYwpsX2Xymhj+TxvaWTt6P/0pNByz7EynsBgtIHvSn0RkcF3MI5npOGiVXxr1hsQyuz6N71X1
ryJjEnZ5EJ61wAmr4nA9EK3u55mlhWdofVYNmV/F917X72cOauDtK7NDvoKYZ5W9fyMqW964bpPn
F0w0CPpLEZyu7OVcmfr4nlnuvU1jNj8UjZLcTlbMTKp4EHc83ndhHOkbVfTVWgeyNf9YXkTEMfeG
IkNe9H5kuDskXR9E8fjQMty6lxzQYYEtM8mpir6D7N6479aOB8nJXMNEGAri+uUnzRKosXKuxUw5
iL8O2TjeMur8r3DU/Y1gvLpIeHcWQiuMJAYLeWlpLAMzT0IyVaUvdrlHyh04XZzvte+MgL/riue0
t9za/HndkdbOyZnVpYSEPHpml6qkrrn0EDR3WSGANP40+EeAmhtbuXavnZta3ANpLyOGOXcRUiAj
NZC2snqoQ5+m4Jfra3obdrq8Cs4tLa4CgTWJ8YzOqnI7C5NdGQIwGtJXAG6xR4XK6PaxmNjqSB/S
6/9q00M0HPP+Zcq7U791VOej+O7HgKNB9gB9FWAPl9+1NfzUCHJKt3pVuMy3GtJif329az7KpJF/
LCw2NqQ1hpgMFtAcddvY2LGxmw+Ddf+EB0ibkFzzHYlJ9AxyynAghw60QwIjPRchE5Fzep7bT4w0
VwbZbtr2Tki2KNurTnpmenEIzUoKc2/ipVAle4n47Q+2lVaIxzdOr29K88wf5P0H+73QxV1lGqlG
Kk9eHVhfwK86uh/umzpmdqEsHmr10A8IWlriYxMJG/f9qqtAtqRzqohguxd3seRFhuxrM7TLfzG9
X76/cTBWT+DZv78IMUXIVJq4AhHH/Juiqh6N7KAF+Q516I2FrBuaR1mC9qTzvrgIozG2hmSk4q7K
+W5IJgbWSYcp2wvg8a/7/qprkIGhGDWrxS3xHpoakVnO6LsmFZ25kcv07V1Ym7tS0dxqiwKyetLO
rC0cMVDqmAYlGyhYD54J8gMtff3b9RW902OgD2IgtIWuHxc8+JKFF2SdaFZ9MOUnuTHRr25nRtSt
F4Y3sfyQ+pPTNUxsM+kQ6gi0CI9qO9zVqXLXIk17/ZcsL/y5IQPjkf+BqKHmv4hccR00gaqX8wTA
G7mgAOQhwWfF5rGohlkpov0o09+4bvNdl202SssQpRaKl/PcuMtwGU2NNNVyW56q3LzpfIDIT2X6
1fAeLcmpVbh+UXMTjp98Od64npbf9s2wCbuHydFAopfPaXPMQ1mRsvIkqdmvxvB3kdYjxBAlG7u6
ZgeqFACl/29lzB59lpn2sRd3iHkUpzhm8pOagFfTn71E0zfsLE/GvB4CtWqCUAIIu8TlR4kYDaWS
lyfkkncpo1dNJHi1PkRt7LOifbj+2ZaR680YSFGdEXloiS1l4vyw9YRQYOp4A5Loiaw+O/hmY7nX
rawtCbiVRfkBPQmabJdblzco9RtWWJ0KBfEAmXkF0qGM/Ieu/tKL44Y/rJxDPHCebgQHmRFey5Hq
LFmweivKmBF229a2YNnmcWwzO24etUO604tv3nSfhUwtMb5F8AX/7VqhnIocAom3JbfBvONnbiKK
fT6iflKckrmi7H8TFd9RxluU4F0rVDbi9fvPd2lsEdfaOKf6VsTFKWs0O6w0u9/kXL53e2rmDJeZ
W17w55bER6EC+Wd0ZnwaHWufH6U79bZ81W5oYzux49t5Z0vBsTQ2FjZ7xPldzlMFq3OZHq0XaJHy
5S7Gpt4rlYxVSUx2A8Mt4oTHZu3N3dmn6x9sfYG/TS3uvFbQqZkZWnwq3DoKXdP4GCdbNN4tGwun
EKpIqGhPJaesz/Ta7ooweYAnYLo6gweer6/n/WG73LqFT6Rm0qeFaMWn1C9BeN+WCQ5o3olK7jBP
7L/ZWhzsCh3ijHpmfBIZkbHXhufmu5+bTpJuTQB8p0a4dIhF9NWGSS+iFEt6dJNPzkAT0UI83x6V
4FMQVG4hfKKB1CePve+9Ta7f/8FKuVVN1I5oIC15S1bDkGrVYlelHkosY3Wjut+LYwB8xHOb/Mt1
a3NCt3R/HmryXPOeSy+LVAKp/EkfxDg5JeUDIz/b4kDprdFuhPjBq59U8ed1c6u7e25vkWAaiZyP
qYa92BZscZe5jx9/FPa0S/dbhN+VPIFy0u+lLZtw8oRwbBUnCTcOozzv0uDX0ABTGREV2vtVYSt1
Y1uMeyqG7t9H5rmSxTzb+QPyHlrElGo0lUlJk1M1CG5o++rJZMhDlf1AhGBjP9fO+7mpxbkI4tJQ
qxxTw/R1ipxJ8sD3dXsvvwtx33g8KIbrT70tyAVSEqUTenu9Huyax+31X/KG+XnnSWeLXpybwFOn
VtNzIs9teep3nUvLoXH7Xfsxewwe5b/9h/5Ds5sSGzmGuLCdbHDoH13/EavefPYbFt5sqnHpKwzB
Pqn+X9wf01+GdxIGp/2c/hCzDRjPlq2FJ3sJ2VlvFsnJ8A9ZUDBz3VaFPbIJ6U/d2GuduLG2dzWL
OTAp1JiYFYq0FACMS68if6MgabTJaRL20x41yEH4nqK/nk430vRRaH8qx256CPXntE3dqdqN7V7f
JDksn77zj2BeKBR6Bblrcp7LH1GLVThGOjucgsVSDsNd+lcKscGzy5/TYPtbnYF3NYU3ezN/E+IB
MkbK4s6sBCFOjSZJT9CkFIlZDdbg21kkhY3jR53Uur1ulI1tdG3+K418IP2wxpIMjT+jfL7uXGvX
nUpWOQ/8kKV3Ult1NAyNWOLgmlrvxfRG5kyPyV2aPw6bs/3WjvW5rcVhKsVI9w0C+UkrnhBVToQP
grXxLn7/duNLznVa5CiteRzi5ZcEQV20bU0ktuLejVKnzH03ME17rN1q+NuMthCYa/Y0YiKNSCaN
4saX9nQAQFPWlcnJmx584ySGr7p+63d3o/6tt26uf6rVawa6MQLpb1Melw/TMAjNfBQFjNXPSDfR
TOwk5EK6wVYyyRYFO/N12graTp5+jFvDPtZWCpyGIhjdBVomC5/NlSoLgy5OTwIz4NM0eJhFIAzf
7tvYEczduIXCWLM3PxbhmZI2IERzubOVryjhIA3pqQpF2B93UiU4nvfRV10Kcg4Ft61ZFmuhz6AI
xTmYC5ZLuUsVWlXZpmrKJV7okd14T69jwH8/+/VniCAbgW9teVD8aN1SLEKcdeGozHqaTNG3UuKe
hz4zNAcf0mTmaCGVjuxTHngbT9W3CsLiKgNAqDDVmlDHvMJFhcFIfEmqaiE7TVP4pHvcYblyGssv
CqIAyueO/ldieg89IClN2Ylj5sj3fvfBT8WHYuqcmqHDU/hDgNf+dcOtVzaeGRXoXsGQ5g29xKNb
fsGEdC/JT2YW3Yaddlc15XfFKn5q2Y3JbKAeh9M8Za/WzGCAHFLxEA1sPyB9ldR871W6I1bTByE6
NFsV2HdUERwenohCM59fh9D9IhNRGASm6IOQnwz9dfDGx0kGOysw4xyMnPAxA1lWPelT7LZdwGSo
G5U54QKkcqFj6jvoESQBrm/WbG/5EWnKAKiA2kOQW/yeKK1UT+j99OSZnqOpbeGoRvYQ9pHsFv6n
67ZWrgb13NYiXFddJurepM65gCu0AJQ1p2Tj68RNGeZ53dbWuubjcvbsT/0wMWvT4GpQgp1SQB76
JIjNPtvisK1dvbg/jVGTvIMLeJHgRNSMkLkmjFW9fMhitbBFFHxDK3bHWHRadJmCRNlPXuAaafz5
+iJX7j9sg8ma570b6DFfLhJY3RilXZie/LZy8tC4jcfqixVtSf29A+rNTouoPToAjBSQiS+XdqS4
o+/s1elJCaOHqh52Ytjft/6n1vie+KiR6vakq27vhTd+3b+o6pfE2iKgzeFr6aczXNWAKqhb1Kwu
fwKjbpVp8jLCm64mjmzmpYsU/+v1/Vy7EFXQWhadQwZsogV/aaVJhjjQKhYaZr/MxL9Ng3SnDfpP
tLiOmpUBlzYczc/utV57MEW3Zgbm9V+w5rZciFyKoHPnGZCXP0BGLVwtkzI95Sg9MY3wNul4Genz
KOFxI36vOQ8+ywg6BnqSqC0uDDlT+Fh9k56CWmQ4TGsJu6S25J3kjVuzS1dNvd0StDAoHy2u3lph
WG8YtLOpDIEwhYywru9DigYbp37d0PwF4awCU1ysiZds2YRGz/dTVNtvvoS94TZb41DXjDC7hi4k
1Fhw54t7TxHAbuUWiYQg9+auM+SffZUjsdzo44Y3zD936fQWRVPK3OD7mJN96Q1emhdi4ZFBIORM
segpD7fGkqxcldp8qhWZowXgbuHwWteZ1lDm2amautw7pkPTSI5HV+5QCGPj3QaCwltZ8Bgn4wqM
vjhwUYlbEt0rG0olmnYFCoTzSODFjyiVaKyCpstOUfwRfNA+b1EsDW6un6w3WtFiM5krwwwNCYAO
mJJFoE4RrTdBt+UorLtfrV1nv3a24Xw4ffm6G+3Yfm7tyN4SEVqrfZ8bXVZXEIVO1SjFaFxXLlK9
ZXAzMC2TAcu7KrptLGfoGHK689SbIkae5igIWxJhK3mhhtIar1CU1iCNLza3yxNUb5U4O8WVqO+N
MPB2VaEOdtrrOwrmxb7SK2M/KcVW4X3t1tBUiVkhChVb5IsWhzENh1wO+OPEzVW8lGLT3+rMfIe8
mTOatzFnj5KiQzGGg62lpe70ltw7oRSlT5kuCU6iZPX+uhOsbcY8vggvI/Lxwy4P1CBESlIYVn4q
hdi8q3LEoGvyoqNclOLRLy1/V/VQVVDwET9et7zm4zpkBRqsBmLpS/yLGIxdmppZcRK0ae8VDC6I
nLEUD9etzNfD0sd5U4HbZMN5PS5Ck2gFE0K2eX5qvV1Zvsjdzdde+7VZDl0zg5CJwSOfM09wutxG
MU+HOhcrtrGI+YoJcyO1QbztJ+Ux7ybNpQixhRhdCVT0kMhy5ucNoWJxehmMPqRZnBenpleOUvYo
kWQ1ifGQK5KrJTfdQbS2IO9rh/fc5hJYnRVKUzQdfdum/2T6D6H4rTM/tgnccqpyifKoRmjGyB+m
UHXT7HPlg+PaqrOv3ABz64wBBrxmeN7NbnWWxlqSB4dw6greVZMjDN/qLeWUtZRHp0AlksNC7H/H
MBUTsY+zsqc5Hd8A5BMtty94NO667rlPEA1ubT/5nMS7/vG6q65kOjDlyQWoWhH7l0K33agDeFF4
PbYJuh+p2rwocas4sRGKdlqYhXvd3Jr/oFHMUBzOHlDTxUYCMM3blLFfJFbtVNp6KBYMLc+DJwmg
Xwfcuox1+bbqohKKrSBu5ForcYeklbyOGeoi+dbCe3MK20YUCjQhrdrW6sCJH6I42VfKzczUIBRv
bO6K2xjzKCOSO65UqDyXbqN4Y8zol4o+ZPtVahs72hphvLIgqquMSobeZcLkWmQmUaKncjdxHCNF
rW78sQjsXBvGD7WSxCcrl303FWT/YJa+sdHiWgmkABiR86CXNf+xuM96Zehrs5qKkyWhr9FZzX3X
jsjD/0Erl1jDUCPU8RgcoiwycTQOW6kfY9r+MMohvNi+srvukmtHD5iEBuSMIEp3enEbdVmc5gAu
y5OfCUeTINNNDQJRrgmDzO/yj4FRM1bQ6Ny+NG2vSfZNWm2wG9cchQF4qjQvkSt68RMg6flWGwLW
QI+VNtrnun29vsgtA4tt7GpzgtKWlKc6uxvEr0O+xQFda2BBVpghPuwjSc7icaoVQqCAIS9PWbKf
ZVZvLc/9P9LOczdupOvWV0SAOfwl2UGhW5JlOegP4bHHzDnz6r+HmoN31BTRhOcAAxgDA95dxapd
O6y9lurm9VHea5Cilra51T9Zef4MQinCKWbXUFlZWMwCuA7C0S/PqdedYcI8Gemdp+5yxR3y/Z9v
H+NxM+kKB4Ws4/Iip1MhmkVel+fcqKRdDl+3w9TcRo9mbT3EJoBlDVg94Si9NKKLsZzXhVqe1aJy
2kl2Rfgv9DqyFa9/IiPeSNLmf24RpJDCM1oCK6+JJ144p6qPwK92eXWuE5pf/nBrQJCk4KHtYGNh
a76CvSNxmsvMH9owFJVFspq4OseRWe5Uq3zo4xY+7XDjkK9tIO+nOKN2yKGWw9xTMrZD3aoVwV2y
74XgLBUHSHNp8xefxK1m5sqNYhSVFGaW3EErYHGj9KIKgIYn9Vn38i+TNTjQg280PdZMEGXNeP85
WdIWz1Wc9mNPjxDsGDNrdmZ40Y5J661Wx8o5YGgbL/4PweQShWR5+L9EAlglV+ZdZ0S2MA03up66
3Rb114qlN75YkhDuEunO5QEX6LcmSpE35xQkoBr+avIvCDTbpfDH3hQsGu87ihszc+YSKiYLaZGp
XZGfdXiMHgZUYF79kvLmdZ/wMZTBCu1N8DgU5T5w9ouhHPXQ5+fnLOju1T7LXLnzJFfxG+vGixof
mmkTPrqhFnZmM1q769Y/7iWulpgUnCgO4wN/wFA1BfNUUn6u+yKjdhtpT6pnJK6XD9TIBmNr4mXF
v8++nfIqSA8qmstAcZAbyQrUojgrvY++xCQ0EgQUkWknkmDcD3UWPUxwHNlmlXqeo9ee/k3vCqmz
s17bQnJ+vOh8XDw+v4iDxGe4PEihnvaB7pHFhdL4RdP1e0X8jiJlC98WlGwb3mslgcYaKvXo7NHF
IEy+tDZjpftKJjSPcdCpW9dF+R0Po/W22iXy05Dn1LYFZDYsNxNC9ZtJ+0u+781eDpw+BrPfKZ1Q
OvkwGVt0I2unYGa3A9aKC6f8fPnTaqtLjbAUizMqgKP/1ERPVehU/Uast7bdzG2BBQPETTa72O6o
8rWoSz1ivbrWj6OfewfNC6VdEkeaK3jhsxCV8obN1ZVRD+UKW2z8MunrRjGL1IhwoqmCvci0Lvww
6a1RRgXqyvWP65fpYxg9F1/p2BN/Eagriy8spQ0U/jLG6nxkLlxzLGjwptEZUTFrY2tHxXvj8V1z
HoTr0O+QeeF4Fx+O4YKeGACnW8fPsvhaSLvAuFV8u4EY7Fekb/n4jy8wC3xnbvEF+7a2xNbDXB81
j0YlHAf9O6ii0L6+j2sHBW0lde7sziwu84P2Lk1WI78ojYx8h78+9Im/r4fxNHTkB3JyZgr7v5jj
vSe9ws9/qKm1CGK1xcjpN2PpEAZgySer/XtSzL/E8WcAf8v11a26wFknba640PtYSsAhLSBWiOIU
5+o+jn+3rsyMmhv/rFvblBzp5eW6ubVvRlN3brPQ1AVgfbmZcdwKdVerBVhP2P1r0PGqb1swg143
s3bRGFkXmY9nII3m46WZwPdKy2hHUo9EdbJaLNxR878Pk/osqFuy4iuoIGjiYY/T5xISrnu+iO8O
iFQbXiDEMsaow8pGdgz6fD/IziTaoeJMGilesZfHL4b1LMaq3WsEb/2DaJzGLbLAtaM66/++gR4A
YS+WnTVDjjyXWZ7Rn5D1cx3e1dVnwz9q4v76/q4+H+8tLaKeWEs8lLOMksqvrRtOu8vt5KfGEGdg
36Bx4LV2WLvT1hzsSkOUrUZ8gFoneRkkpZdbHTZTXBA+lOdJhN2Lom8opDcIoN2InmYnlkQvdHiJ
iuRlKraqEh8kKTlHElhz8hgaeFQ/Fu4GZrFMT6KpPHcA/EgustCtylNTfU+RJcijUyJ90uQfYjGB
xriL88htU+FxbLfyjpVvTGDESYPZlOr68t2Sw6SkR8TOp6PuSvvUkZnzlBR3IxBcuag4cZAEOm/k
jMG43GkjN6Yk8ITy3MrGGakvO5TvkiD9fP0crdzTCysLdwAL1ySHqQ9ddZLc6rqD4qFN7WXXZBsH
dnU5lCHYMFraBDyXy+n9PGRMrKzOZtfuRBNRh0K+aZTh1/X1rJqB1l6HUJnh2mXaIbQo0XsT60kE
xXIriqNOXCbNIaC2sOHiVh7bOQ/4n6n5nLzzOoJYaJ0fM2cRdByA+KRFvhNEwnPYCLkN/YEdl5nD
UO7GG7++QrqTBroVM9HJpdmwM7xK0aLqbBGkJsfwp7eVg66eCfCGdFBgMAP4cGlB83LC7jKYE97I
ZsJiB4/prRpZuzjfCILXLNHHnekBCJOoT19aakuYIsaoqs4+yIow0V0lvkUbZl82f18/Fmt+S2Km
D/ENkire2EVkZNWSLAw+tOxSLrVwx47VXirG6a9Mk5tDNStPFpJ618F6u5+QLWrCXNq4z2tuY4Zv
vgEcgAfNe/HuuET61FZSzy8w4sTV09jOh8++sA8FdV+2/+Gyvbe1OJq6kHpt2nRctkOn/20+GN1f
1/dz7cPN5FzzPCGV6OXzLsB86HnxVJ2z+MVPDmr+CjbTk16uW5mdz2UtiU7e/MioDJqBp1osw0+0
oq8VqTpPzQGCdGTPr//7KwG6BIQXsRn0o9GnWDwoulULehMTpChCkD4ErPN7KuS3YsT/lWaI3EKT
iHaZl1u8hGt3mOIIgTrdUxAAC6/rd7Uw6D2DYEm7K6zvWvBk1o/X17bmnd6bWFytqkvaLNBE4oOE
rkdmgDmnG5uNn1Sr2YniYyLu5PJw3ebaEZ9LceRycC7igi+PeFtTcefvyjM3qNM6t1NfYWybutZR
K3+jGrN6oyGfI4gl3QEOsrhPYueHTDnr1bkq5B9wP0v7zjB9p1LRAWGiSdpLStw4eepnqJcCeEPr
2NpI8NbWO3MyzW0SUtjlPJ+Vdv4Q+VQGm/q2CK17EphnFG0Pki89NFv8DmtnxiBu18F3Y1JfhJYR
zZKqC8PmHEjJjtcmZRrG2yIoXLvX740sXL9fZwBn5aA5N2FmQ800WY9CD+3uf/D7iEvR+uRqg1BZ
mIF6wAq8tiBgtwbxBFcl7PDGbR1ZqhvkSrThedcWBS0FaB5QMDOT1uWx9JqMqY+BMjvHoLSrqGvs
Rqp6N9HKo6c3zYa5lQ9F13Puy73hXZZVfYTA6GUnXn2umoazp5ulQysoBkEXCBum1rIAmvQWM9Az
DxLJ1uXSJMWLraBqm7MRFAWDF78z2Hbs0FcVdxwm69ww2bQ3J0E9wi8ESZmcZg99YGT7IA1McLBF
t/FlVxZPowHFUfA+bPVSuroMzbE2hqjmlQN25puQnbaurhyuO5q1y0+DhunvubJCJrJ8zuWhbIMq
aM/6wSpvPXMXlneNUdNYu8nzfC8bITf/5rrRlWOETaimyNPJvJa8NbVhRAwKJ+05tCeTHvM5yX9s
fM+V3aOuiPYDYSU2ljFC5qUDbgYOpjmkbLVPhaTYUbvFG7+2kPdWFvehTvxSqaYKFo8JissvbePm
0mNPp/z6fq0thvhxhpaSlfOVLs+mPERe0mRhf9bzX31wG0iO0vy8bmJlJZSNadPNp41MaeETK8nL
RXoL/TmdTlH4UgCr9mJ5Z2Xt7rqhD+oP5J6Uw0HfUJqfE7JF1F2P4tAHAuIDbQT8fgyK+6r8SmF8
DFylT5mOZOiGMrViHfNU+lQZd6r1vfOdVv6UtX/BfjDpD3mGyC8ftFKpUzwm2YPeveih7oQ9KLEm
PupR+XT9V69tD7A/2kiWBTRzCYqDzdawJk/qz0YYwXXnlkzr1NpLqIcb53bdEIcWIbG5krsIpMYx
KRLdaPtzXaQHT77rSuWTH+aPo5/EG6bmU7OICYElUL/VEL80pKV3HSZxGOJY6c/jwY9uel07UEWN
oFqqNue9P4aH0LFyDxF2VGloLsMZdB6GQYzgIEDHzPZ5L5q7yA2Dn6X0uxB+X/9U6odlQSABv9j8
qWaiwsVlUToD6GUok4cjujngw4ct8oGP1xGeQ/BVJqVNyqjLw1BNpe7X6VyNTirZpYhm92qYMBPR
b/QXP0aeGIK8zDLoHHAzF0uJ6kkn+IuojyR6Y4tBDfzYPIihzixmOtMrn/uHLk424sGVDaQqNNOJ
0UqZe2eX3sYbjKSeRpJWSS1PSaW/Iia+4QRWKrXAOUgfmTFiF0FUXNoYxNrU45CQsx2myU0myXBy
I33QmyBxrRJmyU4NKzeu6FTJgVm7w5Q6EKBsDQSuLfUNUMsYDE/gkvqwLZLCzEVKKXks7WIh26ne
Rnq38gnpdlPeoqY6SwQtNpPGidcFNSWuoigQoYEkrY07Cl2VdypUqXF9U/3tyWA6xa1JgI/Xm1Ce
xti8MIobS6YaodM06nxGdQ795KjxCurByZ/Ba7F/r6jP1y/dR7cF9g7OFnSQaHdSULn8nrIKIppR
2e48Am68KZRMdWUTVZegacYbQ8nFP/Zd2IP9Y8Y4ErosueHkNsiltIM+a8ybI5ixr4Unt7ZQw46h
jt2tGqv76wv86MEuDS5erSoeU7+Qy+6cWcZRZmYrKF0DdNXECY09+cA02eG6xcWW8tiDgSOhJaGG
wuJDliKpvtIPZp2fykgybGCA2Y3WJ6ajStF0l8D9unEnF17tzR6VYOZjUPPmbZ7vyruqSiD1puaJ
eXEymPBTaZ6GFPhL4/X6qpZgrjczkNYyuzmXfMH6XZox1NpMaBxiJmI2xeDm3EpeC7V6VBTOZPTK
z2ZM4k9d70M+Mo7GnSep0HhmfY/4j5dueNjFJZl/DWAhUJXQ6BL1LEvDVkG/MoQb/SSoY72XpvAl
M6LPugb5Cjqv6o3gVf2f7zPPLagAOmLs87JikaU1xJCKUp8UTjDDx0Jw2/RBT5gzBRtHaInlf1se
LyBVYo1ZR7Kby81W8xRK8kluTkIgxcZ+1CwP7G3LAKsVhwJBfqjHJUDLqvoa5HFn7gSpyFqo1QT/
p6fF2re27oSnuB0rGMbbqfJs3ZwyxYYSJK92VZUwquxnmRjYTBgXG3WXZTPq7dfrXAAkTyFZpOJx
+euZAOR5Ks36VElJ0duxH5VH35hSSGqNWUWw6wX6E362r1u4IWNhEH8AeWxkO2hLYS+UUbbPRKG9
jUKr/qJ6xeR2hVdtfM5lAvX2K+c+Cmh1+hgfKlBxPAVjkBn1yYDXA+KLqHqqBR9wGDxkjm8m5V6o
28TR9MCizaMLtm9CTnb9Vr3dmnexHD9iTpKpZ7xN0ZJaXW5VPnqF4VMMO01ebEpuKnua78rDNA8I
e8ZAnpWH9Rfut9fuA8CG7b4CG9rY2Tj4f/WdpwAw65uSyEzqygczHTWn0rToFlKWzKdfYo4FOeiQ
ZbYZBHr2VzgOXeNkSeaRJ3S+8llDaxsKDpTJpl0ytF4NX9ggfr6+zI8uSgI3hMgPssgzInRR7KjC
adTjfoRgV5byXVbVEmPJpA6dZm2WuedAe7mjvCvEx3hguh+LHW3LOUkVRWwJneF6fiIrTlMjnSZY
HjTJvue9DEYOhFIIxmOltFwEefqeKEypXF/0bGj5Q/AWELhoc21uCbD1cxTxBI3zlRuDtYNQ67On
J/Ex60NKPZEd6lH9Z4/r22GiIM2sK4RQvOULr2HUqlbF6tSc9AmBSwRnc7eZVPTsWt3fcc76A1C4
5ub6MheB0j9GwTmSHOgwQSzrEGHnmwxPSc0p68LqibZhCK1RlrsG1Ks7osH60EqBeghG9ES8Sf9D
VfF/zAPt5x7P86lLZIQIhVLatnxuvdArR9XS/nvmlZIdWOqvOK3TG10VaifuKtmhNruFNlk2ZGfz
tFOI1XgRZzT6Iu3TRNrdpid0J12sw+dErwuSW0RuS3PQD2GZhTtlCMfd0Oat4xO97+umFBzCnE8K
wB+nKeXSzbPe/2p0zVZ3bhH6vP02MnVQqED2ZOqzl75FbAdGs6S+OPk+lQezYYqjUw2H7ESySwp3
TyaNtMcisRTn+pFYue70HudcDhIWAoHFFaSXVHS0BqtTF2XxYFd+zbCnJeitePBULv7GCfwYcDEP
pCBlSsRFc2sZME9GG/QRcyTQd8vlU6Iy86XqNcKKWsF0R1xo4dfr65sjqsXNZswCzzirldAkXMSU
oR8F0RRa1UmQo2kvzAeP2vdWt2x1WXPxiFoLddvl8DNNmx4Yml+f2sHTU6eROqWKHcpWhfAYeslE
pCd4KD1sZJErZmm569hkkgM2mUU4qYcTGMB5cfL4imq2KwD+TgV4fPxmI8VaOZ+EUYgaU7qV55Lp
5fk0CsmqyCbrU9lUbpNojqE3O30EtABeqzDyQ51tsQGsRLEEJVQYaMIwpEbx5NJm0VdZ3LVtd8Iz
WV99Lfk66Em+K5JUcwMtHnfWoCROR9hqx5GQO9TDaIyGqlbYQ+dtUS+uHKRZdhy/xR8zVujy1wxR
Xnh1Bl8/47zqp2Dwp33S1VvV+BUPTWkQbk4JjkeV+e9LK7Dpi2UYyt0pVtOH1vL2sSG6owA70XST
V1CKGcrnXg02IvSVc0TViEllEJ7s9tIxD9KUZUZfdafKb6H9BpAjNemrWAfHUj1ev48r4TKjETNv
GVrBvLVLDsQ0JwuvPa07iVITPiue0OpHBLo7y4kaL3rQozb7FHtmYdmBgp92xaIGN9pUZfpL8dV4
34s5Cls8Yw9+EQ6PFL+/l3EtHYlx65sqFqTHTgm0DS+5tkGznslcSiU8WLZeffBh7VD4/alhKqbX
rA7USfdDGcrCKarkcH2LVu4alU6mEhhHoI289JGF3itplc3v1FB1zlhNhp0kya/Gl1+DrnHrAlCm
2mzFfWtWoYhiHJUCtUbGf3nyolZvjbYI+1Ola891ej+VP7vkEHvEIc1OE4ONqbCVg47PmktubxN/
y6TQ7KNCGJq8P9Wdfhx8A2rRLxm8rEW8s5TskP3yEGC6vq/L9tP8yM4yj/N7RxOWst/lEs2RiR84
wvuTgUqoXaSjedMlerf3eTkOjSp2MEGH+dEPx9hNNfMbcWazk6h12qkVHLTR3JoDXzlW8yOIm5v/
+4Cel3zD86O07k89dZw7+FGbw0hl+oCeqoxm87Q1wbNmD0JXQB3cP97E+Qy8Kz9M7SAJLc/8SVIn
Nwclb3PzfvhK/o1YtPnzOwO6kWiGktwMPFscqBTdLn2KquHU+tH3khKONf0utPHF18sNmPQbEdXi
kaf2BiaVJhQZ/5KAMeIRikQrbE+jLo+f4dN8aevoOxLrhSsiMHjny4nlBpVifGZOJXeSvq4efGGK
d4YYhoFthVqU2mOR/a23+lgys2AVzzUL23tUcO0gQgg+yuPhAHuKvO+pOmzc+GW/hpPJG0eTbp4s
IAtZxg91LiD8U8f9KVKNCMYBoU1uSB3MZ99X9nHXRUc/baqnJDT9Y2BA0CzJoM57PSPTDVNjXwTK
AN2lrrgNXZMDqqnWvrW05pgjKWYXsdTsVUH3bDExPwVpJLiB1ZLnMMnmpHghNy6S27DrQJ92zRYP
xsrXQaKLXgtqKvPo0xLDOzDPhc5q05/KuC1cgEXhc9TV/ueQntuu77sqtQP0AhgtHp1mUvp9ZozD
Th5R8+zaftqh89HaQ901t1Boo0SIg3IqGlwHS/P1QzZqnp2JKALkSinuojZXNw7yx5ef3z8Td88k
G/isOYR+d2sqUY5bT9P6kzcVHuOrQgFLk7FFFvjxbmKFAJJHH7dovTmvd1ZMZsrFOMMXqI3QuFks
Tfe+nPf7xBA71xjaLRGMj/6ecjwAl7lGSDiznA+S9FqpUSQaTnrayU5sGv09BFaTrQZKtzPiPHBR
Vc3PfaJt0TCuWYZtiioKMHLwZYtIKu7gSPYKvFA9FN4hlP2XaIKyte80GKBFebxvGuVQ1MNWPfvj
k0PDBREOgzkyQ2bg+/I76mmrC2ZfTaeuORCBuTAEDU+aXiNYcxgLp95iQZtTp0uvNNuDn+StEKmZ
89+/+6IGTSX048Lp1Bf9QQ5DW5FQU/WfSkl1pmyL3mN1dXRAUDEmROGVu7Q2tvOGa+10gt0B3RSr
BMdhCQo3XbNsaTTOAgBKdyznqpOuTxt3ZOX0UkhnEGnOrikjLtY6UJsBjMje9vJ+HG7QmO+q1z8U
G5m9JEbIshj1hmBqCeNrCiXJsxHGzEpqXmvEmcLktdf/DjpjI1JY+XIYsqAggyAfXMMiUGBwzZB6
sZ5OjPsE1YMYnbX2RYxHB4awjZhkDugXh4QmHYth92d87vz37w5JMHiCLibWePIrchcFvPEuDNwo
dmqKEKrTfG2axK5kgJGau2F6vmdL0/RugYRzauY5wUvTnpd3jexP04lOa+dQpmt6hzfI3HNatDtr
CEpb0EKKc1qQuqMBQVJQdltaD8su5dtHZRQSrCt7QGy9CBMSta2G2uBXZLKrfPU+U/lwdVt2TdsB
oXx9yWvf9b2tRb7s121gliq2kNxy1cSeqOpIt1oSOLwxG192xcuRJlMmorbJfVhSPE7SIA9Droon
6i73NADMnrhO408F0r/mm1xUGxH1x0oOdRV82wzxJqhegquovQ95XI7SKdSSG4Gs4XOaI5NVZMIW
WPPjNmLJJI2jFzlDXhcHRy+Coq57TzrVUNnKT2b5q9NvodSxGUTf2MW1ReGsqRkS1dHKWUSscqVU
hpWE8ikze5SMKjOwNVNQ9m3RCN+vH46Pz7zCGPPbU0ibQVryYjSlVBm+NiqnqMuKHd2e1hkmc2tB
Hx0lODNq6wR886VfToUMRpalYi/Kp7ZTn2W0N8TKskNtcqpkS3Nw/gyX9xtTuBTmtMiygANf3m8y
C10fQ0M+waL2qIiuJN6jPLf3R/EA0cKhomrDtPuflaTeqBvBx5PTzGPB8P5cGp1kK6u7wUAlJnpu
RFdRXqPwNnq5/qkWK1sYIY64NAJwUg8KAWFINHWoJSqwWMn6Lhr+lvz+KCiRnQxbQ6YfCHhmTkod
UBKvKFVaaVkojbwsoFnmIWw7fO61R0GpXKuqbMAHe2WKbKLowQ4qo9hpuWI4QeOkWbkrzAys7Sbj
/eIQ/bN+XkDiUQLSD6giT4ikuKn5LWEa2s0UnvI3zaaGMK7duICLW/HB1PxT3r1PxQgFLtOfyAuJ
waEWK7vezH4W7uQfE5Dv8OJSHOaRvzQxWkXQ6wNakvRrAaIwbZDaJRFKEjKGvzV9t2oM8RQ60VDT
ov52acwy205oCoxVdfBl0G8btdoLfnsQ4huzaLdqmAv39c/SoN5mrpYoEEqQS2twDXYNkNcY9eon
z4idKrtNpq0S/uonspCFYbqBZVmLyA+WsDrWjDC+TxvhVYuM8VE00q16zdqRYzkSpewZvrjkhwmC
sNRiiNnuxSmzo/SEOEFjd36AGFv7Zw/Z26bxjuGzKGyTC82f8N2RqwEBFlGEDqIKasHJXvOv173H
2hF4/+8v3pReSwsh6sv43pBccVIOWRK4ZjLeFggI90m0v25t7QjQWaQ2AfMcq1p8HatMOi1r8VUD
s2ppPtlKZEGCvMUDs2yR/79d+9fO4qhl4ugLsYSMVZLcx3ltB2LjGPXX0g9tyUv3klnZQ/F3HW85
xtWDQayMKj1lNbrjl1+rS5K0aAJ8Udbd1n1NjPg1SH8l0xYsfu2UG//aWXYDqk7IG83HEWXpQxU+
1MHuP3wnivsk4Az5fyBDNmOKcXWImmkpnYq42lnJbWBtIeBXj947I4uj3QEACeWSqxpnrhf/Cqzk
WYp1+vjCbd+IW2Wx1aP3ztrioHspgJ4Wmu/7atxncHsFWg3Aw5G+F/VBz+X7cTIfEvFZnzEUgK0a
1anr8qZg1D+Q3dB/TauntL0xTGeW6Uo+ibndikZjD6X26frer73noGfmviehF3jPyzMUZpKn1xAd
3GcJvcdXWRd2WvNL6A1bEG4oDfnx03WDqzvzzuBiZ8yeQq/exnizCoUWq3AjsC7ZuDFdsPq131lZ
XA0jMEGFiFhp2r8zP9sJ8VG0PmuRC9LGvb6g1dsBGJ9kgyofbJKXO6gEYygMI+6ZNvFPKz529fDz
uoX1LfvXwvwL3nnlyBukxizRa+0LenBVGrmKV9CzgZ7vuqFVh0LQOvOdzdwm8w95ZyhIazOsZVR+
rejVQ+s57m97D2m6jdvxhod+Fx7/4zDf2Zl/xzs7Yh72vibwzKAuPnS9k3V3Q3hn9uWhqLrdmDhe
8lcgv7Rt5ozDnUVv3oj8p6aojwB6ULWvNzZ49bS8+z2LS1CV1KQanQ0eXCOIjr1mPOfAx8qyPfhN
uJWHrH5OElSKNkCqCGsvVw/IwtOFLufKWYldlLdVN9mbAmHzNfqwxaCmqDGA3vow/JsphdVPwxTf
a0b/rQzUJyWs9zmqqbnblvo+MtAEuX54lk3jt6/KuCpjL9THQWstbvYUz3MqHSZ9U3F64dilt175
TTBaRyvv9Dx3VbV1zJqoxdGN79eNr51cwrB5xAeY44fcJ++tMRWSDNuIf0zdjZU3CGW2Tia2/yHL
+tfShwRoxskIlcjXk6byNsiEvVk99Zb2SOZi//+s6UPnE3Hfhm4SlizmCRRrfEh8kI5p64hh/Kez
4nOK9X5VizNpxXEaBkKCoDiaQ73wWpmPQ/bjP6wH/A9YBtoslJMvzz0ynUGeptyypj+oanAHZiNG
ZCmZtgBeb/D65eGHRed/lhYuWUMIxxfljvs8AigOB8vOjR18gEIFE2Ct//L78ZQM1cFK08cxkp3U
yJ6MJH8Er7KTJvFY/wDS+BJH9Cd9CYF14xD334N+Oo5ibdmJOkCI3Uw2GkOkgDCIXt+n9YtEH4KK
CCVQij2XGwUkMUnbkJ+f9dNLpCl2Gx6q8adkBoB1nFqI71pNPWupeRf4zE1IyoZ/Xr1MzK7RrZ2p
YJdoS0BYRS+rBpcJQsWDFJn6TQfU9osyMbFbCcWWJMuaQ5y7EZS0oFNkAulyvdS0hwi0AocvqWtX
FVt932SoXfRFKR839nZRef3HSVFCQx2JugzMCJe2On1UlEjAVu49dkJxmAwzd/KkeEax4lY0xxfT
r3a61+2VdKt2txYoMD3+P9OLU9kEzVCMpRTfJ5KVO4bWGdB+y1v62Kubie4qA48zznAZ0MlTEBHr
obCuFeV8k9vmtK1dv3ZCqBiAJZunqz7whU6eSDxCR/++ypqbychugrg6xigkwW9ibCBk1rZtnpKl
b0X3gWmTyy+Wx0oNqZNAIi/HzwZC2bBUbjE5rW3aexuLEyg3QqYH/bwev3bCAaxJ5m7GpKubNodW
wItgxVlOvJplKqdaYuGVmmGf+K8F4vBB2O6jaOvlWN2yd5YWDmS0+BSaZ2JJ+W0Caha739ev0ep+
vTOwCJiKUvVimJu4seKBcpwdh6KzGcJs7dcinmgDI/KY3+K9EE7wCd+Y1Wns9rL4p4Qz89s3cxRR
vWdal+GNywOm9Yh9oq/AO1s9IQ5oV+PLptz76hd5Z2ORj3i+GY8J1FP3mfDS1aGDM9h4NVZ3y9A1
tCjAMUBvebkK8HBJZaZxcl/G+a6qm0OjPJVxs/P1rSxhieadfSi5DogCqqDMlyzFi1Rd9svManEx
ddjbckBAh/Jc70paZ0l2K/vxXed7ohMkleCqXvNNGb1Tm0TVndbFoZuLQrozwGVWpqD/+cG8+GmL
g2kIwxAh0Ex22VVOP9w2iW735kYKu74B9HmluerHnPXCJQl+l7ZDK0T3ouS7fq4eI/+FYY0SQGbu
falGWx9uBaOzVb9wQp36wl3Ui3Ygb5FsrVzDN4YrMGOwFhAqXH7z0JA60cipMkCpt2+EnRXLjrIl
erplZPFijhkzfLMq/D1qFbRJx10IggsQxsbLvHJ+ERVGYIj5B55ldfHlkmAIiRFS3HxkuC3ommBw
YWvfKenWrq1ZsuQZ7qOiYwyu9nLXvFSrK4hvOCOGsSuFwA3aYi8Zd1q/FcnNv3kRh4J+huKEIVmT
ZS08i68ZCogS8mkq4qErN+qtkXU53KX1d4phudOFhb/7Y898YXLhBqxCh0xSohoxzkxF3vgpUSPX
j/4Qdf3mAmZxHdCycHIqyzAqriQ/m6SRr9VDatZ1QXssu2PQPkDyvQUCWjuA5JQ4GjJmihLz93xX
LfDGHv74CP+sji/NMdE+b/W0VpwzGEACUHrFUKMuB0KkDAocrfGT+4TZHxuiJ80ZrGorP15ZxoWV
xQEXE8RFpCxMiJn2A/M0MW6TsYiN9HTVCl+F2THolmCNvdwsraxKSZqiBI4lyorTp7I6mU35eP2Q
zed2ca5nuMv/jCyWIicBItl+yluTG/1u6uNnsa9AhkeNCQg8T3aN0JpuNEUbGeT64mYIKbE7DMuL
CDoK2nbqLKrsojQATy7rXd70vWu0f54Asb5/7Sw8RCJYTA52bGJWREcr+xIYvW3lg2N0G05vxUFg
iKkFXN88Cr+4rX0FJCJkzvAeiu+jlzY4CfUsJ/KxEyTJHuPg5vqHW91AWPLnfj6VkmWjXbHaKjCq
LLlvUnlPYoz+3u86MTaOx1p9jyE2YPQz2JWIfeH3kiKY5KRmWf2AxF8swSubJCDbxBNzmvbYeufe
/KuPjG9+Awxkug1AAsdRYsefUeIR6uLFzLZWvuL0L37SYqc1K9A86ifJ/VDtOlKiODvO71jXbqFq
Vj/pv2tf0tpLeWeOY1cn9x0TdAg6SXVPuStHwXmfQjp//XuulQqQIgdPDNR3jscX1z2Qa0BKcGrc
56PQfGnTJLopeylwOuadUIxMsyezMBGVVvxuN0Wo9JiS/EPt1eip7DLr2/Vfs3q6dGZUiKdn+vvF
tdFTKcmjidPFTMlnQSx5gBihyGLfvW5nOTk7vz4kg2A53tQXgDpcOjmTkd/JEthjb0qYQEGzGsej
ZQzHF0+V7O3FqGaEqj10quJ4IiLtv1OawPFznDwNwcZhX1v0u9+yHOxTJhgqICdP7qOarA5YAvqh
uzzdCDnXTtV7K4tID14bpOAzvrMYf4U0UlXtDrEE7ftW13wNa/F+a5dAv3xIA2rzJY1MGzHJpjr8
XdTOKNtKYo/P8Ie3nvvb23Dra3fz/eIWbp3pkbRWTNyFWCi7lC5AiqJSmb7Q4NxIklbvC3CHGRSA
24Wt5fLkNJFu+QiAcjvLJ6N26ZnikCZm9KMbuXYD4VkwdrHkRN3zxpFdqTuRMPxreBFFF0rPexr2
7Ovg7YXutm93aNXkw57Bg7khKFLmQ+9546asHs53Vhc7W7RV4gdmi3uIdMRjaxsuxu18aNUK7DcQ
fIMOhbPiclMhixnrbuLMMDbh+rVpW/2L0D9d38HVG0CjGygQYHAAOJdGuroSKqbgkvtWeg2U6sCM
H/kIU372kAhbx2T+xcsAh5kjhoBmuUW6epfG4Dphlk/N0ntTbXeNLEEfNBwZO2v0Z0u88fpu55c7
rXyNtobQ1rYSwVFyOURlZvDipeGQ+N03QmaAgL/2Pq23HoGDLSNrWzlbMAANzICShRGt+j/SvqzH
bZyJ9hcJ0L68Sra8yG23e09ehE6no53aqIX69fewv3tnbLZgIXMHQYA8jEski0Wyqs45SmG2llMc
Gsv83Q3yU1v1/lioTxX6t8Zk6UrKT/uryUSgRvcWlAdRjwL7oXBGsRGZZimNxsACTUCylkDAGOP+
2ypBpOmbqF0ST52zh6HhkAHAG6k24RiyC5qn4zAOgdo55QexksZDyINeO2p7fk+Mdw7v2JYA+Hq3
XVRsqEVbGEdxYYy8HRTAG2Gkcm2GYyMPQ0A7M70vjDh7GDPzNdEnZ0uy7CRr9e+OyupBI2l/iIHV
2wFxpS5477flxVcgtmno3MR2wZv62ocG0rKOSvEYFJ2GfOxPQjjhdr1xqkBGof/2mL/Fbo5LBccR
ntIgAkbH7bWxpjeyKsosLO541Pp0nenGHRpitgkxF1423099nPsKehXQpoZH57c8XU6iOGMWTNE3
fT/cSZ7lJc/Rc3an36dHad88l7/aX+zhr8cHo8jYIseCDPG34x1iNEVj2WPA0O/HhtJz7GytQqSo
WORonJlKPAIA2cLZhM0vvnPZBN6KsqAsGDOAHOt9TmNwDd+R7OX2kPiSCPuRK41xPijgpdD2d71k
VlGaEIzuWKCmr1H9li71XsxtA8CV0X6J0AlOXjF6OiitFVpmswDcDr5kvaQK8biwaFqSg52TVUxw
y68sb1LfBtPe/P3ooK7JL6DI8OBRfz06Te6mvEycMcBjX/UowFtekddLcqoza/WF+0bpg+ckxKsu
HZWkySiaE1rZWJtUhu6JfFe2ABIAPrqwn2fiGSd5BFwANDEa8rvXI1LViUw1hJ+D0qz6Fe3NGkQv
Q7MipVr8SiCUeCixHFtcouT17bn8dhqhix5JcTwsuAAUeoSuLceTlTBWGGNQ5cAmK5S7Y20uPLZn
jXAOH5Cl4XQXE3+yJpVKrsYskLPQbWvDgxFVfb89ktn1Aqc3Xts4jID2uh4JU6gMXcmEBV3+mWXU
VfA4cQbPXpiwmdCLpNiXiAvvQhAzSRA81JuullmQmx+W5BuoioEtX3cSz+6X2ki4IwvbGFuLP7NA
U442Ej6vF2kxQ5NomNBkClBY2BRV9NRPxZ5pf1JZ9VTVU4DENMeFS9jcWoFwCd1BCMG4sArTOA5E
qvEpCMFm6ob6mdjgs0Ob4+3FmptFhFvgAVAkgxqpsIUd9BzFkLFnQYUGmUxaV632mbPq2FVWMORL
ZH0z4ZCXFTkC1EY2WORXKGW9abIGUFWSdM2nXeTA4aMvz/77g8QE1ww4xBHdsWr8ynmxXO2Ym2Wq
GyxI4lZfVcDmnRvN0EBwiGhfKlRdYCKbixpgegYul4MBgKq4tqdRfXBCS5sChRRbuQq0WProG7ex
Mr+tJ781koXbz4w/4i7As3KQHMUohTDVpp1jZVBMDiag1mNlWpMMLVTai9luCnU96itUpxZMzuxq
mATFJ2DOACGLZGu0S1upSGEyrmOfOsUastmk/tTqhbmccUigORQAxgESxaEmbDU2WUhigZclCFul
ckOW6j/B0RX7lRnbGynX85M8hUsc6TMLyMsgaFtGaw5S08IxzUwjaYmlTkEygvS988M8yBTDdSCf
Uo6xW5Dt7V03N5mX9gSHqfAG1w0Ch4E2TAHJqTXdpEtH2dxEXtpQr50S9K92E5b6FPTGzsrPAx3W
jrox87uKLlE5zIQqdEHw+g46wAHuE0IVMQyLlKxgAfqoNlKLruKiXzdDePzrWcMTCtGQt73BmjBr
dKwpYXrFAjYqQBGGzXnkSOg+oNVSbXNmgWwwyINoFn26uHALXlhkWZOQguAMq7yMZs+SXsggtwNe
z4gWbvVzk3dpStjLpcVUrVNgKjceFPBz42QJp4WAOOML6NdDGQ40nrxBUbAB4gdZpunIArMrQS57
0j+6Hv0Qllst5QtnIjxCOwoGCBQQEdEFryswApDWIPSGleZK6DBVp8/bXvAdAoAnIy5nUO/FocX7
H68dW6Kxqoy6gsFE1blM7sNoa9OnSt41AzS069hNrH22xBsyt0oARSH2we8QcIVzEj45QdtUxZFi
SMyVkmmraVniRlF3vj28WUNAyKMbDR74bS+lWqpF4F74cgfwsazSBi/5RSa4+UmEVPXX4xV2hC1r
m0PDTAnrBJUVMO/8ycL3wU9OxOt2vXRkS10yMwGWo5q/Skn8VBbM0QgJOQtUHwE6HFaRjGbVwpUy
a5Oq+4axfaxJ69vTOLOBYZCzRclc8NwWDIJ9FGB7cMgE+migGbcsn5MYDRMheix80Fh+3LYmcq7w
qwwnVAfZFy6iWD3BnKNGsQVB2imoa33Ya9aQuSOqhp6VDcO2AmTKZToUP5ImtoMsGbWtJifgGrdy
swGc1KFBVkxLTHAzWxGld1yC0PYMNR8RlaUqk8RUSnHZ6mIZd1QHVMh11bi3hz7jr7ACDwLxBS8c
C7sR6WMSRXU3BcNePrPfS/jimZsOVNyRhOQEinhO8Mh2cZWjsh3pcglKMSW0Nk0IXNGDnX/kVrYb
QsjAZBHNdtpYPt0e1Ey8BFEcbiAQneZYf2G3Sx1CiWkxTJ05uuDDWvXsoSA4Ctpp1U2/bhube8Nf
WhPLWEPTgfSY9PDVvfVWv4Bik/j2ir3ZnVfu1CVrszOKnA7+IMggkl7PaDjW8OEWM9pYNIBs3BYI
wm0dmk+s+8jzkxE+A9V0p7XgJF7VVQCyEXVID3WBS1/kFcZDIcfyNtGyBT+a27BIXULCFw8tpLm4
N18sdDyZExC18CNNe9DVu3RIXX06psXS8Pnwrp9yIP4E4ALnk4wuWEO9thPZjYYGWEQic3jWnUcL
Nfs6vyubP4ZCX9JE92znFJp7Kfz7NyQMo1zHaRlB+C6S30TF1GWWUWOV2181qLUiXG/t3jONz+Zn
bIAbZgkr932h0cSBCwxOSVAefkOYMNkc86xucMmUyRExEgXYDitYHToVcIthl1YKl1thCw+F7wGB
m+UdJPwigKr09QQPzjQQiyIUmvmrpG2o8zglC+H2+2nC21O+CCXwZv0GnWy6HPiyGCZKsmYsWbFB
c3XnxWET2i9LP/zrPl+w8vFSK8CNSHKBWeV6SB1Y7CVDRziQc1Xdljoqv3jBxD+VKllI0Hwv53+Z
Ak0lkskykpPCTY2ySR9xlExB9UFqsimkbtXp7aGho0vreDX0eFJGBACrOBjbI3h2z8V0MPXcK7uo
R7l/8PRcWVjROUeCw9rYL2jCw3/Xw8+QTFLiAmepUvwA5sRlfoeaqLptowNFovGv78N412KLogud
t72IKdMpqm0zNeUpCEHLI/0BQLFbair8fjJemxAGhPJLE2a6gkkeXvvpl/b37yGAgYDKQQmSS4mJ
0qcUjASk5m9ldKD70PLD1ou7F2lRrnpuH6DSiaCJlCUg8kIsox0g2VmU4E2O7mZz06HPZFc1x3ET
mefbZ9T3AxEjurCkXbvAZFuIpTUsqTFIwpTOd5wEggNawKJ4FToLDrc0LuEs0JE9VFgPa6m0/1Sp
F2mewdaVtLk9qLlIxUkAwUgFvkOUAK8H1TCjMKjN3YCkqzCvVhXKfyMLF0bzvRCOPY2uAdSIcOjy
guq1nRG8s7jDILsgIWSYiTtonZvGjLjgnlkN8W/iNI/KWJ2GLNpoktsmzsLZOnM9vf4CweGxd0mI
6wyOApr6UtweeNR0ImfPMh+vmFymL3lS+Um4UiFjRr1RXmo5nZ1rzgSNkwicj+ILNOxafQAPD0Io
JJzRa1AaB4n+LaKezzNovnCNQBYOZdDreTakPq9oj4yHObyT6QGYp8UE+lzk4CwteNji2AHC5NrE
IBNKcU7glrLqt83zbX/8fgXC91/8uOD2ha6Cz9/Gj1Npn5UPVXw3mcBrrm9bmd3KaElDig13ICQE
roegRihXVkmIu22zDUvPkIKhdNPG6wb/tqG5YwPvV6w5x+uiJffakMysUKEVDKGuA9WA6ZSH2Sc4
BF40dRuG/ZOK171rlQv5wzlHQ5oD2xrxiteLrq2mUt5ng5zJQZW1XsoJkU8E/fH/YWgXRoQ5NOQU
fTRGKgdj77xUEXSex94HNYFX2apnQ+yqsSwf8nILAWsuLuIdxyuX6DnF6K7HljAwO5VDjXjfPJnW
vVl3rqafMLNpivdC83p7kHMzyXkM8ahF0QOUAdfW1LxicFZYc+j4Bh2CQBrbA5g0d7fNzHn9pRlh
UMSJaV3HlRwkZG30XpEGKUE+++W2lTlnRKPAF4oCZ6UYgyMn4/IvjRxE21w5QnHQZH6/DqUV2URL
bGezE8efq1wbG8xRwohYrZv1oOL4MlTkjuNoraSvDo6X2yOanTf0hUPXnBMRiZ0lTkfqFtAIObCT
LQNKq9dOFiptfbaQdZ0bDehqQMKDdBEooYXTqwnBOtq0PS4zCBJ6TFwFE6akv/5+NJdWBGdriFZA
PHCQg+HctZ+K9SaxjfrXuB0cELhZ412PTCgooIVtm6B9s89LWQ6YumdsQ2Uv7DZJtzBhcwEWDoa6
DDB7KILyCb14yUpY/YoxTQZy9EgwBr1rvTHynJ6tlyuT/JOF5ywYd9BehL/BFigWW8moIsE1Sn0w
Tbgy0zFL3ZQ04+Pt1fn65u9m4G04unnbhDBz+Ha5SVnYB3UR1NbbQPywDEh1sNUfkvLS1Ksw3bNP
/R7qpAUJElB95OxgPybSPt6WACZlbujpv7Ru1eYLp8xMJlPB2P/9NGG6Zda2zggUaVC+97t89TBt
mP9DPhg/bk/B3B3qyg7fjxfLmmYOCe0YdiiYCsAAGaWuBk0JZ020HeTUnB9Ddta1bfy8GE++Li63
Zl84STMsvQZllT5oyl0i77RwYxCknl0VrH7ttkhf9cRT3qQY2k6hHxZe8lRK95UPqppGyl3nYTKR
bY0O2XbS16rzSdVNYx7AYhnhfy5d1Y+f04cqcgmtt620JzbA25MbkoWA9UVpcWsY/Hi7mEFwr/aN
1jt90AL3nuyb9NmGVq46PFPFdDNUWizLTZFv6mJ/GryYfZZ3bVH6kfSQpJsMHeRpubPHN6OKd3pg
RG9KfU/IytCJSysdiDiIv2We0bnEfk6lP+0AtRmwSqQLZ/9XBfLWMPhRczEMMx4tp4ZseaCTexQH
x2o1aaZrRltOPjO5vVc+xx+F2+yscDUhXnbEzU5G6ZlYhRpyW14RbxMQlXpZ9MrsVe/saB+vsvSl
lL3aDOgpOY+7aK+udTC8Od0ak+ZiWZq9UjyWfnkvjZ7KTtDKcM5F+pxJx1HeVO7wOL7UCpS2Tv3R
hI656o6A/aHZNTw5xQpsN068MBEzeUvsPHQ2cTpGJHvEZ27FbKkdkXIIwJiFlj9WtGuzqaddUZeR
Z49EDdIyL9xIM085K4anou1SsE6zJaD5F+3L9YqoUL8AqhRVQQ7vEPaHkvd11w/JEExwF/RgeorR
P/XIdyOz6k0NDezP2tLdBo0UZa2sc8dca/LOYT8zkMamg7YeDZchx0JdKU/Am52twTG25cnePM7c
GmrjneTRTWc2W5tn9oGTtYuAtuZWNheur4tjETaJ2pVqXTkQ8cIjAPo01puxlbAtypMWRNl6jGz0
4K7Hcet0q6QA1VaMbDFKk+UuU07pSbNcXdom66TflJkXqqu+/F360Hk1IKlwLjsXx4Vr/PUNDtOP
7jNcdlBswWF0vSHiquwHzSyG4Ke+u9fu/zruXv+6MCGJFuNRmePXQwoRG7nxC7DY2+hbLz1ezZCU
o9NPa8qKH512aKsIj6Z4KXf7BXz/5mFA10AzFw8a3L+vh2inTSoXXTqgo4SdJFm6Bx+YWw7xfZkZ
e5JAsldt0LyMMAa2+ZBBsqv2wjDflKrz0NnTY9yzD+Tv7uLGJi4ENe76OtyiavMQRgUW1UsUbRUB
uyj5zqhsyTSsqeZrdmB1DwNBO7RlepG0sH+/XyAxsegEA4YRctXfmkgqWeuL3CZD0IAW3qnTVQkR
ubBdh6h53F5DkRsd5bFrU4KHVI2i103UDLg7mA9NRADaRc9KaZ7BCvKsGckqJxL6vq2VrLG7fsjf
+qxakQcaf+YtBXt/vu1t2e2096HZa4Xuqca4UYvtwld+v0vhK3mHAS45KIyKmh1h1NtlG09DEOUJ
FO6k3idEaVdFZJorItH0UErhET3jiPmZvu4kaNpTvU9XUssct86J4k2tpGPjdZ1fo6HE10FDcYgj
AvIJ6J1BDhss+6wokGeZTDwZqem3qk4fbg/jqzHsm6/iLo1ues7/bQvnE4APoMVw2iEoQfpoqSB9
hKiHK5XGTp+g/WDsbHszsndd8pz4rnZS33Zcogy+rbBdhZvMkL2r9bRw+HOjwkdxCWIDIG7OqPtN
1RPtsXxqh2CwwwfibGh5ViLd79pii7bUug/iiS7cDGeWEyaBA+WlSVxZhWfYWANv7GQyTGaNN6V7
0Ef+l0FpPDyhoQ1vC+06KlTUGiSao/ud4AIQxxuqHi0199p+k6Pm3O1LttCXzffJt1m8MMiHfHH1
AESSGGUJg8O41hLXBoTA2DBj3S/t2JmzHQo5yClzmgZU5cRe7MaRxiEfMXmKtU3LdIs71p1xjORj
+9G89HnoR8pCkOBx/PvY/rUovADD3A6LKYLFJN22XvmBfvMdiJ1vb45ZI7iycApkVOxF4aEO0jq2
WSpDYEPjoGA/nVDyk+JBi/tdV/yEEsxtc7Nef2FOcBCiF5C9izGmfDfcyaZnn9qdlLpk3y44xkws
BzXlv+MSHIOpOqszBkN9+qyWBW6jvy3pAJKuhT0189qCX1wYEl5bXZubhWUjRmpvxab7DH8UnvZH
B77Tbfe3527eBS9M8TFfOHuuThQYcphK7xsQO7vSuvNBmu43exwg1sJWXppA4YSakHetrBHGmFc8
AMY/nMAisTAgvtrfPPxiQMJNJtVQW7AaPnen+L6nLv3Vv3areC/73Q4Nbd3rgj2+Y27ZEw6CLDaa
tsRdIqA+wAH1c7HRNvIhdqWdgY7iJaqH73miK88Q63akHp1St9iAGsO2747tCF9cahKYO9su3U9s
Xkj6jjqJjP0Lmd8aqpVbErtkWk2BSjz4RezGgbSxfdldWf06/rmwy2aHCJ9DLQeN4AABX3ukNCaE
SCHCL9AI+7xFpB8VlywBCWcyDZjJCzOCLzppUSSShM0cBZO2Kj9puRqRaej9fvCdOPIY6PXTeA1+
K2/hCrQ0QMFDLUlV0pQfmXq2ttNNbGzsaVGfanarIaOMahiIpgCCvp7FqoBSEu1VPBfITt+kBy0o
c9f00lNDXROKwbt8LfeudNabhQvvfEThmDGIAONyLWLGKNhVMvCHwEWRDenVadu9OUa5tkhgZwNY
X4E6qn6AM80b9HAhvnz1nIubkRPYcFFQeI/4Rs0n2lY0NHC81fFZzzet+Wrl/UYnh0k+GRpIZ6Nf
je7qKdiwwGWfJCs9Crp2MzRPjH+c80N2/Ejf/j1JrMX7bdDViJ5D3hsqRIkwKXtQxOYAniQP1fBH
mn6y4WUhEs351b82vjWJpWoSU/TdjEF6MMwtuPX8PIiPpjtuQTd1Nh/dYactHL2zJvllE+xfMtKj
wokoS8SKKgXDYuN7qx7HcqNb59vDmrtMoAn/HxP8Ey4OKEvr1boDAisInyF1s6Wucxz38dJVbO4O
cWlFCDoQf0rw+MhGhLxHy8lcM5U2U46GF3PTyLuWbhfJwETxQv5cw/aApiB8HRkVET+hVkNBwCox
BiDLWEMpbo3ygnWs74y94zXbfj/urfvk1+Sbm+ik7W5P6lx0uLQtRAerILYxTQSYsk2P6gnQeXvz
+baJ78B7Pj6udgVAngpiHcFGgQSQorew0azQb721d8mGbrON5VUb/UHyC99eKAlwZxM3/6VB4R4I
ySt9pBUMDt7oLjEfzc7YxWgET2+1YrBSWmDGigEQ9/qkjL9iqT9iBRf2lKgN/j/HuDAlePzYhCwc
e4xDevTrh+qpXUfv4Fja9a69m7bJvl5le3NX78ZNvlXf0qP1IzyyoL1fuBrO7m201YBWBfSmQOtd
bzw1DXWqZhixAXbvYy4ZLrTm/8ttDfgaNHxBUwSxUTiFbfQjVhpfM8dPnumjvrfXIJzeJofm2O66
3l/wSf5z31zkwpxw9GqpmZUlqYBy/NNunUeKnaf5UMALqu1wP7zFx/z9EfnfhQN/1ncurArBPyNT
npgOd0zQ9Q9rtEt6Rf2UdQtJvAUzX6+Ki0hZyCPpShNmensrNY/9dJr0I1vKzM+lmdCW8c+SfZ3/
F2ZA9A58j1XCTL0tipW9qXZm7bpkBbWNlbJvH3V3AoHivbGuPe3c75W9/f83n+LdhkUlqNW6GvNp
vslQUowVN2tG0NguXCdmd8AXhSsAEGg44RN+MVKgRWWnbOkY1NMGTaSoY7MlQOpszLowIfh/YYGA
N0SCPxidFN2pRwVTueDzPM5+93lORPu/UQg+XyZVnzIboyjOQ+2SH4bq5gSq7Q/omvs0ZaBG0TG/
YFTl9epbRgWXNy2InucU40L2PHK1X9OBvdubZgsWPN+6kz9w4TU/0u1e+4HnhFS5SxQNM+1gOH3+
mVh0mV+vnU67MXPaBh/ATq1r7lvP/K1XbjsgmeMC+f7eVf8lXl5YFFIrrG16Oakwz6CEsKVNkqxb
unDCzYcvuKJiWdhkouZqEUmm3hgIXzYQHeZLET3W9+Aadhdr+LOXeOzifywJ6yeH9dCGLbZY9jLs
wYbrq7tqG26hVrlZzHbMjgqXLwv4WE5iLBw0YTvFstl1CCjq6qT17lS62ttwnF6dyDUP1n74bXZe
+FFCyc4lSzJus+9A0Ob8Y13Y5FEYE12y4Klp4UHEpfzjIOW3iz4z1UWW0X6sf7dksZgz+1C5tCrs
+6Sp1LpHyw/61FHZdKKDrK2gOZ2eRk327LxxbXYmzi7KX2PzlxNDVzbzw2GX0I8sIq8ReU7H/kiZ
tmVLICK+st927sV8COGiBvlWqVd8NZpXXZXAk7SGaLT6QZJzlHvZf3upXk6F4GplAk7uSenhauFa
q1cKTuXa26EMj+MSlR6XbA8V5BmfnN1/CYz/jlTMpSihDj3fECNN611+30BvTmpezcaP+qdG+V3n
P3sFVy77TBd7DebvxhemhVjRSQ6AUimWXz6Hd+a59cDm7lXrYWW79WrcN666EDlmz5kLg/yQuDjK
qGPISTjIYxDZpbKqpRGoxFDSFlI3szeQCyvCDTxRlZyp6YBhpdtGdRW8LZxsry++dOdybhcuIxYK
DVZmWdTxUAvmiJ3a/yjkU6fobhq6WmXysnwpnTTWL5xq3PVvbA2RoAB3Hl1mOYYH3qTMc46hb28Z
devX2445d+0AJhvyKCiqmACWXK9VETZxmtNpDEqWeOa46SvcGpdoYGaNAK4C8B4YrmDp2sgoKSVJ
Ww0vd3XvVIpX07NqLIFjlowIUS4uQadihCqeuNpL1NmubO4oebg9W3OebVwMRIhXaaX3UavChh0+
hukvCUJvtw3MBcRLA8JyDM0AnIQCA+ivspnXQXunWpv1DkCRsQRYbSF/Njse5K4AcEQRHKDF64VJ
q1bplBLmqp3kLVFDzC7IxY8LCzLGRpqVHX4826Ik+CYtvEC+ENviDuFgof/38cJi8GzkONb4ffWu
cM/jaYQ8kVuf03flHD1R7w/+4d9endlQemlSXB7bhpqnpeAFmTyDBwiNeeGeWrXXFcbKbsEQ1X6C
7oywx6pu0CIog1216VwW/Vj4Dj51wtABQ+EDR5LPAdb7et2aMNJpaunYUDlU1L3e0Kp3207ifaqy
PFrruWEyNxlkNJUpuVw8hnGlg70iVZRxl0GYdNsDp5yvJL2WM9CyFfbeMMh4oIbTRWgTq5b6+Oe+
l2NKsVqINd8wUHZq5xIduFu3gAmTrpA+yrrON2rkMI+ERhxYk7YEBpk1yqMNVKUAchILnqM6ygkY
3/Gi6p/V4d1pd3Wl493zu9Ifb6/HjKdzHDnu4zzLD0G56+Xooc2SDzksZaOmr/Q6Nrep2pQeHgbO
gtfPDArcXWBNB+Et3r7iykdaJXW6jK5aaL/IdQY853SAKFco3TGzeLo9rJkjCM2uaCZBqoTDGARv
Z06jh60eovG+l1+ReUWrlXPkkDytPMrptAKRxkL+deZMB8QKkoOcdQKyAsLNoUelCPB2RQaSwYn8
YsqclQ1xu10HCrgW+iab2wOcNccnEgllwGbFt31MbFIOBN3DDigzNRRJJKpvMtn+jKxm6XiaWTjg
kjiWRQOE/RvramIX0FQbciXQyxDkwY0Xj5OXAclu6tNTQ5dKTnNrp4BIDw0jMpCLIp9MXcWWSdHQ
Di6lyU/YlraNs0pSaW1H1r61yFttKp9/P5uc4AUzib5yEIQKu8CKZDksbDnI/miF9qegNeQmPhTV
+PMf7GDJ0HSiAAsv5npp0lhQtO2UgGTPRM88ANWp4rZtvXA4zuxqhA68fEEMrPBuyOvxKGptkIz2
IFos4zfLqfxhMlagP11wwrkCPNDDgNeCs0HDq5R76cV1uWyz1kRDkhKoUjWdDaOgqwKvMF8ZlXFt
O721ZiNtP20nlUCT20e73rCXWB9nvJNLBHMyLOhLfSNX6NRsjBLUCgMb7ak06/3crnw7iu6oo67j
7PftFZx78V+ZEyKLoselDvkKJbBS2atQlKyseqWPvxBCnTzbmDiATD3yRmL6MYRI//6SBeuQFkCL
I3obdeFBNDIlrAn4WINSKV0rxJE3hZvBsdEufVdVm1zWf+dStQCCndmQOK/BdcNxNxDkEYzauta2
mH0lKEj8BEVd8kp6bSfJT6WR+5pZLXSdzi2ogb5GEFjAoCHuf1shcej0aNgFsdOKpGguD6tDUmd+
0UYQVDXChYTU3PBwcQXKl4sMySKLrZpNqlyahRpEsTfJqISiHTCq7/oIzNHNIUUDy20Xmh0fZFQA
CwMRO6qw15uGMtaZJWrOQTl1Lic+dg5GnmwLdGUX6hI518w5AUTOP8bEZLc5DaNdW60adD2wP71S
A9CER22RJPE97Zf0FIW4Y4PQB/hrJBSBLuWoccFTJo3moF4l2rnRqRenJwvZoWF8uT1/wnp9GQGr
CU4i4AX5gl3PHyq3mhXqjXa2h3fLOU9D60bJIQt3IJXqS3l125qwWv/XGi4RCDAgJvrCyF+EOLlt
6t5SR+2cTYnkDmmyVru8XeuJtapQQJ9ov5CCEFbsfwaBn8YfSCminf16eM44NpBKVrQz2urS7tyg
UZ/k+whUgrcHJjyg/q8dRE4kL/nzmU/zxcA0KNzlJcL6uUm1zuOlLVeLlG5z28r8aP61Ijh7lQxG
mvSqdo5RPTXaDSeTHKPahfbzbUNzrgeMJt4W0Ccyvk1b3hZ1mjqadtYl2SvQXJ6UhgvujNtW5ofz
rxXhlhehjxOHHIajG4Y/ZEdASFxTadxFbO/ScAQnl2KALksdhuB9AG08xPWLbS0E2jkPAMMn36ng
N8Cgrj1gYlNiUA0bqUULMfK6SX/K9HyJq29uu+JoRsIaBTtgHgV/Lp1u4N1z+rlzHu3oZMhl/+CA
nL9S+8dI0sBDpI7j7vYyzW1aoOhxz0L6HyeIMDKtrrq0B/ruTJpmbTefofQwoZgB5NgKEkT+bWNz
PnFpjH/MxUayw7HN00qCT6h3VfJDr3Zx44XGAhnH3JBsSPtZaAdHcBUlhaQe5ElmmehnEOC8GON6
AqJEPYD4Y0vVJb6qOVscW4cnusU10oQl0/I6gcjVoJ/jp6T/aeIEjLTfBe3XabUwdzMuCNfjhN0o
auOxy7fBxdypesR0e0zNcxROzQ5NvkCX5FACv71CM+PhUQ6vL7QWIdQJu7ZpbKXpQFZ9jkingufG
OPdK46EGDPI05MKMJHq7bXDGJQCJhhguCCqBRhLBSMakZ2aWFta5wu5bSZD/86zaCIA5ByaMLdEZ
zFpDpRlVIbDQqeIRRbOhLcsW1hg14sJDng+yT6ORj503qpP9CwSWsbZweszsauA8QVWBQ5G3IApx
vesSjekTTimpvtNAiTEB1Ed2KbGPZYjmuahZcJSZeAh9JtC14yUKtKwIMK4LoKOK1tDOIXiCzPK9
iEdvGpeSirMzeWFFOBOJRqe6LhE30I6n9WinxAV7KFFq+w+n1dVwhOlL5TEzUlBHnBV9QiOxUr6b
A1KAVlgvAuPmnN/CUiGLhBiPAt71Fqu1IS67NAJnLx03+nSWWHJfRz1gAjkUBo6OBgBf6dbQxWns
PmDGSRtWUuTF8XYqwPZX19rC/ZeP7SIDyC8eqgXRCPAyocUP3M/XH0TUopHDKtTOk4M3WviH5aqX
HEEZM4Xnqi2g6zJE27/fj3hQ4FWBFB5QKMK6jnWpZmZRGecc9DcWhCT77LFgnzFKlrcNzbgpoPuc
ghxXDfRzCWNrCbNkCr2KM5OONrpGwQFpLrzGZnz0yoQQMtOJVShIUPMcT1OysYm5y+SsB+Y5N1xE
m3JhRDMRGmo7NijaLAMZQpGbMeqHOFVtUD6rZRIFDqsKVyNhuRCh5+bti1madzhxwYhrn7AZdL1o
nxnniKa4zYM5oEnAIbz0fJ7ZCxpqIHA67AeES8FMa+ISz6AEcY71dWoBfImO7QmyOp3+LEMW+rYv
zPg5jOF+jVczbj6i04FErwNDcGOc8ZrdlBH1BpC4N78Ie27z2JchrZO9/AeLoEZAgwDICdH7cD2L
UH6Per2ERRapz1ocZ/uu0J7bhlpoDoeCtJUn8a5nkrSawPS6um185kTQIK4MOgOcs6YuC35JWBaF
SVoaZ1P3jfBdW0me3G2Hbp8uYanmdgBAY8jJYykh+S4Ms8Y1KZQlit0saW6h/hy72M3D1suc8+0h
zboLWpqAE8MDEISP1/NpOsOIFGdonAGsWlP5k2rvVvNAQU4zLNVq50whZqAKo2kWBAyEwOG0INZC
iDLP6NG6myJ39ExnYYHEbB0PvFy89R8bwgpR20pzJSPm2e6Znw71c2SCKqD5LEnhVTSGwPi4aaPw
Pk2WQv7ciqGCihQ4T+niGX09kR0Zh6h0JvNcmNAkmTRrpQ6hZ1DnZCvJn9uLJla6voZ5aUxwDxol
zURSZp5NNSyTDSopsryGAHN1sHrF+VCmwQRlZGLeO1m/7wGKupPaLvvJesn2Y8VGUiaEj0dem6nO
6+1vm50H3QCPp4O/cb2+noc0HhTkY3LzHNblB6M/1QgEAVHxswgXtXr5TwmnLBIwoLkFSx4nwxZ8
Nw3r+n/HBATiXLBnSsoqJNaWUsmbFDcm9f8h7Uub5NSVbX8RESDmr0DNPRW2221/IdoTMwgxCPj1
b6nvu89VKqII73finL1PhCOcJZFKpTJXruX1dfu7G8st0d7vr3LpyoCMKSrc6CqBqlBapZFWkwVS
J+uM2fVdwVeuiqU9vPzbpWTejExFswr87eCcAG9K7hfzrvhyfwXiJMibh3qnquEkgkbWkl7fnTO3
kwMW3bNTP8UY4B7J8b+8vrE1OOx4niJa3sxgmEVXVGptn6PyVGMt0Gu/v4iljQJbEsjHBJMpLtVr
Z0unMba1prHPLBFcRlO8h8DGKsHM0lbhpnHgzyZG/mzx5xcvuMmK6rydRguFql2Cwa5P66rLIjrI
X+PShOTKE4QMnHGACVWJd7YDFJKbbiIHnBXZhjSxz0b1kDLug0P038s9oGkSz2AIj+EQSfkCLyIU
LkTcqqMNy9xAa20PYr6kH1Zi89LleWFILtO6xaDkQ08QszDzXA3gjHhQNBTkFOappea5+kqRcfGr
QSACpWGEByiWXH+1XmeTo1HXOlNqekDvbmMnAjh4jfV5xYzcx9a6WefZDDMJs53nstX4HgJdP6HT
vZJrLYUcsD4ChI9nFSi1pJCjQLuwQfHZPnd27JVd5nO2xu2zdJwwfgx8MCowkJKR4s40Y2KSzTFi
gkJ9wluoGJ1Lknndqu7PgiW4G44syN3xcWT46kTHBL06xTrb6itHvj2zE6hpoK+5ktov5BxXdiQn
iLpx7ssMKypAD+OEGOPzersMbHKe7H6lXrDgCX9tAWYsZQAu7yNeCYdTO90jGLVyMt8x9v8c8QTp
B14rqBOgEygtaJ6SwVUzXA0IFEZQ6xUFteXMfI1NrceIvYYZX/A68KqBFhaMvEht5BK622lO5BAU
XpruJzBcfqV9ur+gxV27MCAtKItBpBUZMJBq3/LiqdUxYBof7ttY9DYXXW+Uq5C3y7DivOzilk6V
fTa7g2b+ASgjpecW8IX7ZsRPlYI49uqvGSmIG4OuKazHUgorjTYmAx8h+DYGr6q11G/b6b2ve/PQ
WLX7KSnoSriTu7YiJzTwaoaCCxAhmLWS3A/6x0mEOS7nbAIuQYZpXw1g9P6CF6cHIr59knwi5Xtv
hoPRrxwyGWF/Y1oKTaRRmjm1YVqHTU3vjozNOy3JAxtR6mcFtuQ4Gjexbuwrt3huo2IlDVheOwGQ
QiMgjAFa8jrW8xzCUM2QA6ALQqJ+jI/QjTqiCAKamgfMlp6IlZwySsHV5tRhnb/d/+5LZwSXjOBq
xjQMyDCvrTeFkQ81bpszGVqQuxYk91NVXUt3F+5PtAJdQGHgwqhUiFB3kYXMc13UZcOcMzJDb2Tf
wPW05UaYgZeHp1ve/7m/qKU3BhoLIHpDjigGKKSDaWJAShkj1QFvSDCOn3InqGsQOO6pGu0hNBt0
Fgtm57MyjF9o4zE3AbPWWmNlKXzjOQfFS8jdiL29XjNte3hrV7rnx7jbRup+YL6jBMUaHGfJDOis
0JBHSQH4GCkXzgEes+MJJXqFWxvuDntgZTZ9vKGWdYjJSpRYCkaYv8GjHhYt4Hqv12T3DaReuWGd
i5GCBKZCP7JodfNQEmptCTS6Vk7nUoBFDcFGawoIP7QNr+1NkxIrearjYepiuEc1qe6hpg/WtGxN
lmtxZYK9FPVrwNJkXQUHXI+mO2Bl09AB0mSDIoDXmtfED0lqrdyD8ljRR8wxL4xJR97sINrbIqM9
Q64Q9Ap8Kqw9NWuw1imQYQrAzjh4Q2O0gR6n9UYby41JMoyTdORzHdUqWAzqacv1hPg8srUX4EOb
zVg0+hGvomqvTBkG5dM1jo2lSCG2Bp1NkHpYskRIgoatysBWfm7q6QskwA/YrZV7YNkEEisoeiJR
kBtBedJUk4O38jktrN9Ua75P6rQ207V0XgQKQjD+Ctkc6byQOG/HrjOx9yb3i0jbOX1/Gp3IjzUG
Up7k32YJPj41atrikYIGGp57kgcXeZmC2Ms6zyXXHk1dcNxNLt8ZUFb8UYzjcL4f+pb8GM9WoE/h
wwCvSMtz+6m1BhfJaQKaIXMCQq+tvRbkiG61vW9p6WPhvIDoHwtDSic5cakAuMprkQYPdrqdXBxL
y2rWmEIW14OkXgerLJ4O8s1BW0xJWFSkWBXf5aQG/yFo+iheYcXaJM3igi5MiUvs4pJyzDTVRgtt
SACKhyCFiKPnlNba9MVSSEMyCkJwk1hoeUipDhFwixhyWmc3osRTrK71EnseQKwVrT2J1kxJX4jz
YkBXVST1tbXjpeV4fYqptGKcV/LgpdIltMIA80cPC0BseaQkwrxgbhkZHl/VSzb8UewusIpdMW5T
OwffYL5x05d4jSZj0TVQv0e/HXmrLr9eJw08dG4Goyatj2VvvDCnfjES0H1abfgffB3ZhKACEEhh
yTWSJuLTUKBWoxrFk56gJaj+43T1R6DA61gQDQhhV7lj2xWxxdxytM9D0x24y7ZZFL/SRH2AdMSP
+6tZCoEXpuRsu+BO3swOTOVGezSt36n+lfTNVuCvVzV0lj6SEAPBfwXtmcyljTxhQJHGsc+83sSg
OS7Bbbwp1gD5a1YkT581FTPpSDzPGvHoHNIxQP2a1tv7+7ZkBcBOKMjirYwap/jziwCBNWpUKxHx
SF8+pOmRxLo3jY2vAJv1z5bQlELEwyNZvPokS7EzO4om3kMUagw+Hl1vkI/ZOF1Zeo7brD3+F/wB
GSTqg6jiwQPlalPkxvqks8Q9j226q2YXGQi+pj8ptT/m/e9Sj4qVDGgh1JoYRIe36yiBQ2zweicr
oPmafqzds2kVv5u0BDvTqKwpgyw8aQFPRT6IFYHVz5Gcoi2ZWXLeuWfW+6QAxy48A5SVc+PR7zXd
3P9iC7HWxH8EayFYipC7XK+o1JBVOGnvnrVspp6akdhrrfQzNczdfUNLHwuFNAPvCtEul++PyE2a
OdGZe8603211dJmytWCsqIlv61/v21pcFOg+hTFwTMmyyUjJKUY1Jvcc9yFAbpX2mK8RoC+cKfFO
+38mxHIvzlSeJSk0IQbsm2v4aJRsY7Agq3EVpDxZOVRLO4fHkHi/oK6KFPvaFBnTsuENVjPYP4ZM
P9ZfGCaUZzHftNZQW3I94FTQX9bQRrqZcC9YbbkDulnnIYXCpJ80m6fs6HQgXkZH6f43WqofgNX/
ry3pTTblDosnpmIHC788zj+A4HTD9JAO3kYBM9caxdDSB/trDvz417vI46muFVDnn22wm7Qn0jyM
Xy311/1FLe+fYM8FCAX9anJtBOMMSutMhnvm/HubvmrGl9INeNt7bvxMjDwY14QLFn0D/GL/a1AK
SIPJTScmswtEWOw5FljFtLd8fqnVh6FpV4Lf0qmyoNglwh8uko9R/guXrwdVm9Amc9GJP7f881C/
8Kbz72/g0ldCai4OLZg50UG43sDZGqe2BPXmGdxpvladzXoMIuPPqn770lpsjLIgmwVP5k17qcLk
VKe1cPQo6fIAYFIaukwtHytS7f7DijB0gKcG2mXol12vCNqNrJqNCH6nv2KQy6vTELWV5D90XkSA
QA8B7280GKVLgxpdzV2VRWcWBbnp965X2p/vr0SmzBKpHmy4AC0Ipbjbu6LsDMxOqhFGlc1si91t
D47WtT4zqswH83P1oBXZV0IctkEtbfY5qGOPVW1Xu77UlOds0obAmJN5Vya6utGHHNgsXZ0eSQL6
mA4z2Zv7P1hkt1Jt+APIgWIWVMuBYrze+gZMjWNnu9G5m9XHiMUvlfJQRZ+KYdiZaE1N7rf79pYO
owCO/K89KaJFWRLXA/iTz4DYu+CYRpu6jd/jNVGUpVfL5brk3FRVsF+aGUXnxCS/3EiDwlBWBgyV
E0BbwI6v4ekSbbM295ixVhdYOjgAoInmHqqvNwfHmYt8yjG7dU75O/jVPKX74dC1WsdSFAC5M8zg
TYGqipSU2GB31tMui87lZIMWW+H5Tsv1b11jgFBUsdbIxRa+G8aexDQLBE0g/yF+zkVg0zhxoy5B
0DHNkKR/mn4Qp9SCcFmVrbjkwgWB15jAaMAdMV8u3UIunYEKpoVyziF6aNSgnywnXxsepkEMI/tG
HvlzvXarL3wz1DzBfuiKdyCu9uv1RZVTTAW1xTmYgA7zEiX21pxyyQam5YU2GcrWWN61jYYpY6ZM
hnLOONkNGC6JKrJ185Xtu7UioIIoGgvVcshDSdsXaw0G3Ckcg+B8xYnh6RAZJcY/DzBcW7mJpZHm
AskTna2K+5FRB8maPtmtgwsLaPuaGFWH2IzkcZEqYIm8is4FqA31t4gngdI9lsPL/YC0vF1/zQjH
v3DsnqtlpKc1zlGlsFPqGvNRi6p9Xblr1MK3R+h6QVKoTcfWSHsI8J1tsPW0QRKYO3c3/uNMJi4g
dJrQhkW9RrcB1pa2rUxbJCADccWIVhk5vqpubSCqMlA35vpKtrOQn4p5a9jSBNQJxaHrzWP62JUa
pfCCblv2z+o0+KbxMPHSV4qtlb8U5HPMlW3h1ivokIV7Vli2BIO8KRCe0mfDy4W21MRm1u0PLfvC
dK+yob5Qbqm1I3o4J9u2AcIudZ6jl4ptVWUD9Qx3fFaT/M2InM+sXJtWuw1b+EXYDFUHPhKDeFIE
gSKQqaeo8WOo63sFIvbU8of6iMtn/EL6xI+D+34r/rrrixvAGBQQMD2GeRGc9OutR3GRdciwI1Ae
ISiyQUmCrKbGSq65cDpEmi7UPPCYh3TltRWuqDHI+lts84RwlW+QEnrN2lThws5hDAV3C3I7E3mZ
tHO1neZcURDw52bcuq1fDK8YZBaJIJ2CafpZ2r/u791CdgB1B9S3AdYFWz9gu9fLgoqS0VUdU852
3Y5s0ygaeAoUjMqAP2Xuxh/WwDLiYd6j/KygMdX7DeC7HabFO/ffgQzCgV0bVzjkzYHAvv4pZjs0
ilOZylkrTTTnm+Z9NIa1gUOZQkxEBTCQ4ELA0xh905uX3TSM7lTrWLBTeISUB8OGYhIyIX1yfLfb
FhWo4B4dPX/GyMK2VzCv9e/gQfwEgeQFrAus+/LTyKxsK0ZjVzlzcszYVyiuOa0P/Y77n3bJYS+t
SNtJ2ZSbkWsrZ4W+tc6LDnVVOq/YuM2ZsRJRCUKCgo6VfCh6pWMai/M4ROkkLXY7m3/J6mD6VP/7
yCOKM4KyRZA/oAgvuekMugI+a2UcZvEO4OEgp4/unPl9/u3fN+3SjnRn2K3Vt51VxGGSAfg2NcdG
zO7Rldti4f67Wo0UstO5aWPTwrZl2YzmyLEe9pFpeVUCKpq1T7To8DZxcbgNgJ4tVfKDZmxorzlt
HM71t0LfgHgz05y9rmgvpnFIaBFk7MUsGm88t6Q59GOzhr/7oKeSAjQGbf7+AunjWRB8pHHbxeFr
anlAIuiexYPy3J9S20tyn6YoHfks8h/8slm5HZd2GreyqA+AWP2GNaAhhRCoG+JQ6O1Nm6z9vxKH
47RyEpZOG/jv8dRBWRRPX+nhPoP7AYQMehwW7JnSjdPvEr7imwtpIEi7/5qQ7jmumKSOZiMORRFR
0Zln6U92kexWx36XbiEwyAB1bAu4kpzLuCCctpOUJWH3MqXHNv09slNHGz+N33v2HKnpGjhIJOKy
g1wYlN851Qw5aKZ2SVhZljfMvxslg4YgFhgJMoSHWks8Air2Imu9+8d9KX6J+VwLpXgU0D+yuouU
V/RdoSwPwzmj29wxkSZ95WgjTwZ6eo9Ov0ZPtvQJL+1JXlJ3Je5Nu01CtwfjynSe88gTTLVrgxwf
05byjiIlQhUJtzr+j/QoaUA1MbYVT0KS783pK21PifWTO7XH7AdAzpAK1/EjgShlFWrz97H61Crb
phx2afMfzsXlD5FWbKeJigEWkoRsOBXx95a8JuOK+ywdPSH1bqHWhAtVVhct3GycE6InIYWfdBHx
VRBRdsNat2rJV9ATc0CXgfkRjAtfpydjT/TMteIUGlyBVn8fafOqlfss7OzuPXc+33fMJUe5NCad
dScxWM47J0H6DpbJ0Tjl2kvCPNJ2m/8/Q/LtUGpAHrV2EqZpHtDpt1ZUvtFqKJyQFUvy/mECDfe3
mDJAwQfaU/LV2uE061HGz021cTN122oBbcDepAfJvHGjlSv25kEmm5Pu2F4DYWg65RzKEgbyO59U
gZb8mO2fsRUSSwuc6deUbs10BQkjXzjADOkqOGMwnIOqJcQCrr2EUDM1zUhXzzNrtoUCwUrD4SEb
ldIHUdGhS9U/9z/gkkG8tlAjEt1ajFZdGyw1xgYrLzUgZyG5Vln7Qn21O9x2ZuoP6Zrs35I1PLZQ
ZEO/CiMd0kckvLYbrlPtPOZp5Zut/SOq1G3EnLd+mM5pbKw9CuS7SMhpikFWgvcAoDYyYMApad1S
jECcZzX37cF8qPT5VVXqI+raflz0L3oTbbrGWamFiM90GT8lszJ4YErBiT3lMIvE4o+LJMVV29f7
H27NhBSiM3Be4JmZoP6bk2NZdFs0PFeOnBwZBfwBQHQU2HGMwAUgfS1G44T2dhqHblxuZ9vd4brY
p+zr/YXcfqJrK8JnLi5Rw3LTISqQm6tjAeXN2q901y+1T0WRQwYYnTr3EY3IT/eNri1NRJsLo6Bt
jMjQwajeY6Y1BhK03riNtnKaxQZduwGWBgwoSBCBmUQr49rKlBszHU1YMarW01nj2y33MU1aZGuw
rDVLkjdE7lQp+VTFIUROUV0Y1Q30WfK1tvrirkFiyBLcSCheS+vhZtWPLYUVEzJKlQtelyZYvY9v
agpwOxQqBboHxxaVf8lKo1DVMUbkwny0AauPFa+1MXxcvLTbKk8+Zp5zTM8F4Iw43/eK2zMFy3Bi
pK2ohoGe7/p7VUUFEZPexfdKSInkJgPta2bY2/tWFnYRVQpkjcg1wD4hV6+tyojbCLdZ6JLqAA4F
r9PiQ24937ey4BFXVsSfX3h4rCQkBwdZEmqOs0mqL9Q6Jh3dKs3KKP/NA1F8Lrzf8UBE6QllJ7Hc
C0OjTjPdKJHY6NF73kPqJXECszrT8U/Dnsr2e69q3mQe+IixDKhllv9KjPJhHwVhoFiwqRhzu7YP
MD2AsHGV4pbUggTSp9X4ZfoEhP5a9r303cQEgLiZwWllSmeMxKXTugleElk076oB0gaDsreNl3//
bhhEFGqpwP7g7Xm9nBHYQadIxjTUzBTMLrZPoudWBf55TcNgyUHQFcDjBWwCmGuWQmBnVczunSkN
TWcHEcIDYkaiQjJ8jFZKn0unCnyiqKKD7gw9cHlFcRPnFfQSwkhPvkOeN/c0Nc6D+9t2k7ChRK8C
PAdXxO7BC6WvA5ICqIVXNA/L/ks5nXsbXPtadyiMrZPXW8A//LnJPDxh1oaCbuYohGU8P9E9hACm
ONHXX4z0k+rEup6Fij15JqQUZ2enWhhKfx6Ved/Y6c6mfp+eDLvdql0TsOKNZWv6JbebDACh0IkA
aAdALpktiqVRRJU0ysP6XIVrxDU3JRgsEYPvqE6gF//hltdLrAxOlcyOizAuMctwcCGOHYVj3z+k
Q7531U0O/F36ZOd05yQ7qN88u8m+puSMiLPiTLeHEBOf6Abj1Y2PbHzoGV5EG2akINcZpjKcip86
/QWcZMNXItqSCXgSYH5AmZron14vNiVQKHCBQQ/ZW9M/a4//jE7DboL/568BKWImSWHW4Ccuw8g0
PaU5UU+bkHA/ZijU3z8Vi0sBsy4m4nCRQnX2eilTFnVlz5sy5P144NHeqqunwlAO963cRhJHbBXS
eeBOAG6Wrk02d6ztDa0Mk8k6GuhvkOIHVEVeyunXfUMLqQEs4YyJygQe0XLBxU6pGk8RwacpWj8F
M2n/1lUgWsmPdd/6GgSQLANJZLSGils6AFeGpdf7HFvOpGQwbNEw4Y031F9S40hHY1eU1M8HJaD4
V+5D4V7HxdNPf5C6WigXuuH9LZCfwcJ3QJ2G5jeoCQSb8fUXBSkVQNyzVYbN0HtxFnsx/1zzg4XQ
Y9iChHrFgxbtfeT/ACcD0istHMzajo2iCM6bNn0xaAce84JWDKXW0TpwXcv8WauKbVYbw/7+SkXY
vE6exTgnAjraS0gxZDh5UQ/KCCYd0AYa/dEq8BKwA0cNUsf4OirjirGlIA4uMBcXoSh5gdzpel+b
wmQQVJ8rnJQSyQpgJ89GRtOgp1GQKZz6ZZd2W7M0ugCTcMquduziAco57KDVZbKPuykPnLEqVoZ9
lrYfzVmcK0QMUDFJoYJj8LGaGoqQ7lYPRmR+Ka3ioBfRYaLRU1M9swzwxfv7vujr4K0FtEg0uNCR
vt4KE7riY59aVWhrT+NbwneDjvA+Njs0fpt4NzSJVw8vln0kWusJkEz+WhzpGiPhwoWGNh6GjwSD
HzBVkqPXDXA5cVTVULfHQNusN85Gg7jVynWyFLqg6w79DTSBcadIWUOnGSXB26kOnR3aQa+FHagr
X3ApBF9akA6Qbk6MzCosJEhBUvIrmc/GiokP55SOCgpHmPvBoAfQ4qbwootLseUd4SjvVOGsuh66
M4byFm0I/2nsHGiWVDQwoj1JVI9XG2Ydi+IdHGn8FIHetvwz1W/VE+gZ5nHDux3Hi8sk215Fl+W+
Wy3sA7ZYwwFDiQtAK2kfOqUHaa+G6Vwrm3ZTJ2QAwDmasLU6682sMiIkutGYZ0XTyBHCl9ebMZdm
r1XGUOFpb5SeTR3wrqs+EOGb3jyqP2j6StEdp6afR4GyCl5YcKgr6+LPLz6FW80zrxLUxVXwVTlP
M39StGOevv+HzRSvHRc1UfSkpaodFAbzCQBHhIVIwUMn9zpoEWTJ2otHlqd0PvZSvMPxQhCDydLx
UCvIuSsJQkE871sK9bb4eUDtv3W9GXArnj0yustmjhds7btOWKVbYBBBg+ZDTNJLnWP2JU2f43Hb
jb5Gew8aDbvKedAidlT4SqtuIV7gZYTqMOhukCHK3KJpx8E9RewqLGrQQJkOZiJ7mq+BgpY+L7Bg
ICRyhV6PDDKg7jiPg2VUYcPf41HdpWBsrmcvcf7c/8C3RTH0xAXNJ6acwIUmz0WrWpE7eVfUYWN/
cgF4Tds/TpT7E4Bo7g9enHlkrZzPhev2yqIU9bOxK7IErY/QAZ9cUwUNdJNp/oc0ZTAo6YqxxUMK
WieguwG8BhBScmAtgUTBbPA6nCY/q6HGTF9r+8Vt24Cxzo9T6zXvD2wwULMwzk26UhtZeiwioxCk
SLhfAJ6XY0QBxB3KMMjlaupVfPTUNHmMnGHb2MoLp9P3qo49ox8+l2MLYfd2Xrl2lpwVpwpVcNCZ
IcWRAnYypdGQACYZVmqkbNuuqb5OraKulBIWrAhGWoC08V7CZSqdXtdKiqxochqOTWtvuDOPhzJj
2krqtOCqqIogecLLXgyxSXvZKlbj2oNBw954K+InaCvvIlXba6m2dant2xxIiOEfQZOIS4DJAdUI
gCmuPJlpjjW1xaCc1IRl3jm+pdW6PwzGGu3owpGAAXgHmHJQrPtQQLqI5cWcVLGitE0IgpTParFJ
42Fvx9xPrd+rSIOF6/HKlnRvUCNzmhrVgdCc0H6cjVPSTkfT5Suef/ux4PRQoxYIIhQKZFCjWZVq
2jYVC1Vj2/ejvjdIY2zZmB2zjD6RlH3vOpVsbSdZG928zWRhGaS3ItUCrl+G4BQ4CBPkyVg4lcc6
wxPJfUIlSMnyQHdDNVqb+LndT2EOCAQxcIvauzgbF9+ODQTIM9tiYWkF7XBS6ieAZlai2MJm4hcD
vIaCBLpZ8tg1g23NLaou1HhzAgDu2Wm/5+kJBJJbtPi+1+lGX01vbs+0Kzwe9Tqg8pHsSZGDM04g
hZB12DJqbieeEV/pAdC8f/0s7B6m8HUxfIgqC0oV17s3WKwqtMLqQ2b/VMxzZdZemb3dt7G0exi9
gQCI4F/GnX1tw+V5k9rU7MNM1wI1VZCo5slxaAv/CIWUPzmNATZakxxaqFYDl+4ags0FBQT879oq
9IasNs+7LjRL/bnuXKAV9YM7xB6aP01iPsxp6uV59tbnSWBFaTBkT1nRrgTmhTqG+BVCBFW0evG6
uf4VJUSis6ivuxDKCIE1bnBRen2xaadvhv6kKapX14PfYCbg/pbLmm3I567tim9ycSqU3Gk4H5su
7P9wJ3AML1dCCtKeOTCfklco3SSbEd0p3XMr3157pizculfWZYWiMp5NXLqwrqbqOxt+cb6LY8Mb
tXaDKD61e5BpgQMnMHDp3l/4bSQXfSQNbIgAGQpB3et1jyhv2tnAYLn6ZZoHwg85RUez9+a23dw3
9VGBvH6MXdsi17ZABprneAHAwwQn045Gz53xWnHQGEAEA8zQU6N49Mc3nT9XbYyKxkPp/kQTkvHN
uOJma6uWntDGhL5+Gw9dSJLhYLpgg4CMvPleEudhMtIVYwtvBbFulMIRlrCf8iMUIgw2SA7LLqRW
QX45OlePqBe5EzR+Vfann3vO/HSKunmTg9yh95woUzXI4bGq3hoD7zdzlJX0penQoopL0/jRVhkt
vHQs7E91WREKYoacm5vZIunZyBhpA1DU58pOUwta7pLa7NXD2FqZfnKUKnlOdV6tMcbLWr4fBwil
GNQCoaSCoox6/XHb3s1HYk74uJ66qXfjPnvW9/Y+OqobaDhCBsLj/c46fap/WDGUhAN7pTa9GL8u
f4DkySnTR2ZWcxd2bzTbGl58JpsyP43jz1ndZ03v2QfWBLm2krDevnvwcXUCWApmEzAsIDs15Vne
J1h3n/aFT60o8npSlfvRjoavdhnF4copEht5c4ouDMq+m1c1c0EzFGZjA6WfZk+Aw7HJIbfroEPV
sRxfS2P2ISd+3/DC/YoWB4YO8E9UWGXyJpxTSG9ppAvTkuh+HufcM4c53t63snC/okCBQITaHlJm
+X5VzI51ql30YVOeuvRbRH4TfSXTWyjj4YFxYUO6Y+wottUYWkahZb6pQ9gUx4Ft+KZuHjgoC9oT
gDDtF8vrT6R9ZM17DAD2/UUuxvvLXyDdNhXhc9zzvEeWfkzi/pG1epCz30mOmehNd3L07sR4/7nL
17galj4i6j9wVzEzD56k61NKk5a4Cmv6UJkd9VOdIX3BZED05f76Fq2gpIBKPJpEqJdeWwFHTdxQ
wvrQNGv1UBDWHExMEq/AExeeyqjqIYEFAQQQmWivXJuJ2JBFNNf7ELN7W+Pd2Vl+7UOi/VX3u6fK
WPF/Ig6WfPAuzUl7l+hD19OU9CFPMXJrpmMO1tix/25wKwlmmvUPlCnzM0YJMbKva9VJtyLUgTSn
90HYk27mOe4C1DTUJ4xvZ+hgl86hGKthqyYz37YK5nANEjWvTe4WT7U6g149TtdGiG4TLAD9BV4d
3QMgA264+Cc8fYw2dYawVGjyS2+KxK84015qHmsPc0sjzGHrBZgNoNUAAh46d0cNbLI/73vIzTHH
r8Az62NUGkx78mur1+2hnbKCAz6uH1LwkrAkPnTdGlvSjSMKM3BD1Oggqod/XXuIkkwAapGe46Sb
xVvsdNYIXheOWYf7y7m5BD7soLwMvmdRnJJisq5UecwnxsMGXeig0Ms/1QBGQKOYoFKV1sF9a4ub
B1K7/7UmVn2Rq5LMMasYCVNouVXku1ahbOYCLO8MhZJ/DccfC0ObSUwZY2RW2sAqb9gYNS0P0XLw
GhIdi3II7HReubyXv9NfM9Il2gD0k+ngzQoTx/yM0fboSAY3WYn7i9sGAgAQCROR7ktRKVV7TtNk
wLZlbFdBwtJq2JE72ub+11n0hb9mZJBW7xq5M2CsNOzI7244cggJD9mnhowrdlaWIwsb2vlMTcXE
p3EwqWyjm5G1vWd1ZCXsiah2FfVQR8IZQjkS6B4MH0pBlro5SfNo5KGaNcm32o7AaJqwaPC4ag0b
AxjxIErJFEBabK2KsLBC0GWhuwcqCsCX5Bd9QaFiYJfFGPZK6zsFHoIW22iYmr7/wZZWCAJVRAqo
W4BZTfyMi+OUaCl2TatHFLM21AhJC4XqYtR8lmBpvQOYeLk2ubPgI4I6H5OcgGsgaZY2ldAWHIJk
HoEa0UuvYT3kPtXsd5rUmM0Yu2l/f4Vr5qSby2G6PmQWH0PO+da159brwB/g0agcAzNyVu7lhcOM
AXc4DKojmNm9gU91hFV6oo5hVZR7Qx12aG79K3wUTnlpQjrKRk84+OLIGFrFV6PlQas85sZ7FK3J
4yx64N+lfFymF65RsR6obKKPYV58hSjJRssb6JBMK4FJ2jCUWgjmZJCRoaQEGL/cAEzwKsxtoyGn
itr5VjUjsGIk3Rzcd4JlK2iYgAVa9MuFk1ysRc3bqLdzRk5oio47klp/rCotVy5CuY7yP2tBZUxY
ADuN7Nljns19h+9zqqE3RT3WZfNLpbLpxWhpu0lqLd9GpbmJqcPgf23+oNQF97IxmzfJCPbmBEzv
R6rOlgfJ5tG/vwVy5v9/f51QSREiHcB3Xu+Bk46YHiCcnJJkxsQO8Uji7nLLPXCtCsriFJngiU77
U8vOqrOrGtuL51dW7hyCupO9ck7EIb+IrB8/BlgtwX0DCXMU+65/jKKoWamg8w59CL9v390y81i9
i6bJs/IVU0vf3gJmABU1TALfVNUS1JfamijaqVXMfp/D1/wiH+mKH39oe8krwpw8cIbwMbQ+pEha
VIyWQx/DxcqC7OuZGHseJcPeHLG9qVOp4Wx0WVA78dc6wnc2E67uuN4fjCj/DBq7/tA7SDrZBPEm
rWuaLQTuIADBB9038Dd7GYswcF8xJXC6gqDGC7bbNtKKjePUSuDqs7UfTEgeVFWjBR1XXk09Lw/J
oEXYVvWt7UdjCyBusrnvVtIF8vEhgfHSMBkBWOoNSWtj1/nAZ4OcGnDP7HtHjU4GpflPI2m/8XJw
9tAQdYKxYPqf/2AYL3GIOQLjcCPTl+SuXnexS06zYm1ZRJ+qpNrSlj3b6rTX4+lYF2uc9UueBPo4
0KkC6AsRAynTVdKejYlR6KcEZVxoeR3HdlrrLsnP448NxcwZBlMA40IPQU4HQRyHQr8OWeNqN7Xb
Zpe8tt/c2Usjj/+yfuRrwoBy7ejGoLQqdHa0nkQwmOmjF5cb7YeSe8W79SlPPf09fon1oI+8NULI
ZbOopWhQjMdy5ezaoLmtMegPn3j0MiRB8Zw/Wg+DsVV7T3sCdcdr/8K6lWtAxnP9z1qB/0DUsUH1
K1P8tpUxjiqm8E5t3/vx/JilQc03pvrVyVDizrza9fT6/5B2ZbuR41j2iwRoX16lUGySt8y0neUX
ITNtaxe1UsvXz6EbPR1iaILInnooFOBCXJG8vLzrOS+ZLLlF9insmts0wcDSBM852sXRUcblCScS
gZJ7jNRAkmxAUGU65vQBjbp4uh2Xp5IAGJzK5uIvttL9aWOp2TexRc4k1tE87zTfK0mJXVPp0WSR
Vm3YtdP325eKe/P/tT+YhwLICdJ5sGNrs5w6EkoyEnKlSm0v30jZDb6q9caBaKMoD7RlONjo1b9E
IeG1FoVOlQrttLEWLJpvpglaNE+OivxhQU5wCkJVFDjyGRNubYB/XAsc89ls1RxrG/T6PDf0bi7l
/Sg19wBL2mct8Wo1ULRiL5mzh2ZOr61+3d7czRWjSMXicdAV8uzeSI5TlF9TLdA7NJz3TfezluWd
ai1vtZkjhFniQ5XmAgd/S+dQrsNGo8KLQjzf1GDK0STFmS0HqXbOJ/sQGbGnz+q9s7z3rzH4PbSd
Nt3FVh2ge2a34EMaazzMqH2Jr9+GeuG+4xGGDwIqax5VJoqdqEqWQgmsstynxo+ok4IGQC6pX9D7
Ge1lai2f5fohNo8tmmqr6DG23+QoFjwdG84HvE7UaHEGAEu7CnqsuCs0fVSCiNzjpGF+In9eIvQx
feROKrI5XADC9A7SbMxFobztALBzrXcgiGvGOlKVwI5b11CmfVnNB7vOX0fTcFFz0qJ6l4KFr1AH
dzICy4p3VRk/TW33mFa9L82ixNDWE8NyACBXgDOMcgUXgdHZTEoiWUrQys3Loj4nOgbGi/K7Q4GW
PwPudULCw4mnU6+9qpWo+3xr91n2C2YQ+SJowno/htw0B2eCP0YlaV/OZ6XL/WosXMyrK6K+aOZG
ck4ZckX/loWE7FqW1pLEBg6NEijdeX7pK3fUXefVDM3+nAqLyBvuAYMowpQY/sX6+NfCMhy9XdS5
Guga6FDo7DkAl03en7L2B0GVbzTjO7OfvRmNaC0GFKKnGQwpt03M1icApJCNF8poTeHbYx1zyHJ9
cHDBkO/bSZWJFJlViOoUfDb4S6VR7UJaEckxuCmc7Vb1KcVwS4qgjUYHJUYPtvFDazvPbIlvacmZ
ANuBRjva5ye5qdxoCpph2dd1/ZnMysGBBSrGFMgP7wSEYNNSnpQ6QQexfAKZr+D6XRtd5kRZQKVE
WwTCAM7qF3oN1si8U4O+HUZEXX4TP6e932knOdqlsfVx+wA2xMEXBZAT8rqYouLn+TUzk5R2QpBV
x9Txxhl4Rq1xbA3ipRQ0pX074wEfRQXIDWcK1hSgxkjzGjh13jNVnKSCqVNUoCE4fmX+LiO0pjs7
x8juBrTJWy/Z8qdo3vXYV1jSJe9FHZD/xxcw/kfMxoDplttnAKI40ijNajClY4aBB3LK6igcZJAg
279L5TORsu/xaJwsqftAzgzvfOXRiR5ub//1fWf7YCMgQRMdoFk42zIlRRUzxJrAfC4Ny090MECX
+wHtMINjHJv8Ca0MtyVuGNO1SM7EVC2JS1oiADKkYdiludbsrWXRvql9Nvr2DNYxPdOr907HEGRb
aIXXl6ntSkMt4kpngta2bv0h3DtDMttMYdTVwJEyaT8VSfM4O0ux11sqP91e9IYBgCygYqBTEdcf
J742daaUdZSgmztoE32f6eioNvX0BTSCFTU8qXtIAU+uuWSa/DoiAGG/LyR3eelNz4weymlvT3/Q
ZTEraPJE2jZ3Qd8iOpbrV3f9hdxuxHGSo5qqqkFMonc9SV0wCQGp0Z8nN4qmc118x1zbPpVfI/tU
liHcv1i5TxFnDaKcOF91grVcfwr33C4tIBgXbGYwoO/xOwhqFdmj2mmkx6LxynrXZoIMIY/e9y+J
aKjH0BtcHCDmrY8H+EsOQGdtNZC1bnTH8cEc3WUM29p2M0M5qfZ7k9VHBZ0KqIFW/b5VfswAaekT
cEA2+zkOhtyzY8FXfbFy8gqKz0Hyl2VhAKWx/qpGrRsi1QifQe9U/FDntPOrmE47eV7u2kiTHhYj
SxkIr/Utox2m/Z1K9uNeeVIiC6hquvmPNfTjzolM22tIUuxSx6bHxOl+4X8KHITNj6Cg+Kn0Vn7u
raJ6Irla3g8odu8m9LR5+lLOJzp0yn9hdBhZFXMl0ZfNJ0rZk29SKn2lQEbqIj84PxHFAWeVTiSP
2Oaj5sQApSSy4rhAm7D//omDX8km7xlV6VUpWLfLXtWAFRWYVN81LeqvpmvXKZhwXWk2XVBjiKoG
fDcTUzC086BNGmeJevqXfbjIp5qWZEUAW9aC0hzA80vl9vtEbbIb0iL5Ayi6OdR0Omdu2uXVEXVw
4HEtWhjnSouOjXRGO3fs/BrrXkFTd1N8OARMk1XRJKHURCK8ig1LgKcfWRvGkYepMe5lyqe4yBqF
agGwFg+NrlI3aQZ1N4CfwVPTSFSZv3bBUFqGdoMPGpAB8LLXWl5NVMmGnuqB1P9U9dQlIvCjjTcO
BgPwjOjixuydw5kTwK+0elyMehABPiIjza5BmUYzn0A+yLBLjkXudq+37T37Se7mAroXqOsWpj0w
6cutiZSEWnWf6cGCEv6x1OTsrhhaoBsmtuLJQ5b59WDW+9tCt+wmnnKUOuBKocWIh4UxYcR6vUiN
oF3IT4Abnhot+RGlznEZhoeGBnEMUu8lPetRLzBVG14c4lS00SJGRMKDTxNNTuU0BrX1wGlV59QD
MNwH/TsQtUHVu09z9La7mH74aKu4FdgSZgO5nWbPKuNDgV+KUHmtPZFlDjbwFY2goI6bkxK6+tLO
gud7Q0XZCA8Qp+AQYzqd85LQyYREFOoYQd4CEy0GLo3rSI1otGtrE9FdiZIL49wAzM56KVMpoaF7
NoxA7mkw6ppnJb+m6JTEiV/PEVK1Qioltjn85iGmRF4NsSU6iLl1UbBnD31tG8EU7+JvrMgCuyO7
4JzvZxQyvfbtsxSlTzeuBjwgjGHaGoaMYGjWq8Sr0A01Kc3ASZ+rci/nhxR4FnNcelU+CWoMW7KQ
ugSINiY3HI2nvVanJh5QRDIDa1APqYmSXKNgwEo6aFXpOsnPv79/X/4dOKKQjAaXxHppg9I1Uq8r
VtBLd4BtNnq/Sg+EgKlVzZ/oYIeOviuJiPvxWm2Ao4odxQQMm6b6SuFePC1tY6eJMUdWUEajH1cK
9aiBeMExQWI4jTtTKzPPaScRzeb1nfjC88atgOpgiIu7eIDwWAjiVTtQ23ze10p2bPNMREi7USFc
S+Fy7bMEtBSiV3YwNMlPLc7dRQFCiZTtIpvstS7agVL1cXzV0OTuJEEXSS5N3mmW+rUIyPVal/Al
sOnwHGQF0xDsGC622ZKaTJKH2A7qRvbL9A4p73oeXNVJUIYUZCWuX+C1LK7YFzldQ028FUGVZI9g
z0IYbvpa8VAXi8jobDwaTBbSq3CIMOppcusqplFvjLa1A4VtqUTTXylYC4HeV+e7IW5zDx2k6jku
TfQ3oOHjzmzy8fX2xdlSpS/AA8hHpZXPjkw5mSM6dnYgJcALlPt+dLVa1w+3pWyuFD0UaGiDuqLh
kNOlbox1eakGO4iz71Ndu0lpuIX2UAJqdZLLQxY1sHz2Lkv/3Ba8dZpI+iCZhnwDqLyYZl1ojmrR
aahj7DBpyua0jNP0ZMTynZVM8p1mjvLp78UBusXGawisMTwoa3G5BPpFmi/214soSQ9j+5YmCF4U
URJl69guBXEWwJk0MjfNbAcU2A0ImTF65d5eikgCd2IgSZyHsYQEWQ9U52VOBCqxZToZGxnyj3iJ
riDSJ/TS61Iv2wEQZtzonT4ND9pyALyTIcqqXfugbC4eeEcYpcLTztdSqjI3ymmQ7MAh/0SVC096
iHfF7HvV5I7G383wItiAE4ZxTPifuoxCM2c+UrvFphWmHZQ5htN1ErUeCE4NgZG69rxAloTiPYAl
UN3FiNNaz2hvDlPbdlZQSc9kkr3ZJl4xC5YiEsIpc52DqVJOeyvI1MTtqOzWyt3/WwivyNpQ2REg
+oKqiD21vseI2g7As7d1eWMlcLUQATJgdcxbct6doyB0V+dEDuY0PgJKMUib3Gv0dndbzIZKI4qC
qUECVwZGKrtSF8amVcfRSDGPH5hpunNi8lDHYa4DLEl/XQpAPneToBtzw7pp8FmBLoE3kWVy1wLn
aikXWGw5qK2DafywPKK1riPK0GztHnhQMN0IrxH9+OwrLpZVyfE0zOUiB/Cd6dFOi10uVdY+mUS1
ni1BaHuxWTADyIyrZz6WZLlXsX/odn9rzcarEueRtqPA8myKQUkV3S8wvFd5VxQ8TcBIQ4yGMdXE
ukuy74Px/PeqgHfnK58FXeC9+6TO5Vp3Ojkom96d231FqU/rD1q9gh1OVJ1mj9g6lADpOqPmBSgF
YzZjC748IARFNuqgchDf99Fd35BdY5pI1p0HQai58SZgegbVQWZ2kE/hNAFkh4ucWb0cSOZvPfoE
TvTtXRP9Pvdad4qa68mI31/me5v8+u9+H34WSwjBbf/yUi42SpuUrDAbCnpSu+lgNIE6kTvt8fYi
ttQL+S1Q4wGrHPUNzjY3Rpm0dabIQU4+Cq3xgDEGZjaBX7N55BdCONscGYqEdh4VK6EpoIPpA/Q4
NpJfmvyG+QCBK7BlZi5XxNlotYvjnPayHPS0O2jqr2oa3NzMd4aI3nXLgMJEgxOJzeEDRHityNqM
XlGKowuAVU/cqHuZlm+Yn9XMfSnKXWyqGqwMXgUkdwHhsBYV9TEC186BrWaoTAuQ5EXNDFu7ZqAj
GlwmbFKXb/vWjVFZEOLLASYKf6m9/k0GmYKWuUWc729r3KYkWGi8PWhOgg1YryWRjMVKUPgMTG1f
6q7RIBwFvpFoAnXrdJh1RjkeGPwoTK3F2DkdkxKeT2AMjjvc94ovIUesUAu8QgmK1QJfeuseoRqO
3k/E1oDu5axaneYJ0ZBCCKwIXHioVOP/8YmI7mKj0+aroRevDVxD9Bdwj3aZoY3IsFJW4W/uqngK
0tyY3ayy971xNp3B7dPYVTAi1ZM4nORiF4moz7f2FVi0AKcBODh8Rs5gRGrspK2SK8Hc964+vBD7
0ckhaj605o4UT7eVRSSNU5bFrE2MDpXoMC0Tt9Vrv4vlEeSlrh3vF2n2m14jAm91y1ghJQMqBZaZ
QSvbWnHkKi9aBQRFQR0ddEDL2SM9qM5H1hYe1afff78+dLMjoIY+oIeIu9hyk+UUgx1yAAwUtCs7
wYAcjB3Pu6xx0YPpGmkhMI+bywPNI0AKMfqAOHO9PDOLNWUiUFQVjcEqECFoBYaP8oisM5xMUdfE
1rVAyy4sJB5ieLPc+dlmtqBU2ClBDT4I86xGd0YmAOPaKBPDnbiQwd30ckmJY+SoU4G2wEW/F66f
7vX2j1FRdrMOMqTqiHoYTf/0IsyLrb1kvh/8GQNjpfwLjRd1UDtMubE03gLwABL/GU3JA1kJ3E2B
2dzaSSBRgNMULjsLDNfnpiRUG+YYskwAqEe58VI1tdd3pUD7t8UYSA4CLJlBH67F4AkCHooyoOhH
nrQB03q5OxYiTNGtJwDKgEolupqREGT7euHZIA/ZSKjDKMEYNx7oH2Npdlv7cZkEMeHGs6njXMCa
imS8hkh3Lacy607SWSwwFfniTijXHVXSiYgSNlbDzARLFiFjpPNZm0VX5olUkxzYQzn5saZ3vrYo
Lo2nXWzXksAibhwQYhskFwGGxUgtOW0nIzG0ZIQvpWffM+tu6b4JWaK2RTCoDBhBlBm4SxshYBqi
AS80AEkc0F6bd9XcUZD+dILzEQni1jLZXV43WGxg1p/A662Tp9kQOOmbIlCJYSipbKCXezAxD6Wo
KVvLvFSuPZ/xfrmViLNpU8+AbsVQUnFBeD0rpVRKkzFRAk2JQPQ4O/oJVdPX20/FppohTEfFAGYA
MFNrZR4x32LkSq0EhT72uzoyck/SjejYL0n3njporb0tb8uuMm8TkNUAEbqeP1g6ZzTIUCmBvDTD
CTx3y043msxDqkdGrkhKfCstDXC3NlB0mmGsQlFrYJeNog6orZWzfLOMzBgoY3iV750UPo+UweUg
mRurd50TvdBqZ0rDN8GSmfPCxaYIHWy0dSDosoFwvt5jFcOHM+A/lWDZt5haPvfaMSncQ/4DLmMv
0MyNxwNY9KyjjGX7YNPXsjC95lBrhCx0frlGfYxmOBhg97Xqeq/rz7dXtuFHsY4CdC8Cah+Dl9zC
aowRT3KHsyRlUFaBZKMl13xbhnpnay+DLbBR29JQ3IJ1V9EbyP5+Yd8VlKybpMXSWrzApQ/wx87T
35t2p4hA9LZUA4/U/0riLHzfZzD+JSRRkBVbv+vybTRGz6wEZ7VlRS7E8E5vMTopMGnhNHX2K7Ca
PDn5BZrv20fEPpXXvUsZnNWNJ2DPglIR+uDaB1IfBsu/7xdveB8LwWq2NA8uJ8D4ANaJS8Udz+LY
Dc3JBFdCq9Wd3S2Vr1tpe4KLOnhVWccPoNgSvZJXy0OPJLxN9M6ilwZlZE7dO2CCWhl6IAJ1WVw1
ik9jTH/2w35ynBPVazdd3sc8ebm9p1fnhjQTM8vwMdAyhyb9tSLKbarTlqpSIJXkQWpOmVx+c4xO
5IFemQ0mBr2wrHOEBZx8yAA4HMnRIykoymanOD/Md/DqNJiTwuhdvB/S5jRVgmTqxsrwFKCQi4El
jNXw8XqVLxhq0OUkzNGCxGjy6OI6o0AlRUK4J2eG8adNriZhKp+S1AeHgGb//OsTWq2D27oIhL9a
aUBEYnbgj/sccYNFxAtXzzMLlC/2ilM9qXEQ1I1zEprnat/+9ZuBX0dTCW4TUs5sWm+tYzQt8PMW
TmKs7pHTd41Xx/qnmPbxdO7JZwwGcJv+vVqzvD3jdEKhGQmotcjG1GtQ0y0J+IrR/ey0QBy2vIkK
zMSVbWULQ16JzZXgw2XOto5xglJQbyYhfGxPknP0fHSuUp5n+nlbB67s0VoQH0bJlW1KHQjhQgCv
IPh9LdMwMg8YPPRkUYfXtUYjE8RAgJB4wpquHt1I0oBkaZRhimvToIJXxG76168FfvhSCHc8tNOR
IFkgREqAU+VAgtTty/KvLyekYBqWubX2NTJuNBsZpZlehov9CwBuXlWcq0RwMtddFWwpF0K4pfQ0
yZEu1MrQitEwVY4+La1dW+c/Z5veORlgrMeoddVB95MZXYhaixHDugnRp+hNbY1hJFH6YusATRb/
6gycB+N+a9VPkp5MtErT0EnC2rBQpjo0opF2gQyelUhfZj1LlCQNJ+etlR2P3eFmEOWpRVK4917P
E4d0LVbSms9GV7tg4BrU1r19tURCOAs+Vt1cp0wIOJZSkM0oc78z0lgQx32hsK18F0YBg1YJ9Pjg
ciE3uD6VTk1TAl7yMuxo4eZ2cpyj2M11wBp79pDfyUPtE4BRABkgVMgr4Fy1ot3TrkS/du7lxQeU
5yh3+klNa3dpx93tTbg2ZIjPUXbGFyJ/rvHn6cjJWKOPi4S13qF12JLy/aCYpZeC3tOftSE93JZ3
/d6s5XEnC1aWWMmthITgRd3pSwe4j/+nBO5Y82JIln7MSTjlsWeaH6koXrj21tZL4J5lKkdzYhhY
AuqZdGjdNoMc6UMxn1pi7pAW9c1J8JCKdo17pQESipCyLkioEWOnGHfUkgW7tnEZVnrA/n4Rljgj
ackQZSQclMO0OMFinI1cBHW9KcRC+AjEX+SeLO5oZiNN4mKqCRAfEYmgcPuT1rAhUdV+/L2Wsfcf
ITouHKrq69XkqUww4NqQsEwA84mZ+VS/x3SYqBlq4/KgHATnBpkgkI7xc8tKhz5uCaPDYQm+Mcuz
f44dZi1FYPJbUuBkAOaAsffZfIjf9YUzpPBqwlzyy1p+AjTzJ9DQ0LMuakbZUDOcDMbmgP6DGgY/
KFuNGESmZkVCZ6lIEJmJunfS7uX22WwoASt3KsghwDlC48v6bECyYtd6qZMwk+PuNIFz/bc0jZnb
I30nMvFbW3cpi1O40c5VpIYhK12e5aY9GcY/E95kvRJBUl63xSFoRMaWpWHgFV5hcfZ0RuaEmrih
lrQv4BF4Sz4c6rb1NK3YURmUqU38UCTmqesfb2/ohj1aieY2FEmlkiFD4FahKu5C99VdAVc0IX5f
vDtZ61pSEQ7pLKp2bW4ucJkxqA5nEfQP64NU8qhT8paQsHMn+6mQ3SQ5WvR0e3Gb2vIfIXyUCoAI
YIlQ3GQZGMFR/TxkIBGuLCqqbG2pPlIlSOtjNBj5fW4T0ScKLpNhhlb2iX7WCJl2c9FM7u3VXHvz
LIUG8BA2GgIaWPb3Cyur2q2R61Fcw3tCXVAqg8ka7pEJ+5NirNV1dFUQfW/uHoZBoI/ghANC0Fqe
Rga9AuQ/Ce2UVH4+L8SXitbeEzkRgZZtbSDwDVkRhuF68bawywfDbLW8Dp0mOnRqh7HXyBjQI3N7
B7dWhLYiGA+0oGJGgle6QSnxBaQOO/txNsH4iUioK6l/W8rGYpA8YK1f6JOCfefOqU8LGyQ/fR3q
8gE4zpDwX/hdSIzAJQQiPCBd+Kcw6TOpSFrahHlaP9qkCEiyfOhq8mFU2l8/7YC7wBANIgOAnqB6
u1aCoSjzSnHSMsyyXxJ5RVSgW0+39+v6VNYiOB+X8boNlGRliGLfRFMXQxZK9XxbxrWZgwzMOyBR
i0ZTqMB6GUsCmorWhIyCNqfIBED6czPe2fE3rTjIwKeRBZrGtmXtt6/lcdsGVGGUzVTIc5CvkO9m
L6+eR/skiygbt/YO3hBY8ZBTRyqG/f3SJuT4Bxn8MqzBZFPFZlCkdzrAGW7v3rUUuEMAvkM+DEgw
ELSWYmckNqVqKsNp0v1p/kb1aidMJl0fEYTYGorZGrwieBFrIU0D49mYCO7HZvHIZLn6iFkD+pkm
k4dhS3LoSCFY1/UjtBbJ2e1+VntroIj0M0PylPHFQpceFGIUpe039w9Io0iVIt2DdoT10tBYlJqT
rELOqPslJqQcIA0Ie2g3VoPOA4Zo+gVTwcOWzzUeody0ylCtC8+KFERlJZIG8nfhUV1bOFjpC0mc
HZ2XUq57A5Kc4TWd7pxRxNV3LQAdWWATgHOAehxaMdcbptqSgoTSHAVNeazybj+nova8681i40is
+RO+F5o/uccNuPaaUnfECaSh9XPpJS4XDHdXZ4bOfvvyXKPZsF4sNC8BuwUDSQj/1ouZF6UGoGMT
oY3ivep3jvyCggcw+yNXnV1pUY9UOmPYWbLn3zUyCXUfxu1J61PfEA3QXOsh8lmAd0bbFmtN5yf1
6swZFo0ugDub7TGsLVr4y4gyQevI5VGwaraBawsIYDmGk4UCMVotHc5mJG2G3te8j1AL6Q+1/dEn
ma/15DhJ6nkqi0ezkpHJ71xa/AZo8TNRM8Hk2cZisemsRuGgSfUK2XAE1FqHKEcKao3uVC1M4+cq
FuWaru08AkQMiMM9wpuPKuD6bCcC/OCxR4a10aO9Y04urGM8O/s5eRu0X7e3dGNBUFQUQlj/gImQ
cS3LNtpGq2mchsBs/F1Yb5XylFfGy20hGzcPBgRPJd5IjHLyIIdNV/Z5Y+RxmE7NsFsAdgbME13U
p7KxbcDzxXuMKiZUg7f1ajE0y4zkNLrt7oDKcq9195n+pJQUpKu/by+IeQ9rPUTUiwo3KNUUTD1q
nHehlsD6TyIJiTqb7sqkOyE5HWndHgzBXlF/NqYguX99SpCHoXp2SrhhPCHKkMBlXhInBcflfNST
JTRqKXAApHF7WfwOsuw00hOY2mbgXPjPtTKk+rRYaT4gyZmWNGg6qUEJqaz2MpHgOwM31MuwG395
pTB6h8QLJgzQ94N/85StZRYXOqLQLOyqs6Q8s5JS/3l7Xbz+QQRmYRl7KUNovCosdlFqVWqe5mFi
YTyHTPH32ChFY9rXm2cg2ADWEBRdRQGTneGF15SOdgbawT4PI7Sw2eitiCzVn+n4hwCxMANF6u01
8SrB1oSGIsCHoVnKwrI4cWAdlQ3guIVWhxQtkOQzzLb8c1sG7z19yQBpoIOcEmMP5PTBGuw0a50p
D8Ec7s01WnLIL3N6BJaBOw0/ytal7dvfS8RkL94SuJ0I3rhM5lKqaVnbeQEUfeVPO6TLI6hzxwcb
hn3XdG12SiJzPkzN2B3yphMhcvHXmq0XrwoQnZC+AGIIt155AkhtK2dFqDvAr8h6+1gPxs/eHnfD
OB205Sx0erZ2GD2CJttjDPpa3IM2tb2egjClCO0FhC2Y+NW8aOz3utxYbiHlmWcUGvHLVo7AMEU7
wX2/8iKwYMTh6E2GGUMuj++elQZpsCejqMJlsOGspk17MJSCejroYnZWN9YHua8bP1fr4ajUgPl2
4ylzTtU0DZpbmdXsg42afiN9VARp2ZJvBQjUBMmkjcuL+XyQosHFZT1hnK2lsQHiG00pQjDd5H4h
6e1bYUitIC9xhdv0tRWMUBIAJuil5CeRACNW2Upjg7X4mdSf2QP6HcnB/AEgxuguV70anAEfmnS8
re4bNoO11aPpEe4Mrhh3iR0N1HmLguOvlc+WfiT3qnQuv2fPt6VsqPVKCueW6oNFStR7ijCvghjO
UQ5GdesH8LAao3BlEcyPyb2N/9rI/6yJu8KG1ltxnWlF2JfG5I1qGwO7xpD9qNAWP+76eHd7dRuG
EL0igP/A1QXoC+9c0DjPGf5PEc4EaI1478+lLnh+t44JywLSE8NNwa+tba1R5EOHG1SEZKhBnipn
zh2CouRcKYX1SNRicetW5GluHRqaVGAM4VYz7Pu1TGSQ0j4voY9D9Dj7YJR1leVP0nxmH7e3b8MC
AV8feR9ELDryV5yc2U4a2WoRhndUwlApGMe+gcyvu6ujqvHnUTJOSLcm9zORfqNrVlQa25TOkGBZ
zAyEEU5ZpBzT6YDFKcNmyvdJMQKPvvnHatCf3fpUar8vXfJW5QKN2dJQONfIPzpIlWEEZL21oz42
6GM1kXmIcpfVPqfkKWq/2/7tnd1STLzQqMXAmQfMJvv7hUNQpUZvjWCwC4v+3AGMRovvalHJf0sz
MTr5VcjFxCGP8zZqxjDOMpORutYRzQugLLBadxTRU36Nqlx6vOxWgzYarWAsLkH39HoxIPPRR6es
q3CuH1OQAFax7AGCO+ueNNmVK+DtkX05oKfgrY16V6ofiLOLJMdvzdgdwWeZRBqarHsLg9HpQzf+
VJIjOF7P9SKKjLd2/fJD2Y5d7PpQ4/Np1lWhBhBdFKzBjb5f8lJwttcqhGAGuE+M3hL5P34YXx6a
eZxz9Imp9Dn/piHmXpTiCGhy0bN0vRwk5xmIJXpcgXbCm4G+GdDNWMtVOJXEVYDZJCm/myFz5YV4
DBPEGNFP1CfPSv7dliXE+Tm6UxeXDsY+kd5vK/SGuwDeFDS44pFEhvgqWKxGDIPNZoR+nHY/VH50
XziHfnlPyzMchH3Sj8dyUYGZDYq56b020qdGa73Z/BzT/e0vuWphwLVdfQlntRazqSUV5Emhae30
2UfH08Pg0z3dF6fk0T7Tk/aNUDenblfsa3K/5C7mL25/w1WBjf8G7lmtNfSDAJsaKebdz9FPvNx3
h5/9vejqfTXJrK/eeq2cjUzbXpLK3oGN9Adf2dOwP+m+8sPZkzPeunP+lJ6XgAb90fIfgR67lw5A
DT7gbh3ih89j+b11MRZ1pAeyq3ygDe8tgTm9fqnwfYh3cBdY/GZydq6Z2qwBEGoVNnne7nNtwf23
rdZTimE4yEam+V1iRn5V9aIj2LiFkMxyJCpiBosPubSlyEw1y6owXyS3rw/N4LWF2/Wn2ye9JQbo
TWiqZ3NfSHiuTUopwS2Qp6YKZaMoEPmANUIndy1Is1JROmZrL01EH6DFQsAKMsG1KAe23HZqWK+p
BVifgWbRgYZaFABJDf04zT9GLjIw7ON57WLeE8PKxawCPw2x2MWMFqqkCgvws8nNXho/LCwse4sw
xB4pGCgvgBIbh4ZyHAUj31czC+wGXcjmMzYYhox6dMVWYbv8cZJDpyCBHf9TND3YhNyGPA3TH0L3
8SCIKIRyOesRgactzwjkOra5t0ZnV3aPJDkpZwd6BLLsZQD+4/xGwA1yW5O2rDkIcVCSZJU8pInX
x5upZKno3OKqSG3mJXmVoRCPnJHSEVGNbUuTUJ5lMChwrcDmvhaV6POIgUm9ClMDML9OkkiHASg5
rhWNy544feZnpjUAjrBqBNfly2XkVepCtMPlFMeyWQr0sVdhbBqeluvPjvnWj3vFyfZU709KD1pF
3V+As/ndmXeIL8fpnKqvU1vcRWZ7mPtHJOqP6qPZIMq8fQBXI7lM5S6/jTt6S081C7gjOHrnrFq7
TjnGCcZUGJbXPp4fHX9CzILnyxG8Fl9Fs+tNYZNtgKEAoQsneDT7xmkqbEr5DYmU0wMw0KMXk3gf
rat4yKy4vVf4qlu7r/+A7cTLdxgz8Wov3cd79t/5Dv6UHwncGKYEVx+F3BGy6awp2uAsW9/2piPl
IwxodRhS4pH5YSn3pKgOidtkjtsuIpi46xuASUF2COhURcqPr5aDy2VSB6C3hVmxGK7VxkHkyLEr
Jc3x9klfG+1LQUjZr/U/a7VO1fMebX3UDqLceo0B59XqttfKgk3UrzaRSWJtygzgFgNwa0mgKBqR
RUGjhjMkv5FdGjxalIngkd1Q3LUUTn+6wRyS3qTo7LIcOIG9p9YfTtN4iOi8mSxuYoAWbQC5geSD
VqFza0MX5OY2jw5Zb4btjsmury+88KwNfVykie2o5TwjUdsqd7L6fPvQro0WFonZY9grDRkE/qVN
G7urInkk4fhk9efGqw13SbzoZ54I7MB13LQWxM70Yi222lSZhX78sHcwFr+T6gM198YPuRVc+005
X/edZbixorWcOdf0Jhtk7Flv4Da9Ktl3pxu8tD3bAMK9vXmbGn8hi53fxZqSqG/sOoasHuhAmj8r
iRc3vjAZcm0zsHUXYthnXIjJhlbSI3tCc5flxaaL0Wn0P8X+uIt7f1L3t9ck2j8umrNjuy3LWSGh
mX7aSYbE5LcC+T/JFALdiJbFPc3zkJdVXaho6xoIprmqu8yaWldVJ1dFtzOt9tGsPMxaLJgMEi2Q
fdbFbnYj+LIKEwtsF/2uiPQjiNh3xnhEjsK1NEHn9/YaYXQti+XYefjaTpli9E8bEDZ9Rum7ofau
UbpQRqVMPetxUkaBSm6v7j8CueOrFrR9zA02VTF+Z5Hb2Y3XnSL9wfx2W022rSPgVf+9Mu70TArX
KgFwXZil4fBiSPaPuffH7G1u6WEZjw78dicfTojTMSIl0NGvMZT1K8puxH+Ec2cIfN5CQQxeh2hd
r9y07nJXMnJk8lu0XbqxOf+0lBnFCvRgWn72P6Rd127cyrL9IgLM4ZVhouJQwfILYVky2U02M5vh
6++iz7nbMy3eIbYvNmAbELaKnaqrq1atlTogs9Qq8hqZJvVNRvOD3Uqg+JTA5L0yLfPV8+XLTDAv
4pWELIIunFUWO1yKeqDt2B05Vp5kudJz+tCFKnOnh7+xNfdsz5JSACQIrs7QWOOQEddDYm+J/k0r
XC0aPDNseq+V31QbMU65/SubDtJ4yE7N7ZGXp8fJcIs0BnxRuxllI4icb7wKVWhAayepf46nz6Fa
uaHmUYgzCpY3gKuROkT7mHANl4rSRJzByU5l/pA4zm2rjMH1US2dUtS/gO2Yc85fuCN6OQOBYW5j
L1u7Fm6gZ8ek671efmBR5ibt90r/dyXYmTgA2r542c5Aa+T2hNPjdNS2mtaC+Gncelr7oTTP0bRy
ROfb52zivtgQDknZJUOfF9JwglYcyAlSD7zZHo9ers+d4HD+YwWU0UDFzDgNUag2l8o0i+pkPEXt
JIcJMic+0st0V5UKC6SaqHdmNPYrgZEQtfzXKIq+IHcDh6AhXLyV03YdEqfDKal1c+bllxj0YpNq
HDcT0eufoADSX4HfLTd9IkXN/vqQxTzUb/MAgMEy6Kvw4hMOeSVNk8QkzGxPyzt72knajQHsc8H3
HG2mvUpPnbFz+n8X2fzXKpKgoNRCYCMm0U2jzifa0/GkdyddyoIu8aXue28e+uTp+gDn7xd3DkxA
hg3cINBqEqaXpEBAJU4ynCwHKRc7qjdRkZouilqyp0X62hNxaTXxQkezGiDkoNwU7iyLpWOfAyd2
GmOtOTlNPxDXoLXJN04yThlq3jb0Acd4BBNPZBbx9BcTiyB7zmmh/d80BA+jZ1Oq5FydTlNZA7ZI
fJs5u6Fln5k0vGkaX5O3/XJkoAODAgyoDUCJgyyXML3IP1SMV7w7JYh1RgMyGSgA1/xdSn7ma8pv
X5ZytoUqN54PBhKFYnpL0aY6ayS7O5mk3+SlCqJH4DB5vFfVlVn8eipgauYEhotGQzmwn5dXQ5H2
3Gq0mqOa1QVmf4vtutWjYdNFH5lVunFXul1CnjpTWol5BPdtg3NZhTvFdTRPKcrql4YtBqXltLeh
ll7G3kDe7eRAEsCCoB/9xiNju6qrsjCpYFQAAhRXBXplTO3SYIaH+lTkRD7VQGdCRypKykd1oHjG
85U7ftkSClpAvwF3Ig7NTkhdpwWVTyp5LVUg7bY0RspCWgPALUwhGnGg4wERkTl1JUxhrJBhSCZH
PqW1dVeqbYAo6QYtrZVVuy2lN+VA3wu2UuRdGty5UfVyGpU4MUgHDMIpbojXJHs5/sD5H7X3f+nN
QAkDeBXuW4wPQELhrqUIFLtqxNiSDxkSnyp9MdXKG7WVW+GLF/vdOjlTlcykA7iZLkdTtnHTK2mj
nMokeVNHHc1MPtOVOz3hN4AzdIkZXB+XmFTFvkeOfMYtIos8xxHCwGKuxLI26PoJp3EzQd8NnYFb
O3O8XM1cClWWwQb9eFeGlZxCHOvnivmvy4eMBHBXmNUZwqbOe+rsIcXrSCoMc7JPbdNBwOcuL9Jt
XqNuzoJCDh3yqxze6PSYbyttR0kamOZ3CW0OK7Mwe5WLuwqZNKQvfhPfzHl84Sw6Y67lUWZGp0yq
kxkhIx17xJKYC2UNN/fVbwM9D9wfSsu4qtAUcjlgYo+ZkplqEjJZd7UbR7qvGlxLpRelzytzO3+1
MCqU5hFfAGiB9jgRI9DjacKssSOh1mTGIY6rb31PlLt0zNWNkUvs1clUcMfIEPVqMnnaV4p536R9
c0jz9qiZkroScH2ZZQMTjPZgJIjQH4WU2uXQjVIjVqnge7h93/CnPu+D1NI2K6P+coRgBXorc11r
hpaIo07R16Mkv0cd++yXdc/992FHfxGvfyugklt6tpsFlu9Qd3hYJW78en/9tg63DnwWWhdEeH+p
KhE05zkJBzt1u+nJYmHSPbY2ARrrV1HWgYpi8LimESQ8b2Z0NdosgaJB6y3qXeL+lVXI7AJIS8K0
igNjBDOfkfsr8zp774vdJNiYv+HspGJUqIEk8+p9Q2iletR3AlK4/Ffpls/WSn5leR7PRiTsFYlk
ucrlloRd0PcBlTzT7/zYUzrfov4a5GNt+oQzqRsS2qI7GJMG6kbaB0mclehC5Hj47wqBQhHAA5Th
f1fGz2ZPixzWxT32BVK8+/QYPzoBPwAQwAPZr2/7nfQEzoA1UMUXXzMvmYagDWUbCCL/1nw/M0qK
1jJTFeOiuIk9MEb5iZXhPm7tU0PS70xdS4t98eaCQWHVsixB/irGHonz2GVOfKDqe21+M0u+sj+W
XAnitJl3CAcdLP6Xm7EhdZaqxkBCougoxplQGskQMXq9La9RtK2ZEva9lWQqiI1gaszCUYIghhO5
eG2sbZDF44WnA1oykOH7En+aLE6HSY1wvOTPuFC2ZtI+Nky7JcMhy8q99qNXq72USXeptcbiK4Io
/7M5z2wLMVQWaTW6nxwS6pY3ZR6x/XIDlqo6eq+k20p1rXQfc4j7unjWXPcqCxsGrNgg9MVbdG6Z
FdYxrg1iKhzHQraKfVqNJ0cfHDdDO4PWtXRljhdWEtC8mdIXDzVgUgVjWdGiaEawkjWEuz28Fk8S
QLRbbmsro1o4d3NVHmKiFmj9cBtd7s68tzN8CNZSuTe6sNIDoiFdG7B/yaEyr9ucHQQ6HjELGgyE
2C0zwPGcgxYxRES+k5znNLujtrKSZfoS1c9G0F8PNwJRAcDkLweDql+ddHVGQzBwT/SGtLUvKSeq
bKF66Q5l62vSShAsZmb/M64zk4IbSbVExTsdJPzFLwDwk8L9lvv226f6oVie6aqOa+6atTYzMRf9
X6NIHKDhAP1ZYkOUkk8IERNGw0nz2K/ijn3Xg3477U2vTPeMe/YKjGJ5Xv/YE3ZjQ40K+GnY493B
eS2zx0QGS5KnVwBnb9cwYGvGhEXM61FqqVaCzTRxoGmK119se9bgW1LInH0/2HharMkmfX1a/N45
f0YoLCM3atplFCOMox7QgadKdofUL7Xey7QhSKPPuN/UyNUY/crtsLqWwoWemZkmDyP2rPKz6Oie
K/ZOeq7iMaTtDYe6Goecps0Tz6F3XbPGNDDPpRAo4cD8GfbsHc5uXR1txTID33846lIeZCWfECdV
eXDdcy5FSHiwwXkasxY9qpSXZmpWjgWnOQ3zG/gIV7W2WbEnqtskQS25/XRcqwot7qEzg4JXY4Ai
gB0fy2l6044mLoRxXbSUjK8f10cmAlH+cxLPDAnXURVBw1FVYIi8jL/K0Dran+wHqKH6ILtXmPsz
c7XD241auNPg5SfFU56vf8Dy9jn7APFoyvpAxxbbpxjd+ATJXe2238ib3q+e2q2191fMzefgy4Y5
MyceTuAzJz7A3OBD8fm7+vmg35eBlnjD9sZ58OmnsWJxbSWFg1kmrcHAP0zDOrrlOqDxYY9UgzJj
aJJT8UTpGvBz6ZqHFuVMwAqlDdS1LveqpPACHSBY0b68GwApyn9l3+tic30el6fxjxHh0FdaTMe4
aGgYVSpEsyfzPVFrxSPjsCaEtRQwzdARa84aAuwvZinzlOYNZNpo2BoUTRmHcRPttZuueTbMQ0x/
VvVufIL+HsjmZe/6IP+Pw/HHtDBKq1FB7AAx09Ae7qPsszGPWus1EGKuYneUj43q19VP86n7QTtP
b15iPXGjnxmI75vq0XBedXtDAWS6/lHLy/vnmwSPx1hfgT8Y0xFTKfKNKu02DKJbPvg6Q2nqg+vW
VqdACHuQI2aksApcZk2yqX9TA2TczZz32OAPbYua+HAwM68sD8OvhCr73t4NyoamEF4Fqph46oSL
9lHT9l22hvdZPll/ZmL++ZnvBykhmFnm1ZHZUT2Y3sD23HWe4wd5jVVidgpfncY/lkS+NQN1P8Ms
5kkwasUdx5r4jZ6vMdX/H67wjxnB6Re6k9hljwE5zrNqBekNr91Uc5lvv9JD8nl9ZUVd5v94fnDY
znl4YAxEJiAp6aQ2bjmuGBbIzh3YmrcFf5olrEZ1UznP2Z7Wz33jHcsPuzmO3SaT9qjQK2/Xv2N5
h/35DvFuNZ106GQdriQ3d8XkGYDNb/XpNjNHnPZ7Zt4BAtCWjasa/gCFjqFo5nIICH5v0uZRinad
9MNkrn5a+ayF1BaaRf6ZHvFdQflUahlAEyHnyZtkb/JmNyZQYb/HY63Jike9qzyoeRzqcpc6P1X6
xrhLlBMS/qNGg7zT0c+xK8dNXvmZQfaZehuzwp9q66j1bmaPENJcK6ssu8qzbxYu8x5dwmmOukao
PxffszB9rG7Zdgj6J/01eUxDaa0OuHgLnNkT7u5sVgyC1DkNqyieNmMDuU69guQemnpW5VCXTju8
PxR9HNwD0D64PO0Zg+yGYuFw5Bog3wXIDlm8l/lJc/xS3rXJhMT5kzZtzNabbO5G7GmEcMzo6sxr
EOxbrcvila27GBaef5Pgi0v0pUplW2G+IazbTG+6hM+ixC+kaaO1P9PMdkv+HTWMzfXNubjQ54YF
r9xr6qRXLc5MEh+LPNTAy6yRe6uCEsB9QTaoTkZoxPVL6wZC39dtL723z00LXrfsK82iE0yXsgTx
WTRVxzesVNzkm62udaEt+d0zW7/n/8zDm2Xt0Bb/hXWhuLpM3GHtyCzdpucWBJer61RpUGyiIVPH
XTaqe1Y1u6lQPdlKVpBli080gM1BcQ2CAgjgCbZiYo6lKmM0TR7gVgykH5ZXbktvuOW340qUsLw1
z4wJrmCarLaueA9jMuRzvb7zuVUeyyACI2va7aTp22iu6SIv5hLORyj4A8lE8brR4DNVztyx9Ix2
V6te/eTcQ6iiiImLTIbdeWhbsKQXkKVe35lL3ujcuhjaD01mqQ28X1TZxTZGTsh3Bh33Vo/w/rqp
xav63Nb8LWc7MynzOi/AtRLGxdGcPCbfKnINPuFbu3Ol4Yb3xIvr+2Jjr4Uii27wbF0FN6gM1jCl
Iwwn1m7QflVIYTje4ILwZUusD+vp+jiXLsHzYQoOLpUcoy7x8g1JflfLeUABskL/YsSRKYonRMP+
dXvLo5tZ4lCpn4vAl9PKQVIjxe0IJ783Zr1gNEN4Zb9lrW+HWr2ai51PnBjXAQz0jzlhv8ZaCo44
G8Nz0F5eBvGtcrI8yI8hnoBeObLQa2+zRYeGDCJKhOA3RS79cnx1nXesjmwYTCTH1XoyuZOBJML1
WVwqgCgzA97/mhGuB5XkQAMS3Ms0u080dEVvrOoezew4oK4+q+5+gjUHKHgzd4sxcTXVs8y1tNCi
Zz37BuGeGEoH3QsU39BDM3yrHRXFlT+L3Cub1/pDeyh9M73LlCe7PDRSjtL7Wo5RbMf9Hd/+mQT0
il3OdZxwImWdgstZRpH1ED/z3DXs5y4FWmhbQZIk3bXpKe1v7MfiNS23jnQgGdoAR+pxlW6ZBUY8
9YFUb719omzc/r/WCMLql5+Xo/MPyRd8HpO3Gbp+uruk3Xbt+5Rucqgs2JspepTSm1bmexlCNXTi
rl2tMaAunu9/FukL1eQUDTrvVRPps62T+Ax6LY/hmjjH4r0HkRbojmNHzkrrlyPNVLWr5FgloXNM
KSoe6hjo5INZN3n7ndad25WKX9uBwd9Wpnj2FuLxPjcsHIOpT0H62o8kjNKXLvnFnu4Aij/IrRuP
HxJ1u/fH6waXtjzobcDRg3LETKN2OdCyHRMoqjfwGwZFi9a9zJ6bGB1KdC3uXnIj54aEgZFsamXN
rlBrHHq3JL1n2C/Xh7K0Mc4tCKc34pVhtQ2Gkhqlp0Kze+pv0uy+p+9VvjH4mvTwojmgokHYhowV
tAYuZ44pRJeMeaVapfKqMvejNHNZM4IgyKAeCFEVX6P15voYxV7t3x5i7oOHYbDaoFp1aZUqklVC
QxNW/fanFII91oj8B0Zcvqv89EMLPJV7u3+LAhfNis1Q6VBO8lTBbIfcvFvfx9+1k7yZvsuv0t+E
t2cjFBmQFMLy3uxRHKNZ5Jn8qFl+Gz+azkqYsBhtQrMQmeIZbIJH3+VMAvmi81Gb09VpJ+MFIg0+
UUnxjO7vG9XM68d6TEeXVZVzA5qa9kFPDbq/vprzFhEP+/knzIfzLCJzGluTWEdpaCm+Xrdu0u15
Prq5fZT0leB66fgBwfgb9oKONjEj2cktWJAqpINiu7IPrKwNF6kvyb8+oMUEjYXXArYmup3RG3U5
IqvhBS5yvE2sMeTxoa9ecO606Vf1mQOyCdq2LnXJx2Rs6Hsk+72zi8oAPFDv1z9jabDnXyEckmJU
Oqlp8N6LY9ncmkUJVKoMkZHrVhYDauBQAdWaaQPRJX852KkzedRQBO9ZEoCNG+IvagAOQal4QCMV
7m2vsm/lG95+DKvZvd/nXNw657aFrdNOQ2/VDsJAc7iHEschaqVDV7A9G55V+cDluSpJvaF5U8uf
hGfeqGxSfjNKqDPvefM+Gj6nO0PZN8UG+9+Pox9SSfepQnc6YRDbkPZ0SAPCt381Z3gMAL0LzLc4
Z6aJxqh2RLTcM/AHvRfy7TQZO8nVQXE5vSTpniAfWpcba+VymNfi63yhSVtHi6oCZN3lWrWTA2l1
xEhhk+iA2GQOyCy0pNqOEqSir49xcfeBdvF/Tc1X/NmpNrN+yng/oVyDDoIgactph/6Sp+tG5i18
bTzCM4DbETCbrYxna6ns0kNSj54Zp24SR2EU/4h6O7DiNRjUYlQEWvF/RjaP/GxkvIoAXGJYPFuJ
9zFUAYycepaG52pH/Fgr/AToSHO6GRpXpqN/fcRLKwgqoxmnBDw0SIUujaObLuc92PhCHTRlgVoY
+UZKE8lPqZn/hV+eqV5lREQg5RQ5jCXIfaGV3plTVcxtUX8n3AdXVSBzM4jzlQhscVxggJx5NiCP
IrpMZFgrc6RJGmpRAvWtBBBb0jfE7/Jp7fG4Zkrwi3o+AtDCWBpWbWZuUzyHgzSNyUZm9loyZ9FB
zfSj/x2WKTxl5C6VIpWaWSiXdaYFrV23mRs7jdVtasKn6jaalJ6NB8lALsuTew3ycz3pI7AITYoR
pCgVkqA0VaLtNBqlyp5NVtwdW0cdVF8lFP+OtVyrvK63JPZoxQWpfylyUiGPaKrDdowMWrhGXpvj
0e5VUF7H5tBUu1ouoT/Dudy0LggyCtvDMULT1trlsOAFZqGOGbqErACIxC+3qzOyjFSqliJiqoL3
ya38z8Yj7k90q7sUPADXD8fSxYuoEE8ygM8B1xbFLqopRVOi3WZhbX8oZn2wcCdFepQAUSGHUvHZ
lCBrkpB6zqabbsxvexLo6VPeR5te+xykMDI+oMDxcf2rFkJkDakYtNUB6QrGM8Hp5k6ftUMZs1BP
aleVZDeX842Zgfes3IBQwS37t+sGlzwULP7ul5jrrqJAMwLHshklwsJ20ypuDiFUz/3UfkzPXQjt
8r8wBt7bWfkPzJYAdF0uMe2YVYDGCVQ8ex6ybVe5/CU7eOyeHqoVMNDCyQWG44+pebeded4igS2V
z+PKcD0ntvWZlMkPQ2Frrm9xI51bmr/kzJLRRxHEyGBpPPTpDk3TqERE4zOEKkD8tSuk2zyA5LuO
rky0GL/Y8iu6mtHbTMvnldld2jzwhg6YeGeWV/HGZjb09EpWsXCobwc1SAcvk4fAAenUs/qtPlVV
kD/G+azRzuTRzcgpV91k2BrF6fqHLATpM3zmn+8Q7p3aqiZaSQULGWtdEJsoFdQzZ2hJvEYJteQy
zi0J+8ksc7NHVy8L8w15LNaK8L+7sISQ4WIgwh6yYjKOeYQJJaNnFT6ttzR9oqCWOuaf1XuRuPxz
AiTBk1/HXf5s3/VY+LWYealyOnccoLMQ9HmzsuHl9mozPYF6TYvtFT3Ue9O+Kztv8OXGdTq3fqu5
p/Q/2xfINua122gQLHuouKtsrRqPzXwVs754rADog2TkzKjjCGvL8olnaoWv6Q4DBNan6I1LR2aj
EDWWu1Y6AhOQGG+6eT907YbxBuSt5GAk/5KsaX5da9hhIOwGiBLEhYKfbKd0kBSNs/BF0X9AEcm1
bYjp8CAzQA/rq3wXKaEuvaX6j15bu6gWVwTq74iqIKgyN2NershQRVVt2wP29wktn8Fe30/v1ZZs
2d565MEzqOA8+d3xZTCgNcduxa8tbfk/xr8kPOWE13mpTywEOzCQCs2RyavQ+nkRxX0/v0XBxgsM
M0TBLgdoZGMD+msZW246mKWX6ZsGxQ5onXrGS/3sQFTaCuo1havfGZFrVoX0kIEmRZAOzyPzud8H
uU/AoLdp73UvGt3B7fz0QTpowdu+vTduhqdtfuJ3w12yM34VPirAJ/J+3Y39zmdc+yDhaZ6gub+x
C3yQ4aqH5ke5eU+8xqMftxU6DrjfBUbo7CCW9lntHoujg2+sj9LpZ+NbQbx1nm0fWIF9u4tvM/cN
8dxWwf83uda2e6Ju5l3/WJEI8PeJOF8zYVO2RdXGKsfHggATfWbskZheFrae5KuvgXIygm4X3cmv
3b71dtdNf712gGRG8D8js1H0FHPcalNZVNfHOswkCHyAaNJJNigZd3BPyLJFSPpetzeP5HJZ0PKE
3QlE8QwWE8srpZbmvKrLNrSfMVC+/wmIZv3C/LX860K+a6YTnXVtQPQKIXfByRi9bjN0yMEQ2ScA
GHQnR73pe921htKX0n3VoU14BRs+Hy1xcBaIueZsJaioZeFGaxweV0VRtKFOjaNC0bHrJB811zZc
LX9dn8evngR6bjIEqBRYQ1eXsL2jgenEBrQqjBv5BrQSeEmtSUp+jQQuTQib0qZ9Xppj1YZWP2yy
pkSNb1dVPrEVYGRW7oSV4Yj9QPmYmp1BYGto9VOcpRstWkNBr5kQNoRcmrRQunk4I8QEY8Ol8ev1
Nfl6lrD4eKqDLRd/fpFmSZqoqLiRYU3KEQomaM5qEtufSOEbWRHQqv/lyPVKv++aTeFKB95Gl6OI
tSGLqKeZ1X60YzdnD/AnbseBtdF31we5NI0gSwCRwSxwDQKey+uFatTK9RzTaEyjGYwWBSOUKX+7
bmQh1zhP5R8rwnXSx7WeVQq2d+U2z6AF89Ob16hzp4NnEH9YaQhfnsM/xuafn70BSJsXk+HkbTh6
4+iSH873dgRt3cv1MX0Nvi6HJBwn5tRgz49gZdgkT8nL2g28dFr/zBg4NC4HofRYhbiF7zEaPZCm
0HA4ArwQnRqdvnJdLbm5c1PCSerTEoCzafbhzc8SJDxgp32W/i0tKu7Eeb4s4B4hhwI3JzhTRa+S
hhBYmQbJZ+WWKNqm1uh729nu9ZVZHs8fS/OWP1t/x0noUKhtGxa5k7uRCtliJT8Cd/QiVcVKBLi4
C9BkjuAX0G90/17aMtp2SKkxYq9VsZ8nQOMp7xOCsusjWj4/iKzBiQ5E9hcdgB4Y+lKZYCapb+MG
oGy1DiQn35c2GLaTQLXiO3BZe0WsfQPRcjDEw9v1L1gc5xxeo9kaFDaiIiOJGUg6crkNs/StcDDM
7CZO1uDFa0aEg2t20FVniYJROtIm6ZNjJvUPTCIrPnbhKQmtJsTT4CGY2WUVwRtFsSN1lh5hg7DP
CJkl2QYjaOaB8ZHVEFhNmZtNn2oPrmYNsmJDQDkLugL1iILeG2nhqXiCVuSpnJLd9VleCBwvv0yY
AaBVKtLVFq4cPCJ9qfajUw2g+69oCtidtesVoIJ969m6M/jG/LBDO2pcQw/X3jVfnQ8+AzV1vHFV
8OCLDQ1dq+d2NHA096WOl6gPg6ocM3YYmWuYq0W3+Uq7jLLmTDVe0wBFzwVNYcySJBljo5fdjEae
iDuyfZ3+KJzA+B5XP/DGdYH0lNgn2IRWzu7Xqw8wJHDqgPIFcZcjkgzb5QCSEAstjIn13TCPdfp+
fTUXYlYYmPkJdJTz0KY8j/zMEdWdPhWZTnnYNj03XadMZeWWp6j037DOdsgW/3beFcnuNF9n9gQp
+rSydqoEnJZ//Vu+Hi000KPWN78J0B0qVsDldIpTO0qGEElqhfhg4ZB3dDTl0oeO3xrfxFcHDGMq
9ErmR8HMOnM57k5iSgwuyyGUsmyvs7HxSgU+Y6AD3o75Wui8ODQNakDgMNFQyxRP8zAVnd2UQwiY
i3wAE7x5N4Dwdq9aMl2JLBZNAb1mw2tA5EgE8EfElNNc5xjYCOoq9KZmO9UoNFBSo9nw+oItzuEs
+4LHzvz4mD/lfO/YhFdJpA4hLUjjxuouScE7Oo5D0BnjFFw3tgAjnXmlkKUEFGTuhhDmEJX3HtF0
OYbyIDkPTmw23C2MGMxWIBRyJi+2xjJ9wDnOvDSO643FWqs+kMrK3suO481nFVE2QHBY4U9tzzL2
cv0Dvx5VfN/MwIo24FmtTQhR6q4DRzVaAsMI4OEjs/R87uxSV6bh65z/1niSsXntmQ5HuMytKbak
SpPGsEJD1xFd+OPBlKRk3xYNeZL1vlpB7C2MCqsLThxgcNBGLbySrs/Q1605c2f++V3CDCFBpEZm
rI+h+ai9p3vz9fqvXyhNXP5+wZeB0iWGtBx+vwpNge/pMQn3TuOiCax8Ztn894q9r1fQpT1hLQxG
tQ48tSNwm5AqOWbNVnml5veh3g7Aitr6aZACpXXlfUkTD0U6tx8e6+Sj0td6+BeQ/5dfInizqTSN
uBw0dNfGgdYdzR9measiHVf9oJsq9+TcAO2r093/WJmBOcK/vBcv7QoewFF1aULtZgw751tZ+XW6
a6YNizaoVb/GP7PtdXNLex+dizN+VZkTEMJzRuOQpWFNPoUkVVF9L8gIbHV075AqcrlarFEQL+4n
DZcuoq+Z41ukuCBNO1P8F1PYaapvks8U3PpP0f5tUnYdt8E6TuzN9REunTYTPDKgOgeEAo+QS486
OkpDtF6e8Cwwmw2VabkZrXYtUTX/FnHVzq0I81hlThINPZ9Cuy68Wom2RbntbtHz70ZH26EroezS
KYGGDyg58XTH/S6cyqzNcgoJtCl07JjdyXgnuFlrVXtFarRtoxchp7TY/8U8ntkUTiZX6r6Hk4ZN
mVOAhMphy6rC3v2NFZTgkRADkvVLjxpi7dZqCaq/qt7eQmf8Ww+s0oqRpU0/kws6s2ShiYD3cksM
KaTnOxklZrUd4ttYsTZqpJ0yy879kRj6ysQtuWh4aOCt8IIz0F97aQ3pS6mISiaHE644t7e79iem
Ob8z8q5auckWQk8QmiGTONMZgkHRFjZGzPVJbyJ7CgF71PbDkEMiJG0KD/oPo5encvzCW9QdrR46
NFUNgWard8yVaGlxdlE71xC94C8xWpobUxSrR+5iQt70QFOI3BOtG/0UmRMvmeyPv9gxNlC4c5QA
a8JiTqnKBisCrZrFh2YzMUV27bqUvH9vBX0EFlAKM6+pKLJqMEmtjD6Rw8LqH/M0rdzO6U7/Pxui
D3E6ySIZ9n7KJMUlvI097qzVMhdK5cCwIcox4BGR4Rb5da3Uym2NDbCCDP4B3bbN0bJHZx8NY3vq
ZCTmUruBVlYMav9Mr4EvjUfTVaJ4DCoAvQODSM6mb3pIRVTj5HeSSZ7iUs+8JBvJSifX0tEBBwxq
GmhHhA6xcBeilF7lDlNl4D+jyE9xPYW8BeFTR7M0vD75y6YgfQhAE4hORd5ciap53KSOHDZSN3pq
lvDnorF11xiBBLluaulGQtUS5ISzqDLkNy4dwmAYhGSNhr0kd/HdROkU6Gor/81uOrMiuIK2ZhAX
gccGBXWnb5KuLPZm1ukr8cPitEEeGpy/eFIjU3Q5FlvNBp6asRKC2QIMnBzYwXJS6R1SUubKEVxo
tsHO/WNLJNgudYBwqGTLIUNGARUgu875jQKxi34Xa5Pc3fCRaBAcbyZe+5pTsXGnEUduXMjTNyjZ
Z0aHFFmmm65MjCZ229pA63OhUzQqXF/h5VmxQL0qW8jaiW9TaCx0UqtEMhrk0vKgtJbxbZT75jHq
Cmel5DJPsBh4QIsUQD68X4CQFo4IIHFW2TqpAnSj+jxMxntdqafECGMFDSCInmdsSbsSUi0ND2RT
8x0DGTgIUV0uep3oUzU0sNnXZQJ6eUhdlVKSbACeiFdMLUU6IAOHvhrWHnSW2qWpEeEAV4pSCRMK
Nvtja/pDFEB7tu5XYoKlQ3luaP752cM7iqJUpXYxb+T8gSXEy2K2knhauBhxPQG4gXwX6GRFcuNe
n5/a866Im/iQt82Wgt3DNXoGYMvz9Q24FGejQjtLt+MsWNgdl8MZeZ04A8dwZHCde2rMfbNN9A0Z
6uHO1mvJa0nR37S1jsq+Yd+anT2+MkkrV2Z1ofMD6RLUABCrYq8oYgK5zNA7DZleBTAJ042L7HbQ
0ZuvvtQ2RBBUxasOeguCn1j1+xIv/NG8a7Iu6DJ+z4piL+XxsHI0F87LxQfZlxNT1oUj9ep8XhLP
1MlGzYpjhFnoxt5NIflZjTf6Ggh4YW/BJgjhLLgDvLGE82IPJYTFSAObMfN1+iDna73iy6P6Y0E4
JgOeXE5bw4JeJ9EmQ0XPGcKuJ881r5HMII/lEN1UTr/yDllKIF2MTNhmE9K6ZVa3SjjmH2b6Kt1B
5MEtpvGJyvq2oMQtWr8ciedoVYCO2ru0cImzQsC6UCXB5EK3WgXmGRgtkSQ9n3LE1BJ8BFBZGnAq
pdR7qWV4ea8ArJkzJB+jAzXbTaQMpptT7UYb1oSG520juOGLbxC2ldXgRnFG3IN1n3Y/ZEnGyy/n
vHsdOCKlCWTfN33KVX9i+Zpw9qJbORu+cAWbvZ0rZB6+hW4Eyf6J6NXTrfcpW0smLzuVP5bEC7iq
KxoDsgwfGWaQkYfO+x2S1/Sleurv9fc13pSFWwZTClYslJ80BEvCqakjQhJOayU02xtdC6Vmo48r
mbiF2+V/SLvOHkt1ZfuHLhI5fDWwU9PTaTp+QRN6MJic4de/RZ/3zrDdvG3N3JOko5F2YbtctqtW
rXVmgts2fa+m6TRUiE7mD4wILINq9i0abBxnx8sBeXuRfg+G2yhtNhiDaWKjZLMLhNDBsDNSmMVN
OgouZFv3+7MxcRcC3DknCC8hFHTIz1bsWGc7s9FdTX9XUaeU6OApiisl2i2EaHejvS97LF7s1fq0
m3rzWc+0dyOWf14e/mZ8Wq3lMj2r01XB20zJDEy0rbzS2JPDkuhQsI/fGukmV240+nDZ3tZDGHVn
pFhN8DKj55AzmHdJnCBHgXtDT2r4qgaWhG/mz0wlNpBK5X0jgsFuR6GVxcXXVkPMilmexmXeGxr6
ZQXFpNnZlxBEnaK9Ln0rWDB06r4s5II0/ZPRCkLx5hmzMs8FoC6rJgibdgvk0oHgqq0kpImqxBfM
6+amhPQFshmgzwSj5PkorWIEYV4OM6btqo9HHbt/BkVXoBJka0Cu4YqeMZtbdGWQc2eIEcWolGHj
6NAPmdKadLbqS8prVlKvnV8uD080Os5roq4t49nBGpZF+dZ0ae7aiaKQLE2Ze9nS5oZYDYvzlsGa
rGEaYWk2Wj8z7pjt19qhMQNncstydpGMEljcjEAri5yDONmQJYMFi1af7+3wMPUvTYamuX53eWT8
RgBgDr2FK8kgbmjaXOlqkoXQQepe0MDpKjUgP5ZSXqlIBy06KWrceLpTkDy+t5t7OoW1d/kTlqGs
DuNPX8APNariFn3ORYCHL6T7GDMoYSbKFlZ2Be1wb5b2lw1yfvO/BgFSRJoCtJU8GlmXWyDJQgxZ
T5HGDl2aHUJbpCLCLeCHEbAxAW8JzmsArrnDapzz3B77pAhG46c2XoVFBFosEhmCsfCn/D92loGg
uxhZWB6xI/cRBfEJtLOcKPVs9cVxU6VwFYMorqPu1e998dDSWHAt5x8KH1ZhD2hnoMrRPMHdYuRJ
L2sUPoogepKkUxKACjf5Kpu7DPh5bT8pI6l+hvGuqvbV5I661wipnha/5L1GN4DDRFZmyYtx9w15
1stQkyzoPZ5uKuKQ5V9t55CXguxU4ENO5bf4pXq+7DlbrqpbABEB442XNH9Oad2oDYoFubYUF8Y2
vYlBZ5aWhZvFe1W7LiNRh9uWPdxCIB2NFjc4E+dE2dAYvRRpZWCP7WNRP+pFfJ2nLzne8ZYEaZ+m
vbs8wK2tgWMJmnRIBSOrz82qUhpl4RS0CtTa7r8M6tQd08E6pfWkHC5b+hCZ4BcQyfxFQhYZEeA3
z88mBdpMZm3FVbCsW3Roj9EhOtTHATrlUUPCPXBTR/sUXbVHdsCz91DT6ygNZA+8bQEVta7zN5AP
h15/DTfTSj2z3E6TKtCK10JK3NB+ScLrJLT2jSntyso4QX4FCoCPl2dhcyOt7XIndKPbcwhajCoY
x3GnZ16f2S4ocMLxEWusMNeuJM+JXqJ0p9z36L8tbmoIrXWi7bSxm9AAhfL2h/6Zwsti9GYS5uWA
z2DO4CXWdVKPRBk7ohmRqxeCPPFH+p1begXVe8BAoDCtQSfjfOmdyGp1ySyr4Mpadu4TCJE9IFp3
xcHA/799V8iCPo18uvvnb+a+A1fpoi/KD0nkGq7sKe7oTxA3lokmKIhsnYgaUqSQgAMMZzmCz7+O
TT3AMCPmQu9mAslVCMHEr7Mx3jbWfJQTCS0J10ADHQc2+ZORHtrKEkzQxmpoyJ4tDOBoY/pUk2F6
mmf2kDVBN0CEB+KPpJ6OVLlJ8Dq+7H8bAQb7HPEF3QgAifANz7FO5XlA01Ew2F9asFNo6XUjt24+
n+oR5IF/9qxaNhmsoRSKc8pASo3bZIk1qCWE5ZqgSYm6n/G8JplIb+LzToYPg+/ehnClBRezuFuh
0RSUNbhvBmn0pqa9xw42+m/TzktVi8SV15fll1BE18xdECGVAKPAfAJgaiCPbHDnYSyx3DHagQao
UzJ/7tU8kND461t9za7zTC3cBn26bqc1ULeZY0Gq8pO/gIF/kSZXFpTckuQ991iahuZcjDMNphRq
VwMqfS7Ts9B3oHp1igZI7bKpywTXtiUynW1itNwuistLVRZNVR+9QKsXVII0mZ3mGg0KVXarUHkd
G/Cy/qF7LjYAp19QY3BS/rwN9aYbVQs2KPVzw0enjOXswp2evkWi3OfGHJ6ZWv58NRyN2fZslyYN
4CoPsVYRc7o1+nup0m+V/P7ysES2uPUq1C7rNEOnQd6TqHxQX6KfYQ8pV8HsbW2FRXwFSKylFRK6
eedj6jt5so1cgV8kz3VnQgL5i1Xt06uIeelV1s6HsXy/PDIeh7NshDOT3HmGhipJy4zFK8rxHoCq
qxTHVTwanjm1rh1BvzpuIaQ33sljRMCAP+vvGWP7y1+xOb+rcXPnS9+0tWVIGHdheUWzY4fs2pLQ
CnfZyvIrnzbAkukC0wfaj/ikfd8kczmp8JiGojcYmaLYupvZLFpEVWCGG8zE2jxHiRiO2ewB8dnH
c0EcTdor8V3sXaPfJS/u65kIW88/PWCWlVwNj4ujhZoNkhPCLlXfqT3786i7QwzwdSuIXp8P3A9L
FuRAAWxCiZUboTOjhyKf4zhgth75cakDX6yMSEPPxYOSKLGbsfwVxZgfRYvGdNBmlO5E868akOiC
s39rzIBBIPGv43RCmfR8w7CajvlUYcxMLU9G7Nt2j27wmUgCO1uxEypZaLZAtQfXLm5uO6eKzaaw
aWCwstl3hfpsDXolCNCfznZM69oIF9GSrFASbTIwmJq9m4Nb/Ch15kYKuq9j0AyWXeJe3hCbswfi
p6WeCwVL/kbfNUyLRxWjcuRbNr06Vgn+RLdVHy6b+fzkxcBUFbczkJngliRzh61tRKadoEk/KHqI
Se2V1nSTBHxEaC4EkgY03a50CyIDwUbcmk4ViGIHwGI863kvjfQ4z416hJfKBzru4sK1vtehiwTh
UIjI/bf8Y22L84+hoyGLM9hCMdUdMvxbCoKXyALnHFE4qtM4wQKoFsFVXJO0+7MU58dJAFS5penA
maP/msNN2LjsqWkzxwE6Wj1Rgn4r9q5/fAmaq9M67acEKBi4gFzV7mi+GaDjy5s3gaMt252P8Gsr
3PlpKwbNzX4ZAopCz7HfH37Yu9Q3yeGyIdFolsVajUZWa0OSJSwGjR7Bn76v5IrYmqjotb3kvxeE
C7Np6KT5pE9xMDODxN1dpv+XK855baibhZ0UmC50c7k5vWuUVLAHRUPgvFarW2ApJwyhA6f3BPnE
NhYANLZimIqrPI4AnOm4Vp8vhaQoFNBaLEUFnacKlJx5YvtO81aV/uU13wwnS/ZMXsimgFU7N9Qb
fQP15Bxb3NaPRhI/OdpNo93jbMLrfmlAmQROtnnMqiuLyxetvGxW9cooI1iktxKyKnpKyof0avIM
iyguKG/7QnAebLr1yiA3l4OMRlUTKatAsR4jlvkVRAZNkRGeW+IjziCHAJAcGrIXMNj5sFidN3XV
yHGg3plAvl3JKdEfI9/cdz67yt6MO32XkuFr8s06JRE5VsnOFPgMD3X65xNUHRz8Sz4D3Urnn9BU
UjaqjRkH6bQb7uYfmWdWV054mss7I9WDSXtqkMW6kX5EtCTWHyq9fbLOTUBD02iYgB4L5OabBlR2
3MquXF3bw3s2/c3BhLQ53proLnQACT8fqUMLauShvmxx0yGLCooH5hNR6Xprm+P2hRyrDAluoATO
rRjhQvcEpdYAkI+D4ySnCS3Cl7ff1j4H5hWtX0BhLVn6cxPA83SAwdgI7eBN1Itd9GJOT+MoSKcu
Hs4fIAYoohZReANUD9wBMtharLZRCCtoSc8Jrpe7Vu/cFgBwkCLMU+9qVMRrsfnqWxvlhsY0bHPd
hNFsekPdZghlUu+NZ1N5N6NpZ3b0GPZPl2dza5yQfQVBLeqMyMpzx3EL7jQzTJw4wK1LQjI38ufA
vq2y3V8NDnSYSE/j4rfkqc/XjRmhXRQNTQJrHPEU2qPoZ00xMZGPl+gdHTWSxFDpEuVH+Tr9xyYz
cfdDpuxD/oQL10XTVCakTONAw6kT6w2EdTPQgxugf4vcKvoyPUvKDWhuTmp4B+1b9TtEd6pd/Z6Y
Xy3NEDgv34H6z9d81K9Ag2pCqf58FiTbSRv0gMXB5I8P+lN+Z3+fd919dDfcm0dU0Q6YGHTv93c1
+Pa/o0BxebnVZT15vwZkHGWnf+xzR0lso1ouabCfFiS8Njzjx3gL6DEZ7lrg/t6U/Xzl+JKfDaQP
v0Qu2J+O6cF8vPwVm063+gjueFEb8DDLFfxcHR4rE41Gmk3q2a2zg2rtKGoIKcgqL5vcOrQXEiOE
JlDN4RFwPu9llDDQx0NGPp21kwktdKu77nOvos4uus2+Xza2LOLnSf5tjLtOOfHg0IjB2HSKD8lD
p2JricLg5lvKBBwYuLBlKvlrSKx0nVRAITHoF3BjBr4is/0VhdCH1rVTyarb5VqqOew6Cl9joHAv
D3F7W6GACLwoqtD4z/mEFmVUhw1UyoLJRXxkd0Xi5Q/Jy9ySYT/c1tEuvpFd57V4kF6l18HxBOaX
N8inKQYXD0CeIKdCUvrcvKV2yhyhiy0w78ZjzLzwiTFSvYS3Ianyl58Ca5u7Bnt3KS6A/ofvj6RN
yaQRxABB3Y4Hebgbru0fcUfUwibS8NjWruE9iprENzcJHBWyEahbghiAGyHSzmUODt+g+2Ydukfm
AsQUu2giEEzl5s5Y2eFee+h8yss+GZLAMJ6cGdU628udQNe/Sce+HgXxZ/OIW97g/zeqZaZXV1lT
hdPGOay13i+kpb6GXhfMX1CwFKZQFw/45CHWgkGFdyxecm4pm1snZBLmr4AKwEh3FXoM3IoeYts3
j/3TqO1TRoqnxrpWUSYNRQnwrWsKkNT/mucCfQ7lurBkGOhu/K6BJS0SxJht9/j9+1wgZ5YTzkaM
31ev9Yk4i8BHfm1ZX/HiQUclqQTm/p+F+22Pi9nJaKOpHbCIIG+09ySx9nmZHVv7NixMIJvR1fIl
0kDGJXpsCVaRL+n1yiirZgaz2o4FJ9O/vLG3j8Pfq8TTXhV5nIRNhVnsd5Mffmt3Otptjs2T9OJ4
9j460ZSkMpl+hK/Wm64Q+XragXZPrfaXv0M0Sm5XqH1fzn2Dz4jQpylLb31/U1einMhye/y0IXBt
RslJQfaSn0opoQiZy9abvej0ah0m17hqn2M3vKrv4ofKTwSD2gwsK3tcYJH1QrbBKpkErNhn+t28
sKU199pwbUw3BTrdL0/h9nm4MsfNoSHVPeprMAfYO0l6sMLp+7n0qsBirlHe1kJM9vIEuDSfy5+v
QlnZOQBfR5jPwc386Q4XiVMT/EQzPxn95viHyPN/Lo6r4S2ru7JWaGaPM+LDWhmorg6JpP6X4f66
PIubUWtlZXHUlRWts6LJrsckyA727eTpV0L4psjC8ucrCyBDyXOqwUL3bbzCXfx6vMr80k8APmI7
6MV4IGe+hzDw5XF96EJcWiwuHAMOjmcxhXfoe6VHh70O+t/GA1QNuAR2cvymRH/05FHvWdrLB+2V
utW+OMhXSEUcDA/dxe60+0Mo6acl5UL4PFRmntpY0lDPYMewALrMOhFQYGvb484CVMTHPYkvcDcl
BfKJStBeB90EDUtkGAQbfXNygapyVJQQFqUYbiBI8aA+ETt42u16iEfv9dNwqvb9z3SfBuNDdJUH
DjI5jVsfmqDct7+Kl2affQVNpN8dO6/8Ev0o98LUzrLf+RVffxR3YGmhGkfpiI+Sbuqd6pde46JB
1gcvslu6+u6yf21WT1fWeAKYSY3LJsVLGgeJ7sag8q7Ij5xkbg7yArTKCe5s2lbsWZvjYuusonxp
ZhhcB+7Q4TC+/FR2FA5Nb4Zv2o3sQ3Xpufazk7FXDuFNiWMrucZ1RyVo4du3jzYZD9I+A2zn8jR8
UM9cmHS+kISu2k4LZXyXJ19LN9IRePij1rmgsKghuP01hhjB9KQd8m949J3MK+BjrDvqQzXw3SxJ
g2fo1+iH5sq3cpCQ8AsVOCrfRvOx49bTxoXsZs4MqWBYJQ1opadq+cdyX2eiuKd3Iem6wAF5mh47
KtNKT2BMPjkkJtp+9wLNR5L430Rvwa3rw3pYXNQ2jAgwjGX/pfp7l95q5a9MlKr8DHdD4m5tg4vb
nSQnOiiO4OCImvRGIj0BZ/xu2kXeCMJ6ZG/2T78ue9PmG3NtkwvaUO6VDKeBzciedmVXunEOqFmY
7ttoOpThfJK65hAP7d3IuhvboV96MNaXKZi95mmvKZUfKfbj3N1IomqGcDa4iDdOXeI0E77MeWAA
wE2+duggCpdC1l5ye1/yppf8VAp2/eYdfD0fXEjrhqGiw4x1lvfx/XwAJONO97Jd5bWCu+LW42Jl
iK+mg+EjNOUOwxt8I5ivdOLsE38g9O7yAm/6LUiRUE9fKAv5cnDDGnmSsogFLK69WoFCXeEmokad
j9PnU0z6beVjVlc3Dh0yPEYhURYo9TFOfikjPVj2wcGraZz62zEuCTUdCGOVbpJ3bq8NB6q4WTi5
LSBu6Zx9HSSL5F2718JiBx5HFPn0A6skP0pqv7W0m4WmNKzSB4eBy6URcU0sG4v7fCDv0PONfDoq
TnweoFQGoHqzlgY62hXKtiY6xD/V6DEfBKux5V6QK0NOB9lBYOv5EkHWjhBPYRagcG11KOz0pql3
MfMdea+yR3CoNX2Ehn1R/mHDCXB1sCCPCf4pAO45p27Qa4IXXhMHEcBvdQ8+ZRO350IkUiYww+er
pkhnTZe1SHy2J7S7eZNC3VZOBVt0ywogjAstHVhBAJk8v91iIaHPqCPx1sB//E5+F5ZqN9wBCMnf
FpYvWHlzJTlFqzcopKZzfjUUximzx11dT09zJ+8ub88liHGeZ2NfQtwApU6gE5dPWZkK67maJxVV
YTX1WR979qRofjqCiyLxR7NJ9z21BYiiJaJ/NmloKghAgEy0uKRXPPQJHq+Yv2H0oftNajZAotUk
qZMfgHdwLw9wc7UgQfJ/1rhblGI1o6UUwCLog9ea31j4PRTdiEQD4l6lwHLaTSepcdBa87gPQfbh
SRm4Zo1sfO8Miq5OXRcl+TdtopNz6XVAC7zBOaFC60aSUpT6FJDz0+tdZ+2rGbLtgjfVxiGButhv
M5wnNqVeqlGB2mlVq/f5AFqCKHSlVjqMs+JXpRQv2B5pFOkFb24AHQkMR/1ovOcWLVWhN2s0BsAQ
yfBjNOa9o1JvYGnhMrSxXHaQzR2ADDfQSoi+EGA43wHgbFGHqsUQY+VYuRrQspoLWvtqF5b7/84S
NypJNyetyVGXQQuVEj3WEVG1IPGn9ioXWNr0jtWYOI9EW0JbdArqp0uzVu438cnO3ZA9DuHfxMKV
Ie6yDeK2WrfZYiiR90lxgpCFn1UCNNQWNsKGetC/S8Q5+1D1jsRmLBHVuz3k63fFN9rvTTtQtLc0
2+cWymkmJVEzuU0tmMrltz9FKxPkHGA4/SB35NxDTyTTqFCE0Ob3ObobRT0mot/nnMLSwqbt0U4Y
RPEvQ34TniVbvw8uA1DRWhC+UM3FVVYBvrcby5naDKdVCSpYqs2nUXVEfYpb+3VthLsqt0aWFkaZ
fOwh4L0YOoAS/dbufl3eQFuxHC2BC7gQCYhP5TB9aofYVFgc1M41Y++1KlIe3do3SCCCnAr1ctPQ
uXFMht1A4hiThdyVWU97OZIIogNRspMEnZzLo9l6qeI29NsadyuizOpCmwGBk9BhYKCFAsHDRCO0
0aStA717tfczmbVfi6S5my0o42BfD1+6LjdAPps13pAPjzabU0FA3PSY35/FMxPYc11YdFiwT3Ek
uYMu6ztWyyId2821RMIK1C0AdCGpdO6XdVNNbW9WAGxqo4tQKF7MrbML7Xn/WuB2Vt/lY9t2sADM
8kMBAQVpDEmsDsSEyKquk1LVT+0fKkQs2QdwxWmo+msfFIacUaWlylKax8llghemZ1dNU952newq
7dIrRKPDZSfamMYze1ykt+xsrKoK9uBHBFo6aEe6nqq/OI/PrHBhntIUDxQFVkrnWh+v0+5XGl93
puBFujkWRFm0VIJiEnCxc5cAeYXGZLCPBmDOPqTQ2kUD2R8yWP6zPuAlMywVNHfoTz2zcXnutxKC
Dqi6/v0xbvI7AN9MpuNcapIu2eVRfGwkGt02beFPSQzaOZYXu8IqfrGesSAxK+DOtOh5qrX52Iyd
qFX7A1jCnVX4HmvR2bAWqrfzwf3HjIxYz1KcxpGTXuVmdZKjbyULn+OY7RxqErNEAl5D6+ZMEqh9
IeNC7HRXMHVvMXaV6sOrnJjfL0/SRkjFu3zRqQbeHVSU3KJqkdNmqYY5kiQvnn3jquq/InNFRak4
kR0umCZhVYKNEZcrWhYnaHod5LknFTWOSqFc1UmxvzysjRNvPSz+xS6nZmYMHRBH0PkFzK4PvTA8
VY3g8SKywi1oY0H/bqJY0IzI4e0Ls55CTRBAtk3oUExEY9yCdz3bEP9REqMNxxrzpoJhaBhPg5dq
L1p/9zfT9dvKsnqrW0hFLcr6FFZii4xQwQwc5guj1MbBhTXBm3Lhx8JbljfS6HrSzUCfVbbdkWQ0
LHdiowjetTjsp022ssI5NHAydq6r0nIJOVn24OqgiQ3n20ZOiAFB3FbE27jt2L9HxTm2ZjUJ8gEx
ivJGe5WY5SNL38r0VjYboLhFnMIXBwcOPO5UzpQalKcLhCrRVFD9Qao7TYn80hU3DKTVwnTUZsQ3
0D6/NEiiNZObSySLLKSGMLahdHFONq9D8njZ8fRli3xaLvTY4QYMfR6gNc49r9ftsQDXErK4bRT7
SWZVXmTTwp0qJpGpz5OvXS4bRO9Y6ldJxXaQR38ZtWYgDri6iVI20KA3sbh6W/0Cy0hEINqhuXPc
Zy72juNCh/ubkTYdaZX8idKJeVaWhOABVWzSUC2K0N4JIi1njqcnpytDt1ciejMPkeIVBbpOyyq1
SV71tY+kCNhlR3MMFArKCF3OLV+JBonkem2CqkHTdpcnZ3v6f88NN/3UrthcJlESlGAyKmnvSZHg
6bYZXdA4BnATOvE+Uech6tgd0rLIZht3ShRo0yGVe2KIbl1baU2cL7/tLCNdxRezS62kkGHHPGWO
D/opyXBDHXflU/xDOmqFYOI2I83KHBc0izlBJcKCU9Fb0gl4tERTxjksaKpbNVTw2wUQo/pNfZpf
L6+6yAC36mbf1mYxYa6iJARRzmM9WG4EgZLk6b+zwwWuPNW0sq1gJ0xPbb23gQhurmVVsMEFo3G4
iNUVnaxkGqYrfOy+2Lfx11HQN7MZEn+vNXdj/I8lQcigAtITZVglJo2MPtkD/T60viOasM1Iv7LE
XSeBXdDUOYMlJd2hjbQDjVFE0G4pi7qpt/f9v7uFp3lWI21C6RyGoHtkjTHp6TU2D7m8/JujQSnD
+GC3gjrM+ZbUm6HD6i/LX987AFhJZoddaRPr3RRRVmyOZ3mu4y/kOfg7TCNFeZGPOYAf8h7XX6KN
GalEOLLN8VhgoF1y/pA1X2LCKsSkYDOQYqNKAnvwNDT+5Y1FMosSNP9VpuC6tOlzSH4iaw1uaTww
zm05FfTrigJJoSbzk9gf+x0QeEWGxlq/FGGcNmPZytaywVbjQjp+SKQOtqA4C2QaFZwAop/nwpk6
91moD4Awdx2yQg3TLa+LQkEQ2HSA1Ri4kAbFkay2ZIwhH7+0xrtRnMqYCu7im+sPwhFoqOB5Cnj5
+TxFKDHg1YrEEDLudEbLYaqQOqWkkIMhFaz/5nmmQvTI1AEMhgYQtyhR2UndjGtLoKJY4k/9/MUa
KnkfNbniRVMXu2hOu9btSfembizJaCulIHpvTelSskXDMOA+YL89Hy6UeBfSggJTOv9Moq/jX/SI
Qq/q9+9zp4Np0zJnNeDWVdR6OTOJlX+vNIFfbPV+QQEEq6UhsY++ZG7RtApcLVRDRbAcrlK5qlxk
q4O2vR07SMqqFdR2YhAGA8GCBWXZXdLZu8FoyWjcWrFIj2VrRnFTROvVh/yczM0o1M/McKT4FgXS
OR5yQpVbpOlN34iewpuGFpIVQPZBWMzzUjWFE6o2COSDflbf5zB3fC2WOi/GvvMvx/hlkfjLNYjK
NRXUMVBk4Ou6cdGOtLQ6NJwV7LEvu6CcbnL5SGfVbZqXAq2McybYhluhETMI4l/ocCFCcrNojB0b
62bES5JFu+xQQ56QJu4UqVBVjkgooj/Yul6szXFuSrO2UGtFQX4tto6Kk31NywwgA6UitRwf/2I2
fw+NR2RAIgaMAD2GZhdPaNcndKhJ7sxkvNfUO43OnizqP9gC1IJ8BI8jVL9ATcP7ZN5WcTLHaM/M
x52hsKsCbEnpvQ3BPtuBhF/i0SszvqniQXA52DoVLLS7GmAaNhaWgPPokiuq2Zs6Ehu0iqNfyMdD
2HkolL+IYWsr3BVETpwZpxtGZ/TJodTwxEl2c1vuLi/blousrXDXtix1JrlLYcVSpze1IbjEnUBL
5sa6COaytbHRjQPiK9w/kObjztIGzkF1Gc/lEOmCAxgnv6NRWXZjOv5FDQD8Vni2ob8TFxte12+s
7KwPlzeCOdvg1JwZ9dKmEgn9bHrBbys8EkCdIBam6UjYSNq7jjc5aGEEfraZEgXyBMQlwLvY4BA6
d7Q2R/Oj1qIyZVS+A7R/uyseZelLFRFozjntezcep5/ohjemlyTK3XR2s+KoNreXXWTr7mCjJxK9
pmiZBUr3/Cu0WepaqyrRBMyO8RDtaHGs4i+9Oe00KmrP3XLHRQgDwlAa8Cn80klWXbdlDURHH2b7
vnFfszRyY2gnXh7SVhxemeHXjip2Vlrygqt47BgxB2L/lF/D5IaJmny2zpi1IW4Tj71mVH2H04z9
ql9hio3kfpZ8M/RE7QVb2wtlZkQlU0Zl4KORZHUTtsEqj6sQYv1N/QACuT+HvTjrX+dqKDUwBmlo
4NczYFxmOYCOBatRrzFe6/BweW22BgLyPgNpd1xW0fR77m6ZlIFlbenQzsf63qyMe1q0B0N6/wsr
qDSgZc4wdPBtnluZKH61BQFQkLUJqFOJPjxYUy9ws80aC2q+QFuBJhlUptx53w1MbsYU4Jqx9isU
LbSq8wznKwNncpZDVWc6ONnepHuwnJBcO0mytbs8zK395NimiX80IBB4zgkm14naT5hMq046NIk7
uxLYLI9leU0iKaJ/nP5B2hXd6B89/Ohq42Z17qQwKx08ZdqxcvsWRI/VcFgSJ0YpuG58Hhgs4eCC
U9oqpLQWL1q5+9w5VlTVaLvCAzAGwwxoZuS49qFqgdTZ/vIkfvbIc1ucR86N0jVlAlvZk5mSGcuo
CixsjwbX66X9HBypXKDPbKnMGwPPMzYA7ZkoWnLIi6whvRk7xLaY/V/a47bzDKJ0o+k74EIkdLg4
v7T8F3aYkPFke+KQHAcZFZ6DFuf+bV1FRa9PeJ1L5TdgV2/zJv0iRamIP2kDY/MhjI3PBjwTdbrl
CFt5Q5jbmZ1HGI+S5kSNqGtlMjHxNqmiBNf4lphOckgbtJY037ry2JaWf9lFthYQXWv/fgA3UilT
B3Oe8SBMnEfFuGbSteYPIqjexoUXw8SrCPVf9BRDEuF8mHLe6FKDR3WQxn5blwQlUDokXlRliCxo
AdKp2xs50SvfEGFvt5ZyZZq/80LFCVLTSy9Zjl68dA/whiJKtmy8d1HWVnFrW0h7oY/C7QIo5mVy
ObaYxE7yjfpgv5bog0elA8QgHp1+jJNXGb0L3m4NK9oxkI1BziNTny+v5Qaq//w7uN1hpuVQ1Q2+
gz29N655qj0j+B6+0l355JyqnXQyb7MH62vkCewu0fH8QXpul3vvV9WkTEYOJ4L4d+7nurvgPMpF
4lQ9ya2PnrNclOfcyNXAJvJBIL1YSGFlzqbsZMUQQiQhiPIWXfi620CneWT+goUzw1PXV0TrAjoL
HsIb/Qnndhd/W+1Ys24hfqFgjgsiFeSmN/fU02+rR6Axcdtr7yubmBGhjAzP03fBPC9+9GmeQSWJ
fJgJhha+76WMGZg4JERbXTKIXP9wOupTOu5VZ9x1tLhO2vw2hSCQ0mPg6ZuRT6Jr4RKPPn0BNC1x
uV+wvTzVSF32YZVQGfmjafgi12j/cprvuGM9V4103fT6q2DEm56FZCxgiBAJhfbp+Wx3c1bNDptB
DyAXHpDup1gaINZQ2vfGo524jfxcj0cDnK6EyYLZ3oqM8C1z4UHAOcCz4dRWhaJ2p6KEeQNfzm+0
3E8FRY7N2VyZ4HzJwj0mDC0F0Z96dsZIXoN/yiRS3LmVCCz4+dUHv13Z4u4CmTlr0WTpSG539o/W
0QlEKe4vr9ayGJ+cA5JXGhAnWC8+Vz/ldY9kF5wDMqFEayUfxaeiB6+a8h5L17bUkUJ0smxFdw0r
ZELCDeRIfMZWM+dJprOJ25SB7W++geNJUTtBfNtcppWR5c9XWz6pixLM+hYezJlT+IljRn7vyGRu
FhFpq6WkrjIqsLnpfegU+eDFQNKNO5frxMb5kRlJMKpPuUyJzZ6s8a0ACPHymm2NDQTNeGJBaGZh
czgfWwziuFKtscFGjMQDbrIPptDoPX3uY1cd2E+wPSgCm5uxeylMgwdtuXt8ugOHtJ8yB2fyYF5V
z+N0a0LXp44jV8sdd0xPdnWXWYK9tjWhOjCAINWHm8A7zwfK8qTvNRvbmYKOSXLDBClo6RaCdoID
YnNCV3Y4Z5mZORqpCTv9WH+Xi4eG0b3zDPLK3SSFDrm8evrGjgPJLtCWSzoYF5DzQVVzWTCpjVlg
PSugVxDxhi9Oxm/o9c9zzqGVqjrmQ8aCan4bopCUYMAvpYdOOqktdafx/fJotjbz2hy3RCVuTwC/
5mgnGwxSDHc2qNqEJJ9bQWpthFufxmlpldYLMLB3wFN1Gw6pp4x3xug5ts8iQL6EQPolrXppGrm9
nEvtONZQ3A2iYp/XhyR6Aqku6ZFjlupniCgqxksy63eXJ3PT31euwZ2cJagtx6xNGRIf4ONS7tGR
QxTlZkYu57KhzRsREjeWpUPaFE91LqvcNSoL2xnqULG8r03wjrUpiQYH4iMdvZmkeB8bpj8OEBVn
x14Od0o2+8WDAaqwWS6u5LAT7MAtNwIlJASelgYr1HLPN8WopK0hGTULJvna0h/xRBS2D2xN7kdK
EaU0KHryQ4ZAlR6PqcEC5CSI0v9amK6j/yHtunYjR5LtFxGgN69JW15SUa5fCKlboveeX38PNbs7
VVm8RcwuNBh0zwAKpouMjDhxTi0Tnlub3aXtilIaEmBQs8HbgjrhLJ9pTDnJ8T4HhWOw8Ttu12T+
Lpn7vrOtMMVuV60AgpecCuoDyE0ggQu6a+oV0SnCyNaCGO8rYSAR3qSrALQFDP5MfzuHCgChwR1T
jqWqNK8PSxQFVf+Ebns9Yg5zl2hv9OmvaccV6K4SUJrAi5Q1695q5X9cHod9xA0/6gBz09/1FikD
ZijS+VEYt2pmBQXznGneP09sXhuhTqAYQDcN/Hh4FXqZJVQxqZRBX+d/XdruF2P5uWwvohO/LrVG
FfAQSmp+4w+PyE066/tw0QpAljMhOTpa6NiuKLRenRE/+2hCo0bGAYBbZtwHo7Vr9E5Llw5SSWiW
BUny3Gh3vTaF1qLwqSLyKZhE7xPNhgwstPZAO0zghey29lkIBASn+15s8USDaR00ntiOEktZ9UMJ
JSp2Dg+qzcgouxLNHy2Wq/yvhjeLN4COkgVjEH89PAHLVWXz8AC6dyJBccChJUV43ISCleYj9AjW
wq3FpbuwSJ1nFm2zQS4hRi7jcSOUdjtCskVaCa8WV03BAwPN5hDdoFk6pKoUvKbD/ojlN/TO1Jbk
bbj+pSxw+VQrdZ1FBzVXlgRkqFW4xespbIIEyuCqhpSO0jcPfsozpzwtW/P+jlgckQroPJ6d2Ix0
Shiy8gpQWoitWmQZ5/oH5HWPbQ0Onft2Fpfnwg61IdhaicNRRRM9b76zZOUuXNzWaCKZaUhxTdEw
uk7y27wMVOS1eXRZ8pPeDJAdZx7ydCXcEJYuKnD9Qiocwg8zI871orA4tRN02uHS6159b5hYMkZv
0HRgZ4KtNzerRpOPtIE/7aMy4nUQawREFFt5V3SMidy7bLBJKjrlwD0HDAcRpIxPrEKLkg03CuiV
94rJqKuofg2bQbLAU8ESNUSGNJ+Spy6teqLELVIxAV+cugjf4Q8tB8GSInSGpA/1XAbkjs3l0QT6
J7a7PA12Pn4zESKAo6B4tCb2PnsMOuqbtaPw7AZFHuKi6wkByXOp5tIU7wcmPo+NeEYqQ35MYiEx
ysIP3gOmklZWe/FeBcIZMA08riBdRF05lS8XcigMiEtGUkEllYi69sq5ymv8xf5O/3CKEVU6EHT3
d/DySP9jlS5KhikXs0IEq4WRa/V2UN796osR/E0vPd+3tHTyQfKuoaUSRRQQKlzPaSyh37vOMadi
CcBhxcZu5ZVrk7gUrqNs/EMFAGIIOn5EjqviWmaM0RDFO0PzGmvVAwt4kjbYpeakWU/YpCRt6N4f
20LNDffahV1q8UL8VqbTEHcFOVOQno2fJy4sT4Xksbt08LNHP/MjtL30o9GrErPxeO4t8znBGMa0
2AAyEKys6+I7/eKLaF47FSi4kkF7GDSUSLFXPn3O4n93Hyxpc0OtV6wtuSrU36C7iRow3ujU8Jm6
5po2gDE/QstetUlSNP+mEFJf665fNgTED5IAKEXQNaswEMdYg9fdQ2qHRfWBaxqifKxpPy8eCmAW
QfcB+SvIQV5v1Xqswf5ZwQ8p5BOEcvo2sVf2y+JhuLBAXRxjW7VdBmAWqnsCNGgeGwcsJo5g/gnI
aDCGCv6g/9Ei5eMTSYmjru9Aoqz8rkwk+RKxfWeyxuECB9BppC5H9SB1ORGgD6AkpMvWlH+WLuUZ
CfrvWZ3n5CLYTfxWGod5VkFeYYBOdRPboRus7ZCftPKN774wM9/ZF2ZGpky9qIaZAV6USFBehPaV
HRL/F1L8xKr3aNgKjVfkAU2UAYxy45868/lrMtegfkvjRdINBWkENGjboMbbCR0IS3gPt2o56RFY
cyqwiRflyyiaaS3jZZavnMKlaAQhMJJkYILHq5OKrZAmDEUujRK0IUMRQ2PDP2iwPKbxWpps0Y6E
OAHYbrTH07fjWAFGAIAJ7NSPQ7EV1Q3oVe9v1wUTM60wZk2e0wF0llGppyQp8x76mKb0muyCNcbd
hRPOIYKXoGiLpnjcRtebBCWvtgjzIZnzHiJQA07ZQSNS571/viRXdqglqcVOyWStS/Zp8Q2MNegQ
VtHoCy4RcBL0xGMg6ASmBXP9MI5VRh6TfZEo0FA/zG2rNfu1irBeXBJZm8HNqHbLdJN74GsMm7Ry
su85W6oPfWQCiPNfrPqFCcrv+mqiDlUEE0Cu1NkWJsCBf9/EUtV+xngBFsPP9FF0kwVyvA2TtMDg
eLa086zIwnVNGn10/jyv5X+WooIrW5SXRxq9E4IatqLoWem3Qg9WcIBENSEnbGBksgHq6io3++RJ
SH6vpTCExY1xMVLK44d+mzHlPFImINpvNSHjzj92e/Z5spCi1ZPdJ+c0xrBrzNBqjfYc6YlTGvlz
a0PzeDdaolOZKCSEM3HrGUxzq556IVi7mh7KQWZyVQjpPD0vnMGaA5k2PKwpukwq3TNe8wcWNC8v
GgnM+3tgcSdfTAx1+CG6M0UF4rN90nt2JZk9y9vqZN03suhhLoxQJ39ooV8tFzAiFS7C65R5YodX
Th+1lQ39g6ai7rurWZw/5OK+G0I1F6V5NJzRkvLYbjlL3ci6gPdDrgd6tOGc+FhYk6HsZKPUueOv
elttAjDy2YIB6nSDNUQLFG56e4b2F28ljxy0aQNnJDJmXiCxEVrrnJjz2tJfPZca59Qz7kc6i1ho
3ljyM5AVOuKVM07G/dlfQq0AyodLF2lGCRTA1NELPLZVEgZiCgUa+gUypZYXo/O4eakT0y9JkRBF
Tk+psnJvLZ25S7PUmeNlpk6kEMNSIsVqBjS7xAO/5+T2Q+6CNcXShQADY4Sa9py9nwndr1dexjb2
BQljjHl5E9U2smxc5luJo0lWrayErEv7GW9TJPUQYUAsgvLNYuh5UjH3pdZVpUdstkNu26zzx5Ad
wGP9zzNSc7/Cf4xRq5cmUG7wOsC2hWA8Skp98Nt3WemMsCoJy8VWL66JiS0unAbdKnTdYkeqlE9Q
feT8igxNV1ENaN9YlCBdltGvlFUiRyL0hjj3N+iyPSRkJYhVANBPnVotAhWZ1qFdyec2vzZRhHht
KNZew/Nuow8ZUhgopqBOi0QS5YPYcPD5eu5IKrgXtiisDmkbPjzz5Vsgbvp24/MBSdD6q8Rfpeik
1ev9MS752Uvz1BjHLBynxCugoeDJgO3myF5509kvq6f7dubX5e0wUQGf087I9lCHrgD3kQ9kLVq/
hHeRlXZC1DhVeubVj5J7SKLU7Jo1monlof1tkjp6PtDCAIAANYV+idoAxdqX2ADjl8rlytiWjh1K
Ef8ZG7UvfSFlJi7FEo5RZTeyZhRj99ioRaALckkYaAzcn8slv3xpj9oyU8h4aAqb9yWYjELxqVX/
3DewNnPUpmD7VuO82UDhSm2gF/lZlFac8Np+mP3mxY1YRmjR6Ersu6yFPFkCOtgWtxz7AOI9IU6g
q/QtAON1f1iL68ShxQRHmYVaKLVOI7KbDC8AhFw8DIhifD3unVggTfFx387i9CFBiHQwXkY3LIZe
ycbeNEPYolr5HL0u1j3OOwzDGmXn4j4Q8J6YSdzmnuTrOZTKRFKzZoarDc9y6zDS+b8YB+glWFGF
5gJkt69/fxi0OVJiwBv1oJpKJSBXgCtluzXagaUCNzqj/rYz75WLveCxY8zIPWobDAdTnpXGYJpE
8/430nB2r/CAzZSinlTqO7qrGpLVD1IMVDc/7FMspo/u2PvjXvL7PJwxssr8jLqmxi0wQznG/Vwh
Q65Q2iCdP8VEXRMCWraC6BMCZqDho3WAGGgKM9KEUQMZXBefDZ6EYv8gxiux5+JmBLXcv81QziL1
5b4BrRIKR2BMhMBxPKAfKFnDLc5TcuHe8fjXMAr49Z+2ePz5egnFiuewGRvuLFYpCc59ZLONSHwR
NCFhaXBpu3KUqVHR9ujMqTeIUdxINXce5E2tgFnYy8jErvS2rBmhwikAO0JvDDEovtfMVtRjIEo8
9vn+ZqMfuzdD4a+njmeg7dBXsMI+1h/Q9bKfvD+V8zs6lvAbKzcVtedmW+ihQ/IJmF7IA9Id+Gmv
CSDnY7lzXlXSXvM87snLJfYzwJPeAKZEWqkkLtsDrmJuL9cEOkkrRoIKOBDsdYo9Srsh5wjDZ0Bq
Kc7KLFLv1H+N7G9L1Cz2GptXPa7hs5+bcrIpNYSF2SEyxPK9Tk4I3fqeX9mD1BX2l0kEbTNYGH+h
C+kiKnVDLozcucimfsNWBepkVZZZGsC2ZtOy05MUVclIUlEcHH8Qhc3KmOf9Rx06FFF46CWglxGd
RPP+vfCbaGeImrkEfk5foj9lTQZXOvZvKSQImmM2rIx24TBcGaP8CNMljZzD2rkOi13KVmbSxPo4
NubKoNbsULFHqil5IeSw03eyIQX+qS1VcBtN2xLacA2nxy3UsCCGQOQkOxW9tlHjeMsGsR37vMGN
nX3/exYX+WKOqbsAbfbgNeolDNufXF/ccvl0CONSHzlhFyZAxWesyUT1yiwsnpsLq5Q7heJfBq12
WO2T1mpk3/K80Igz3mq6ccXUynzT8JaBySNN6bGJGvDA9OL0ptTHSVTWEkl0nu2v0/L3kH6SAReb
tYNQG+AoGBKbfqfKW1cl25ZTycTlZpjzpEwYJ8CVwcqTlTMiQWeCLsdrmlwrq/njiy8+QqrzLvc7
bC4Gqf6wl7bIZR7FSN5JTWdIZbtJEhDjC2tzvOTjcXhmGjcQqaGiMC/ChV2/jEVGCRm4ivehQUGM
dGTSt52dPRZoZCDd+/1NS2dW/jXZf9ujDmsZgYMUmVUsaqA6BYRsi1Aw87TThwKtTiKSRygnpWCS
G8AMXWuhtWJ/cVOBCEOZ+/0AkqS8sabFUlN2KnfOWuAGxujQjxEgZ91xQlGl03pbGpHLGuVdPQHi
h/J9BGXa0JGZibTCCvJocc0vvoV6eVYD1wzgA+TOQmL1LHoaQH9mKKOJUu+EvGn831x54H3D7AI1
jwTJ9VKDW7dM0CfPncfhHZzb/WRxUGxaE7r/aXm68f0XZqhRoae3znol589ZAq0DYMbA1lhUwMqL
bAQlo7ZA66ce9bVG6jry9FQCxqtuit4U1FwzanWKt3w9eHbQMoPZ8eN7qAzlToFmyRZCTqI58YB+
KHE+Gej96Y5+WkSb+5uEer387FFQGiInxkJ+iaPr0b2vIZoXff4ce+WpqfKz36prjfJL+xB1aBBE
z4UXCAVfL0aoRm2H/g/MkjyOTij4ykatObTke9C/vD+cRQeHZwyiHMheooJK3RR5P4rIkxf8WYmF
X3EkW3Ji9/yRF8CgCK2VkDcS9iMoQz2Ja1MakFPNcs28/xHUCxfPNOBoQI2C5y3+wfG7Hq8yFJMX
KnXtoq8WL7VER0rQ8ITvQvYNn3+6b+wm5ofEAjptEQHhrS4BWHBtjAmZUeSYrna7uDgzJf8YDtC0
LpqWFOy0YaYC+57t2ZULmW4GnMcIpzIzAcwpVfTEXpv1wRY9pcJQu/U0WmrT2UWyr+JHHDSmnqxm
fKtQZmNdvzE7rrP7ejNB1ktqjPuDp3Wsfj4D5U/wi+BpxQHReP0ZcQ1661HVancKn6dTJuiAPyWd
rbTEQ9O4Odo+YyoZwG353E+1C2Ur5cz2sSjMQNo2I7RYSbkPODsUCOrgXg42bqMddlxCWuZUn9dy
H3TJ/a/v5QXwCaILBTEj5ZcCpRTquPRqt9gon+lXaHZ6CfW/yfGMZsc+VKaA+6h2KquxeqfdQ4Lr
3O8aYzqxx9GJVvYpd+OUZ3mOi6+h3BeTizGjhpg93m5N5Kj11vQJoyNex8Xokd9foxGRb99YeSYs
nA8efL1gAAEBFZRc5/9/cQ+n7VT6WsY2Lhcag5zrLf86y2lzOTwmfOf9LXLrESAyAZVjpDZAQ4tN
S22Rsh57r2mwU6OucJSscrP4XasKOw4a6ED5+zzmjImDmIHcfzfMV6u+9skaOPU29Jg/QpzBY8iY
44c6pZHX8B1TyLUbQ7sjlysgVKNH/1HKjUjk9bExcsYnpdaZXtnPXX7c28osLLgJ5MJAUgKsAKhX
VWrOvTALWTULG1eMXj2I5fb5V+TzGyHNSKuwRClORRxshpe62vTFoUh8pwoavRYMyX8LOTCJ8uJK
REDD+OazIHDIeovIi6CzTaGuBabnpbZMhcYVarCdCfu80hnfHhCNDhHJNckY2u9wsOXooWQHAkoQ
Mxb4leTCPO9XFzi+Af1SyPuD4A//or5B7rMq83A/uX5eonqhASmp9vwahuI2EpzNSOjKmrWRBOVG
KKEKRjALd62LFvDa19PYjNWXUDgqpZX0rpcb6Pts2z8raz47k+vBzSJMM5Yd9IVwjtSadxoAomwU
SGd1clDWG4/joIsDKFKlnTYSRASoWw6DM62+Zm7PHMAPIH9Q8RxHTg24sOsTzoAfmVdKXj0bjGNt
PkMTHcuE03V5t+JKbi8AyhJ1sBJeaiSugqXRLvbVJjMG8pUR1ZhQ1BV1aB7oFgeZucbpUKjtzNBW
DRmCc5wZGsE2tdidb00Pa+2GPy3KVzNPfdUcEV14uFwSWkmCHzi3+qgPRvRH3WabDNqOkHsgwo5z
Eisxcv0LMCvgNwx0hKC2LFuMzVuKzZMRoo+xVdjJSkPIjb+nPot6kEyJwNZzl92510EQrCtmRgoA
u9YUuegOfchxXS8/tfE4sMTlefRjJ3+BijsGnRmuT36/flTEI/XeIyxZ2e0/rOg3c45MP5LFwDsC
43M95xrL9KmUSep5snrMueBIzuSEOreNjqORGijF6rPqoLHFvNr3T9o8Hsr0LMiAGASYHzArUqYz
vmz4Iey0c5C7Kn8ooRcYVe9hcUhQIb1vamEJkeJFgyePu3NOe12Pshc6OagitCeGI8lLHYBzHw1Z
BeIW5GMMdk0ycP5yamSX5mgljYkLJmzlkjkrKICW0Wda/+Opm6vX0NEA8ZiAhxo1dVI5CFwFuJ8r
NAURpJqohQVmAB0BhM75a01ztws1o6pB4zqrMSFTTh0AkfHrCAkQWAOM2BNA1PXOv4r1blwTzV00
9COEh1OOnTH//wsHkIhjl2eNELq8WgJSYaZugfxZ6ZThyi16ux8wZ0CJg5iG1eBuqQusRe5TUpgw
cpVzIgOGIiZm7jWkZPQkJyHLm2D6ub8Dbx+96H2QZ2IfDiBm6WbJkOnLiyj2I7eB5nl7+BS3o/7N
kOiU6miJtGPoV76zRmMX+AnMtYINDdeGc4F5MDSiLwZ0vHA011Orig3bDEISufJzqU8GBDud2tLb
15VR3jxaKTPUFdZzZVRFQRq5KXCxEtCxo1mSQP+cCL+pTN8WSXBsjQoA2QQIovfnQveNtXuEn/fj
9fG7Hit1OhIELEod4iOKN99hCASD9I60cN0TBGFFYzAfJmgEg1+dFLZK4FzRZXViSbay5Eu7+XLK
qetMjlLOl1lMuUJG7iQougjp1mIXV+f7k34TpGLOZ+0UZMsVRGO0M6jFUZazuIlcCYlBNQsg+Syy
PFG4x34D9eH7xn7ehvTkXlqjRlW2bQhylTpy64/YTPTO0gi2k66avM7rigUwBGmtwuTIYEzG5xOA
57YMiHto53sITQIO1pD6XSbthiWVDY1Lu9W/KxI5jBHpkKo3BqMxmI26shY0WPFn/yszzx+LDj7c
ddRnB1HUVTEvRm5nCUa320zEdxTSPk4QqeYB1B51dtsYxaa0I8t/fGqt3pJJvmEtIcHd+5Ea2XYY
yDk0mIc1feTF9cPtBO+giADaUkdz6BvcFuH8aa0GKJDTtJPRlJwjI86IBJKyT/eXcOl4oHdFZkF8
i14skbLHq7GWMl0ZoxNP3mRToufeRmaUPbOW6LsN4LEzLy1R3qBqSzzqBlhiRyJYfmmVreUpu6S0
RYNBbuGNzTf/29ioox9UWiEwWYGxtVDUCR7a4diFA2lW8GN02R/bCb0o8+ULGmZUJWkN3TCNMw70
CpHLK0bV7tLE9RGMThv0qBABMPxWRDw67TrG6e34zIEL5Kte8+m364hvgKbKzLiDOIqGOLJTH0gc
E8auPDqVcvLCnVceeO7z/owuDhUiND+NKkBraFTsNPADXt5sHLuDpZ2E99JMv4uHyOA3sanYAEKZ
kCPJSbmSil4xe5OA6NHC5kMTIXabfWuLj/ljbbSWZk7b1mKtYqsY8DwnfmWwty4bASJO4ZynQ36X
xronid8nMT/EbsBY3kE81rEzekgxcCsoDVoded4/iDxw+mQZpLE3LdNsiHdv4bOJO+3rxzeFlASB
PsRQLHALkyf7Yb9/tb8evr68t/4Un5iCdGvc1wtDRW4ZIgDIX4Ow6adn8yLWSiFjDwKtMnO9X5nF
fHAmFLWNla1zG2ahvotGXMB7BNAT0GH3WHCl11VD5o5b8aX9FZz8X8BX2JLDPI1/GrM/e69wrIeY
JXlhRGtndPYu1zcVrM/8TGgYA6ExnUCveqFJy0DI3MIY9qgK7HwbAGkou+CmTw5rgMuf3O09c5Rb
5UbIKcWSDHOb1EkfB6hZ6+xGO1Y7eQM1TEcwymfpWFuQqbAbOzxnz5rrmazTvioRUY/Me/K8ugBr
U0A5YFYLI6bQ5m8CAL6wZL20AwuAdIM3css7romcLq73xYxT3rcourAKcyVzGaYhk/ooJAdpPImt
rlXPQq+DvPr+BruNNq9XmLrUC6ZTBvCgZi7rHfkuMYRyF4r/kBJ5Pqro8EbXv4TiIrKh1LqGsj8K
SsUGbg3OHu61WEtzLQwCpAkI2yBpikewQA2iyzTQSfJc4ErKn6F5YDI79NYgRwuHHVE/qpngZ0Cc
SFO2DlKqDaKcR+5JMETziSf1yoPqNi2Jt8WlBeqWQFoyY7wCFjj/CX1PRI0euOTAjnYu/VF5K3dF
fyfupQ8NIk2o4d7fBwupk0vrN5cFKlIpz4+wLv7yS71/ib8ka9oln73hH4jgjJEpbsJiUzwLRF6T
s164hjGrPOi4sEkAIaMy5WKWCa1QlXjypKTHY8epHuU1iNp8cC59C0IM5OJhBBSZEsRHqHNcT31Y
y7mfu/7IkFg6qsiIrkwhfXZpE9TZzVpPafwUJrJ9/838xnBeyhf+I90G5xBvJWkbe2T6To7pQ++y
K/nIm0T/X8bR74eZxBjpDENX9VWujhGMu8KueA304CzvE5N5wGEIyNrNQJ842tp8Wi6uvjgfymKY
rYEewBiafRIgrdG93J9QOqqfjSD25aCBhXzTDUQSDFJT2YpsDterylb5HKf6MKFFao3E+uZlTxua
9+fFaMq+SdOinHJXIN6o+7v8Odlx2+KoOmtX3KopauLkiS1UHsRMLrPzDsUmOfm2vw+eIrJGfri0
QpeTN0/u5Zi0GG5XhiFFwovd+1Oi/yS27y/Q4qZDaUdEFRgBEERdro1wMiPEHsflbr8VQZVJus/i
VXsGpe6z8iBFJF0pmty8hrBQSHZC8A6JSCTuRGqhKtw0xRySuMKJT0j/VD+qJ0SaO+E7PK05pYXd
d2WLWqkG9PZ+wCSlG+/CbUM8p7Ta1zWCxfmXUF7pygi1SoGsDuD5h5FgkzwIDnvi92tbbnEcQAdC
ChNvSRS9rtcoBACdj4uydKff/YdwDD6FivCv3sf9rfDTlEmNBFc8irrQw0NPMF0Q56U4AUw9L93k
LdCH3ZNtWcOOIFI8euRVf3Qi0jr3TS7MHSyqHAtvN9dzqVsfDIdx67N16aZPfkn4U2Nj260Qly+c
olkFAy8ZbLa5D+568vyMicucYSqX5Q5RohEWwHTfX7k4loygPAf0NNAbLPQhr42AsiTluiKo3ZDb
RECHgdJQBZDg/mzd3n94Ls3ZexQD8WKi0fxSolVlUWbAhigFCo4JtDzyNknM/80KNRS2ZdAzDz5q
1BvPDJ+TfBhXxnEDAME0YSAafABKH3gQURe5lKthVHsw0XLbSfxgGc2SeV2WkY56KEYyWo3e5brm
bxkBHFqbLFvZEosTKUKFAHsPzyK65sLFciwJflq7QwdBc0hvpnpbjdzaMJfNAFMPaDFqqTTORQpa
bxx9wGsqdN5KoPTW80nPOh1aLIBI8m9s/KubfqFrBgqX3BrTDR2QzXMMlM3s2NGCDSDh9Y6cmBTQ
Pg/4jGKsHIl99eTIHPkXKEKvDPN2618bokImDhA2wN+V2gXrnp6ij68r0N1h39+UN1VRejjzV1zc
hYzE5XKQAwQhEdCFWPVh+PS/MlB4bzIHKCXUBEOjsB2lJ4NVGY882QakJZIxZ999JNrPLf56/5uW
lhfaUqBiman9bwrVwZRLaQomPrdWwuCJ01jNmKagXnGRNyWTn5ED0Y9LBGyDGu2VlWmcAlVlGhQT
1C23S58Mi9Uzi9spyDwBg5o48g41X97Qtc3KZf0DALu+EbC2F7Yp39mWHQs4LGyDw+P1gGK0XhjV
Rt52p9pCRtjKNx+5lRovLLhUEvP85/4E/zQz3DPPXy960hUC1/p+6wKCaal2cZKQImLtYuMlBDl2
S7IHR9F7C0WMJ34/HLPtWtX7BiNAzz59jPp06FkBM+Cret58Kq9DvfWUtyawlNdI1LkAj7zaiktS
c3bGTHbaQNXMYLM/owBq1nwPMlFZySEKxhh5HYGHQJcZI9XwX6en1rfz4UuCNkkPMvzc0Vjr/gQu
hKpIDQCyjUsJDMaoe15PoNRHchC2wI74hR4W+9o3ZWbHOPVrdtD2a5f50nnAzQc6KKS7Zt9zbaxo
ObYqGbZ12fajE2PC9aFxfzxLPg1hCQoXwN2gNY+KHcMoFJUhilsXPaHJdmjybAOmwEpnW00jgMCX
K/YWglVAv4C/AfoLvTYcDbmrxxjt7Una4vkikUN0lg7OGZC27/vD+qk10Pv80gy9yZREyZgIZkYb
7bVb6Sz95naWdeAM+aFyvL0t/SI2IU8dedpoZvRhMpvHR5YEvx5b4D3OhT6S75WhC/PZuvdN82pf
OFy2qidJa/FN8khidRcpgJY9sYGloYqBaiIyiY/pM6pahTtJVvsG+QLQGwGRrRilM4JlrjabZyHa
cd8Nt6n5T83gJVLtvdEI1vJfN5XO+YxeTh91N1Rp3WRNnbQuH+/q7iAUOmgVvn0r0zVD70m/w98g
p0EiMzIrW+efjMeEWzlqP2iGe/NF7U1+6FiG9/LW7VN7jG0A03P2E3gtv9I1h9Eea2mrpY9pfyqL
iQj9Lik2IftZyImeKAT1kjTVBeZtUvX4oFSGJhuj9tQB7x6bIh7M4rbnrbQH4+t3sal6MBAQjrGr
+JTH5qDqUK3n2mNQHAfvIapBCV1DdRAEHz1JoDTzFad2u1cLc5ItYRP+jvxwp/rANBN/WKXiuc2g
8ApohfEPimpzkf1639Ra3YFuvq3dt1+nT4BmGNJsoGf5wJBPqBSj9DyXn5HdZ0BF4oOiav7JdfwZ
/5EBqOh43Jpblmw/EudZMMGJiKv9DBEHgK5GpKz/+umdTMcZuH8Ml047pEnQ8SsiLAUrIeUt26pK
00EZERYqm4Rlf4dyexBfow+FcWTNyqrGVduXKKrWts7tSUNZgJ87msGhgffQ9YwJeZh4yNo1bi91
E6mn8pcYaW9s5B+0cGJXzvXSlQASUrDKo3SEdC5dAhaiKsxaecbtCskuHd1aqo2CFQ0FmWn5LRJO
aUfqci03uRRJXJmljkcplGzFz3Bh7QSumeJBLElyjrf+s2z0wK0JJqfzhNmwBoc0G7OpwUlTOsE/
LYbAU6CcMyeYZ3zNjTxIr4SFyID70uXZbUg01eIj32iexzNI7gYBAAUTD8STWKxEr7OvpHwDqmk8
xG+AH4LYK7XC6RilYsUijmGkQ877pObXMEM3qMmfkV2YoOaXCUrkpAavcUvOLrCUYCnp+MDufCtm
toWeFwh/+8/O9vuX+6dmIWuAOb2wTCUn5CLitTTA4PCIsaoN6Khxkr868vs38A1YTk6vcEn5hoaf
NRzGTX2UHjYVc/Cin01tEAAcexC3Hfo44VP8bQCfAjw8/4beLFBSWuMan+cNYJC2Sz2Se8WrfJXB
dNdmBahGoMs6B8hgvJeAghdSPEg8klvZY2xoAL7wK4XTmzoDZZ5+E2ip53c56ISRgiz2zFE5ak/D
q3JUDoPdfmoPwWEtbff/rDJSuIBbo1GERiFXPt/J/oCT4w0kfYmfinNgTY6m578DDD4gKTQj3gX3
XJusT1LDO6rm/X22kKic99nfX0AtNSsAUZCKWOpCMJVE92wIjqVODObPiHg88U5sabL9nxWrS9cZ
mlRQO5277cDKdu2cVYb1MqFGGMT9HjYy+lmhfP+LNUXBCv0N2rvZB27cq3hcnsXEbWsgYnm9iVfW
e/YPt/7j74+gYrG+lhI2kDH5atL2ZsDBV/ehkOudXLzeH++ip5rVmfFWUMFRTVnS/EHj80JCe8X0
xecHtmr0+wbmVboZyoUByhVqQtGCtIlt3GHPvEmOhIfQbnqWVyZs8Zb7UZn+1zgod8hNVaYIPde4
8bfwm3mLv7RndS+ey1OWrwxoeV9ejIjyf9OYFVMowNTUEv4XJATTQxLoJeDCO3Y/HDTw3r3fn0Nu
/pX0JIJpCGUwqIcjU0t5H4UFWQ34Nxu3AMXvO3BL7+lWksC4ObxAcKfeKW766mdQyVvJeCzeMheG
aak4sWYZhBUaOkHwCK/2sq29aTsICuFJ8J1a4cOaYviS25lTWLg0ERdhU1LrGGXoQs14vPia8oBH
dSBXthQ9V+JzVU5OM5g5KkuQ0UgAWh3JwDqiqFeZQKDZ2+bbKvX0LM6cPLPyNWqipam4+jJq2du+
EjhvxKNDjBy+3EnoPukeAv49i6EMdPQYq3xvDtM2iT7vL/6NQ+LQNwcQ8kzTgViVbkSu1KBvWoRT
j+hH0wD0l3Vcgk/t+FB6lcn1Hjr613Djt/laYCpnwmGsgArmLpqrI/RrEYXzon4MmJM/PnoaYwzi
KWuA2Km242sAHjx5n7eWAOJnzYhGm22/7o/6NguGT/g/0q6rR3Kb2f4iAcrhVVKHmekJms37ImxU
ohIpiaJ+/T0cf7a72UIL3usHw8AYXWIqFqtOnQNYADrfJHsYwF6Xfrjt/DwvgoElo4e241ADl6T+
lZjDLm/1veFokevhrfVUiDvS33l53NcvpvZ7EQKtW/1zAFWZn5kG1t1o1DYW5MqjyS9DB5KkgMEl
pFalF2cYKfpGWWKxPJ7sU6/9Hth7Lj4PbnC0cF3enomru0Cac0G6jQgeYcDbiTl7lw9trYEdhLPE
zSpIITwEYIRx2RbuTF5rFx5GsWIq0+34NRHuzBJe//aGKRwGMMBPfcx0ZJD016ral+axSeuoH4/N
8gEqABtudX3Bz8Ypv/BsnPqYO06G9udk7KMybw6eNuzKvoEklbhjSxsbRWRXXbigRFl9+TL3J7v6
OgwfQCmzS/M4be9tj4VB+YLeMyNrjn+wCEjGYkPqYM5V46/WbPTCLRcoYACCMGbHOWURme7+uxEk
u9D0BbA8hJ+Vl/To+wUdvJQlk699Z6ygx8pbyAE19S1qh+ssJ5YbgiJ4rsvDBQj15WQza8xBrGYM
yaQPX90i3WXz41IApWwfzIxFYJOQnUfWsaljZr1O46s13zvjsXjpH8oU3VP1cFrIu9zcgwIp/1pE
5Y6jH7ZOn6f+rp0OrRdy8H70Ud9vITZW94kMzSQAFNoKKoVKO0NxeQm8Iak04wGcTzuNT6HIxWuB
5ha7taPaf9HYbymgmjOEpt53vMNDVrzwAshiiARVZG9+HvE+GbqY2HoMneONvXwdImB6A2gLemjy
QSXmLYF1tpdtIcq+dviQ9DyGeEmFG+mELvJ0N9Gwf+f9BIRTxLc3z8o1cWFS8ZeDUWaOS2ESurH1
4wi8kTa/WiKZ8FBpvvHNfkG5GVWHIdHAqE+j1Gqrta4CDhIZp2xMxt/DgOZ4Nwxe6/RVvPCZhohT
j4Wz0ZC24gjBngAxFbSTyDZM5T0wW0CpNg6fE2RzlrjuOPpFMrOC4qW3JV8rowxlcNK7I4eO1mN0
GShRsd4GNDfEMifAXMWdCUGrIIva/jhmG5x6q2M6MyT/frZRjMnMaDfoczINB4904VDej2KL9egq
xkcAcT4aJabyGcMdyzAaXn3Kyu9d+vH21rvOoykGlL0nUsMtygwGHCM0vOM0RrnYoy0CZU9w4y5P
08dpI96/XiDwGEgPppuojGNwl/NmmyOpvDSfk7Yt2kPudNXDwHUR+4togUw3t3j+r+98lDfQQIOE
HXp/oa57aW9JnRKQDDonWeEdh2diZ2Gasl0txnipsOGzcqsL/HrRAGAANsOEWaTv1B7syQZNFYpx
c0L8AGnTAi3fVeNtWbl+WYAJ4e1hAdl1OC31IhAEbJF+4WAip967o6T298AxmBHXuyoead0dZ02r
joTibcFE83vyR7ErZm8KMwhw7MDilIVoMZn2gOhlO7+aycHK6FaSWU7v5XnEV0Ju1JKZPB/N+ZfT
X0xOEfQgrU2CjodBUEQ6UIcG92Of78tgiwVgberPrSmLzYKAOaZA3Dv1bZwx52izZgM4ujYg00Tr
KRrbpaqAsn+hMGqP3K5EYgHslX4oHGyjR9f6qBuvt8+meR3YwTvjoNjo5kfsoqqmViQtHLseRZJ3
7T4nX3W6h4J7WA7R/ExfvAztDf6n3OcxVIZwbL8W5WudHcrgAUwHHXqPpx/Ol6bwQl9ycswbofS1
+wMPx1s13UEmHGWEy3XlUAkPRM9F0lfZqXAABQl6EfZ5s8XavrakQMP7eFgiJYsjfGnIbUfP5Nog
ksUfnjKbHs06/3B7pldNoH8S04x6AgxdmvA00KHaHGPJjRxPlsYA93Cvb4pty0BcPQoSC4tLSTbC
qtAw0bpGT11HJG0KKZEUfuGQecYQU6cdonz0xSenYNOx0XIa1UKwHcRX6/uBUhbVQ2nGtwe9toB4
n0HDHi92HEzl2UAIbztaGiJxmPfsYOOQsX4GvdHhtpkVdy8FeQ0XbFyobKuQLkI87A1XF0nB89cG
rBjV0uwo/Sa22MbWzqULNSVcLrKIrsb5i8Ncs7eqJWFT+YtWQdzgXyHqRLG5BO/7gW2VZ67DNrzp
zwwqJ2AYzMzyeQaD43DgRhkZ3Q+7eU90ALdD0/9hTbvbU7kSm8Iiqk/gVAHqHk7/cp8uIHisawCV
krq8N0YrNo371CVgNBvCDM/qzP4pRnsvluzZ08s71mQbT6m1c4JmRFAqyswR4uRL+7w0egtclksC
DOUSUSvrDqD43RIjuE7Y42LzgDeD4ws8vKiU4yhortV94SF54VVHo4snEdMiNIc4rd2wfGd5BzQt
g4Xr0GnBoRv72FrMBzD7MJRmi+ord49l3d/TwXq3Mf/XgTM+DH05oPIEHzpO8uX4a5MNtHHwYbP2
7ALGYlpRru3M/tn4YHX7wvnKt3K8a4cUEwFAEaDZ6HxS3pWmjVJ5ZVsLTk+201JrD0zFXUO2XiBr
h1R25IJE0wJ/vlr0MqHLOhN9WZJ5ngiay0uwV/g9Dd0cBEo8/3l7HlciMgTf4HJChgobWRXXG/Ku
CuYh0xOjHfRDW1QffKI5kZ5Zw6luyvpQU8PbTfa81biycmJhGAyikExGNlaNRQB39m3Bchh+Z97T
9/xg8mhp7offxvjl9hBX1u3CkhKH1HptGV2JIQZ1c9c7oPwAtWQuvJfbZtYGhGKHJEKT/ZSqQ7Br
sgRD04rEfyQRzkj/8bV1IiuPWj28bWltzc4tKbeFaEB8k7awRKt94P4CjDCielKhf1v337Npf9va
2riAGsKmB/D8mlktyzudlwEViaeTnZdnAGIZseXHwoeitf7adCiQpu9v21wbIR4lEooJSpyrrinI
xoOStzYxQnQk2IlASzeY4xoQVO6ncgOst2VLSZiRzPdTEuDu1SP9qQWOHzQV5kO7YWXNkaJVAFhq
UweVAjiCLv2VPbRe7fe2SEQAAOLYPre8iZ253Kele1eRU6ntKBAo/MUp+KFZho8aMg7pz8B90h1Q
3Uc0Ef7Pcflxe6JXnM3FV8m/nz2cZ83gmlYgDJozdDz7051ZghgH/GAViINvm1qd57MJUI5h6uMQ
QstTJJlpk5A1qPqYGYQj8RLBzi05lnhLEXclDEHJFeL1aI+Hk1HjHdFkVUmWAh570JM0O3Spvgvy
u4l8h2747dGtORlJtAgxC9wM6I29nMjUWKqJWu2SAFw3Hnnqi71m4ylYWkt/d9vUSlkB8FmMSSqv
Svep7NhWuPCbS7ckFXlHzY919Yt4P4Znv4yL5WmgH4n2qekehjoGphJMduXhtv21oSLwAFIR/bHA
ZSj3oO5rjOdEYFbtuTrUDfsBtdRstzCoF9y2tOZ63rTDcEX4uA+V3WmCui8QBm5cPkf1q/WuFc/W
w2IWIDjYZ/nWBl0dl1Qq+581ZYPSeekyrXWXxOlRe5wAEvaLXT9mG2/Wa9idzEbgYkdLBV6U6OC4
3CqDQICe2dqS2FMMdXcd6fYuCYIvDe3CmgHo1e1K5zhpNOLlT8riFNmR6iW1wrK679ldb5YhuP9J
F5nLkzO/Lzo/rLj36DYbj5K1A4vsKxBpaF1FB4iyzunc27PvpEsCxLYeWtR6GUE9H00VNaIgL6aY
gQw7av3hD7JE6DFAxgZ5UaimqGnfXrCOeeDOS7zPUDuwTRb7GSDid3U/x/Wn21tsZdERZaHkjVgS
WHS1d7BCp5PA409PchAJ7oy8NsJuaIsdHUl3vG3qLRuhvDlR5oI6Nx5FSLq5csLPnG1ZBpy7HjcS
38veu0Sv4zZF5Exmw4wWQSEmCK7xeKYaGvkXFwyVzmLsR6rXxwyO7JUWcwMR7IKGy+hWDz6i3703
TXxvFUUWUhKMj6VpN7FPDAoBh9bfNXSElNTipsZna5rHHbLN1g5YiPqFCD1/nfPMh+Ls1MYE/V4b
XmrlZgG3hXzQIuWEwpuyy7tx6Mt8bKykHU/1QB9r8eIzlAx8f2ObrrnDc0uqP6rzou2XiVhJ7e2B
XwCAdEEkRHd50x6N4skjYAaDUlyVh62d7cuvIn0YGxF6s/bl9gLbWD9lfSULLd6EOpS9UQ+6XN8R
tT8aBPgQ3WhiZiPBvgWIu8Zt4Vicm5Db+WwLDVq9zEFTWUnlPLjtk0fRYIBYgo/mwZtPM3vygARE
UpWI0+CKyAQ7UbmzgPopX/9krHgO4UbHpaf2VBkVq9jg9lbi6NrJ0qYIWuNbTzz5hL6ez39tKFuo
pKNuDENnJSJqrJi4hzpqSeQd6H1Fd30ak8//rzGpG8mc0F5FaoypQOrdATILEOzbFq7xNcAGoSUF
RwJ0PWhFU4ZkzbRb/EazEzbfze5vZn8aQlv8GiH98qM3d9r+tr1r7wZzaBlD+UV6HV25QNlgLjQH
QV+Cnbkvmue5PuqEbRi53vZQdNWhbuXCRaLwqoQ+kLdjbgUWz4TnaF0XzQBWblSVNo65nJnLzQDq
AThPWUvCv1wl36Kx2stazXWSYe/2oJFfTlqkFQl1Pn8wyi185Mq8oa0SPSDowEa201NCAVJNGauK
zEncvj71gI5pcWNN/xlVC7U6D8kjKYSNW07db3T2dG55DENKO7qHSDWFbsYAFljIAp2aOS92rr34
+77ixpF3HqjeRi9/8qyhPfRm1h65U5UbaykHps4yuu6QUMKljytRuaLoUoKZaOqchO1877Omh739
gwNuph1ub0y58S7toL8OO8NFDg1UelcsUsPigpKcGcmSx45uhe0Pd947YqvF4XodbSDE8eaS+gPo
rVGGk0v6I1G7Bl6QPTmATg0SktQKdsin0ePtEa088KQtea4t1AEBtcGQz1xzgCtUd5hjJMbyqWDB
J2sudyZK65Uec7abvCIaPRaiZXHwF8CuDoVrHis7bNu7QgNA6z214wr4m+nn7e+6YrdA4QttvNjI
cqYRRis+oHdB+16gdpVwkGgNYAId+UvXf2b98n0ajKhHzpJMIKvN9Mgqn8u2QOHvmfafWp2/74EU
cRvzp7X4Gw/P6+MMPJSNiYI3RKZfdRrGxDkF0aGZGNq9V7chFy3krSKf5vt2+ThrYSc2vPtKnCBN
wprcdPIavVygmWeNUeIvSf0qphpg/TQuW1KGmV5F2oC4QS/9cHrqg9CtrOec73SnjNLJu8vouHHM
3pJBl/sftEbgB5ZNX+AmVve/37fVxEVuJ5ymwc70qnrfp8Z8nETPktbu9LBrtRRoMXsKU791jxoQ
2+hD5dPvje0hvfPVl+C4G1KvDcBV5TFZUVa7mVbYiWfMoZPvPO3LgA5s5pehAQZh8jRE+kMPIWJv
d9vy9Q7AFJwZVqIlfag8i9mYgirowCkpWnS81HjJRnVwr1UvLN94d61k7MHLjKqH6UjJbl1NZae+
ZgAERd0kP7X5+1FwEIAftKREClLjYTM0ocNDFlh7vduAXKz4BpiGu4Pgg+xoVtHQlVWnWjaNbmJ5
RVjUVhjYX3kKEAucg55DxZiAZnJPu53FwuwH3ERLdx2UUtPuKOzHorzLMrIL/Hnju669vfwsOHsw
p0DwTcVnmH4xNKXN3URzzKPF7roMlNiLETets0//OwjWcCwDchRoxbex1VRe2yk3bG45wktGtMD2
JwqeVJlNLMW+LN8J4H+fKX9s7bu8FA+esRVMXt84jgWYjY7MCdb/Kj078gYlkmDyksHacdBcuum7
CQp04zsy/ST9q/dxBl12M5eHRfaBfQJyS8wb7fPytlGO2sUnKIGSjj5sOhfcS9wuMrS9WX0E9hTJ
00d/eCjBEX77fF3ffZcDVg625RtLo2mLl+D560a8g2ST1wlgSfx268F+DerF0qJAhDgQUSYSt0pw
xpthyYfa9pI5R1Nl9zFH6c19MBZgue12uEN2ogTwwotJ+liNL7fHubqwZ7aVWYW2Twl2WstLAu9Q
dC9t+ppBBX7DebydUGXtgOywcExAmojObjnbZ7c7IAxOw4hVvtqajh3Sk9Qu4sxLJ/AgNKzs46A0
UEgeeguYjmIAX+9jz4z5U9FlXR+W6IROj7POim89BGs+aUEAVRkUWZqnsp7B5jC1AlpFAf7nLG50
gr6Mqcib9DhUpe5H3UIWH2IZwPLGU8a9X2hNLroIbL1tHRWzQT/4Dq8/27nQvrWLzAbgFCzeobRq
3O4OXzz3HoQh2ri37Q5pQqMAJjDSGlv+KATnI14N5NuwMGgTgfEDZKVWCpkkQgFEcvNq/sT1MeVx
U7gT2jQto46a0kK3Tjv0XhNVbt1+Lr15xIvMabWXGnRe4AhDgdSJBHQE/ZeZInb/BYpyC5uAz8hg
AAEuvtOasyac69Rpnhb4uk8jGwlI5NG2caoMQvqoo2kdg3mMg15w9MkMiqxBOy26lUE8Chk2FruY
myrmzsK/u27O6ojVE4ovo2m2wUFbHDv7VgcdPI4+Om2/L1ob/Jqibifrg2A2OYkUCLWNXL9y8oD+
QXUQF/vfwpPK68GbbdHkLfQtLYJyaaG5yVg0U+iPG3e3coP+ZUdyn/sQvgHIX7EDzpl0WSAWe2rr
NHgoReBHVj07cV/VBRhOOD3QgPl3rdnHmkH/I6vY/6xD5QBvGFkRVc58JeoqzXqvPE2n4DuqvbdP
teIr334dEhF4IiNakwmzy/NW5maVWvVSnggRO+oNd4UzRBzFrbp7b7JD6/43BOGVPcVbBnPm954G
ex72qK1V6Pxrw802IeXCvbKixDxtx4xGMww0q7szVih4XFjw7A7D/RR0x7La8Izy18581l/W8BKx
kT0HbbFaIpecSALyGuWJ2osetXU2R9ZsLPHtlVJzGn+ZAVsKXoyA9QFWerlUXdvWA9p+y1PvtHtb
P2qADpoR9flhQU5aEBKjCz1m5VZyQ3H8V3bl389cctfllma5WDK3fgqmw1CzfdC9jN3WAFen8Wx8
yjFzSGWYbS/FgOdQvOMb78Y1Z4HGg39mTx6Es1FoAS7PSc6eyZCn1L7pmQ783xanzqoVACClahTk
cHTlOPHOKfvZ0XBYg+7ATRa6tY0w57/Fk3+tyJkV9RAFTo4eqwzdnMZHN+2iwYSbJvquFb+Y9eH2
tls9SoGPeg2SJ8CwSud4Pm86g5sFs/AJSWgntBwQDFpVoccmzcoDNMlBHt9VW8oJa9MIAkzpcEGd
gJfrpdGsSQ1ss6I6GfavAfrgyJ2jmyK5PbJVI+D+Q9oObc9XvYQphlt3flOdZtt4mhz9KRucpxm0
BrfNrE0gtPogQwfgNB6iymJNdT0Js+qrkyf2Ff3m2acmi0EeGVdbPV/rA/rXkuL1+ISGEM2EpDT2
3R2o8vCavD2UVQOA8kldIUT46lWUcWseuwEGer3e+fNBF+i6yTY295q7QTnqHyPKEXIJKFr0sa1O
HTplql2b3XvNYdlKCq4OBVcqso/ysaorq2IBsLxUOsfi053eIzpsohy3+e35WhsKgnTZeIXXH9Cs
l9u4WtoUDNNOdaL5zkarZRoFeIabu9tW1Ffvmzs4N6McUR0BFvOsgpx0igZzJJl4RBfjiyFa1DyX
1E0hdl6TGBmqfDenI3rMBg8t97Y2hvoANcZWdJHlieaAN6q2G6gL4o1izuLJWqbImSdozQlreX/7
q9cW4Oyj1VcqNboOSE3MDZ9ORn+wlp3hbtzLa7GNhKQ72Kt4Dl8VgKeyzCY6oIjrPozjh94unk02
hXicQi7zF7foxkKsDgk4xQBPF+Qo1Y6PXs/adjR4eaqDoYynwdEfLArimYCWzuH27K3dlVJm7m9T
ypJTapdzWY7lie283Rb/3fo4AIsDgsYHo5dy4S+EjwaV80bQK496QJR3SxTwDfe7ejhQovnbinLd
U0tkC7FhhZmopVbdvSNIFIzfQM7y7vZkrY4H2wCdF7hUcI9dHkMGsH4nQKtxGopvjpcsWcLJnwwG
4C1Zm0GDggpLccnYCzIgBET3r+B26C1obw6SzfB57SkiVQX/tqO4LTtglWYuiMXq0do5HXoMNXSt
aSJiYNmBEFsUGKDGzDcmcDX0BEocmGYPOJGrBiOBEg2kBhE8CaeLcvKMnPIBlF3zxKF/UUR5+sPM
vMhn6Hy9vXSr+xzvEuAXARpAAvdy6brWLGeLIxAgZRn16e+g3eqeWN0cZxbk38/iG2SxbJozPO7m
9AOf75EcDvn48fYoVh2RLOCiGdNxLZVPMi9cl7slnnB+c9CLKEWjr7EL2L6EgNoWamgt3HgrFv/P
ljJjjE8VgBawVXXAC7fgG7SfAcnybLo3nS3g0OryyLQm8JioeKj5qNxdCjSeIITyM10Hc2nz0rZk
I5unKnm+XW/4adlFh2gNpYzLFfJm2SdIy+qEOmHgsxC5PFbc72f/m2buhvaj/Q5Edzr5hP7yEtJ/
zArBsDXPccersDKb/e21XJtfyQoK6JlshlEfzKM2LGImdXWa9GbX1IkJWIcAX55fAz0VbAQQa5sT
LfRQg5Ld7UgWXQ69TZHiLXTEjuSu1euwDx5rqJTcHtCaS5EHWyppg7tXfb0KI+jSGRoep3HQ7suy
Bj0M2XVUD6vJoBgWCPvrIWwdbatTfG3zAMQBFAcgr+iqUQK9wa0Go9eRvtF5867BmvG5urs9ttXF
OjOhuMtqtN1RA7PoCck917PfGc5jadF904/R7Fkbi7VlTDl5tWyv1RxHpqP2FYdiI5h2aLHP7Pk0
2f6GsTWXcj55itvSxtmA6jaMVZ14dsgSu4UdEl7vvPSJkWZHzM0wc3UzWuiDQCglWaKUmKOWXaZm
x6pTzZDnCBtk98aIgccVgu+5CSyk21CQjPt1A7rT0UAXeGkwqL+K1vxu14PXh0XeA4KKMHT8UVOP
vdSiKsqdw0Wxl6lXSBxR/isLKCAhHkv19/nsFWnojlX6MhLDT3G4kXR81Coyb4SK62ML8KpB2Qh0
ikrIY/hzVY1QfgPeD/khI8yGI9hZNk7aqhH0WgHRiX/QJXl5mtMMtV+BdN5JS6vQXA7oYQx1+9vt
Lb96qlAAehMJh+9Ud6FGGrw4KjwCObSGCtCz7toZYPzbVuR8qCkv+HvMlo++GKgNXg6l9JeR+tBW
OqFhYuRoUgGI7n4TxrM6FuCKPQ/gWx0XwKWVfGYN8zy4P7AVBtH4/vYYVpdD9tqgRANeUBUWUvrg
r2c+ft0JPlTlk5fTcMg/3raxOoIzG4oD123oUDcFXswMAp53adtoYV/4LL5tReXb+uuKxFtWgp1Q
5FdTg8ugpQAxyjfzshck/Ow/inDKAFw9IkdPqlfnqNdlpI8H58Nty2s+D7A0lBnx4AFrnbJCswCT
gUtcXFBFLXYsG8Ez4TXQZp+W9kHj+sl0mi0J+rV1O7cp/34WsRmj3pRssLH3Gr6H2MEjqEB2jM4b
k7o+NAi9OUiLo9KguoSCMcq5V51y24qhoxz3pR2bevMSjHpY041ahopUeFtCINUcXIfY7FdQKOjY
T3aXTdjrkJSdnnIIEd3TBmwm96N7GD4fg/e3V25tFpFJRqVYdp1BSPlyFr25Qa17QNKgb1+IayIl
CmqKst3dtrI2iVAJBTYOsHLES4qVrrAap540rJUjYvReCwbuueBh0utT1zZ/4F9lxxiIhIE8QLHk
ckioyOEpuVjQui/B9dcfBsiNj1sNCKsjOjOiRC2a66bItpgIl9o5KicAP4v9Ys1RmvqxNSa3p291
kWzAwwDQlgdb2YOtaMqpz7EHJ52GLU9kSW/aQidsGZEjPjtPZRtUXG9gpEL5rlzSA/rXARYrNs7T
lhnlFR5YBGVMDcd2GMM5P1Ta45aU55YF5VKa6kWwjMqUEgBF3QRGe0j6Ft4GnFC6NPXqg0TT32ui
Jq5E5syZ1WO6fIdFEyj16PIHNTIZYCFphSoCvM/lgjg8ddrUk4emdEMv+F6WVdyAOO0P9pYLhQPZ
lSjZVi+tGE0/BJaGcTj674Y+ZsUImoI/OpJnRpQl6Qoypj7xq1PBwEriAJ0O1vGtcshaMIK2lb9H
YivVgqoreJ9LT+0b9/03kj4YZLcFvVi14YHrSBLpSxmpy9kqAUPwWZ0i+M0/WePvxjrw/NTbGyu/
ZUXxYIbwixy9p3DKxmMTo1Md4fTLNG14lXUr6I2TzOuy0/ZyLHTCC9YsS3JiTnM08/tqCCCgegja
b7d3mFzcq5MCie2/7Sj7OPMLSFd06LkDxiEwg0jvGJ4oIvQhpVdY38mkR5sB19bYlBi7HVHpHqoa
ufCvZfBhfPLAQwL2k9sDUyFub5c1EvoICgBzk8DayxkEBAfXJebi1Cwvi28eZwvkwOyODJE14L2i
h8z+1S3v+wXQM8ve3ba+5ubQuIx7GwhtSXl3adxeGrzSgxlwBAgjgz6WPnrFx9smVhN+smfYRMoF
pB9qF6Vb6QYLSlT9OjvNI1MnB7sQT94EDhnyaonnETyjDTCdDvuP3VByak2UlpAPkP+BgPZydJB2
sdAlA+e3tF804FX70CH3gx6hvP379iBXtgokLw3k5WAKbVfK9lxAfCHmuUdLKJDXSP3ZY78n1bHZ
ysit28FIfEjR2p6qANsvWlf2BiUn39Y+zDb7NnHvrhHZfYvn6MbOXNkbGNO/tuS3nN3lmd72EL0d
yMkb7p1ih1Hl04aPWgmALkwoC2T2lSNaD8OZelyAdQH2PdMqXyipEtDpHAOI1dxep5ULFwB20J3b
su4IrMrlmGrL6llrYy/q+acFkFl/q6y54qcuDCgjIj5h1jwgblw0BIy73hSHrL7zX7I237uUHf4r
3/Zfe1xSPUD/BvUClay4o4NjEMhZnXjm/tJM5wWy4Rvh/eqmk6oDaLgDnZYapczB4mmzwJiGMWp+
dsNDFhyzbiOkW10ZwPTA/ARBLuCHLldmZnoKQQ04+AYNL5Pv7PP5vwdbuKL+tSC/4Gw/L3oWpH1B
cHZyN0TtBh0cf3JizizIE3VmAbl5qxYLLLhm0gO+Q+hPFFP/wAiqQiCcsVGCwja+NOKUntFmBPdF
7T1038fgLt24E9ZW4tyAMgqXd8KuGhiw2hAdrLzaOINrRwR1LXTpoPKkg8fwcgA61ScbZWIMQJ+6
0HYyNFIGR2J6oQc6V5snhtDfOWZ+vH3013bxuVnlZM5iILzpGnLK00ed/dJs5L/RlpltlZnW7ju8
G/8dn3KnzkhBla6J8ZXEL05pY2rRMHASg8nrhTjPRBjPogi+Ntx2UUxPt+jL5c8rkdKFeSVMzoxp
tM0O5mn6vJD3aNqADMUIuiDhtBFLN3IN67OKggIyNijbvHFwnW35YmI56SxYgwhODpCtCZ13ct84
W7Sdq3ZMS1p405dWdj1eykZuB1g9YCyW8d5p7xtyDymQ23tEbu2ruQMZFyA8b4kaZek0zy5ptuAa
h4mUJxjJZql6y4SyPCT3GJjHYMK2R9w/lfcJCO9nv9lqO12fsH+GopJUVl6ADmkfV2vVSOgL9FSW
fh/8kTNCkx8iHrxjkY5WznIHEGFPJ3Ia/A9+5sdwR7zrNxzGqkOSGUHgZtGC/Sbfc7bHDKHRVBsw
ZZamNXHdoxiilc5/5L96u0hxuyEK9nBCkaq7HIoYGrM1Olhhhhtj8UF33xvg1Z5i09jYZmsDwlWE
Gg54daUa+6UpgK0brx4Mcgq6Fvo3HtEj5L/FxrSt7TRJbQE70EC5giVpi+lMgHLDDxVAYVvpF8nC
QAJ9q+q9ttPwesGxRK0DAG7l5u6mwW8dYmFHA+9zqHjoW1HhbbwzVweD1PBbNUKG2ZdTRoyWDplp
4mQiDJk+gozMZxuubC0YBXfd3yZU7gRhETcfTKxKDTFdWh7F9OhmB0P3IDm0lctc2wGWRF6gnw79
Jbo6HKuo+sWZ6hPrsz0eXjLtfNuVrVpAnhRrbwIX5ivPSmJqeDPniEUsrQo10As2fwCuQz/ovxaU
p3/dTbNjvT2P2TdW1ffN+FsnHzKPbFzcqxfquSHlcZVnXgGOBAwFYMc0u0fHqZU4H5BnFtPeBrcZ
/4MI69yesqHL0Qo4lWGcnDqJ46CgKdh4+awdGnBSot8AlGg4ocry+NUoxsrF48pMrYNG3bBiEBkZ
vqbtFqHOqiXQcgDtj/OJJsrLk9PXLfVGAy7a0j+2/UuArEJhoQZWbwnFrB1RG9AKvK4sYMlUyFoe
DCnYU+a39yIrrDtshmrzWlvb1udGlIMDL1B15QCnlrkOsgb3IDT4g9UHx7Ih66p48XhymGe3TWmP
6TROsMBrht4gAEScX7qz8RZZnaszI8q9aWWG5po15sou6jgYf8sDCqaR+LYP2LKihLzcnrKKFbDS
NegSJJPvRbPfQy8NtCYbl42cdzVyAhUdvGeArkQkXS5nrRd2AwZO+Ofps/ubvGuWKjxq0Oegn7aK
TWtuGtTboCgB/AlvUmV9iA5JhmYp61NAQbG8NJT/ZBn4dPJc1xLRNN8md9yikV49Q9jT0OQBbh1N
UJejMzIO7XJS1bhKU5Q+54hWLLSaKXb5r9tLtmbJcZGpN4AyRTylLFmh5VrfNqQ+Gc6JdU3c5QnI
gUONbjTHrW0NQLskbQCkNaCJfjmimdNuCrKmPo27tI++0y2Gl63fV2asaybNpzXGoXsPY3sC7Dqb
Xm5P1dqWOx+CcobQpzU3HWRpZS5n5g/Vt5Y/AKMbjdYvlAbQPXl/296a6wFRAACTUCeCfrxy3xko
CTVgdaxxZgUIeuxw/ANsH6JBmSoFMgaRiHIpmIyyOYMw36nqU3T59bvG/Vx8oaAt9tqorraE6lYv
VgB/JAQHSH94vMtNUC+IPLu6hb2UvbA6T1qUCDIdna2lq4Uz+Z41v3mxN9JlY+nWdvm5YWUq6ZSa
Rs1gmOUUHX+QwS6mfVonZAsYvLYNwUcok9uS8VWl9xkKx2lEgG2ujQevvU/Hw5+UPCXl4T8mlJ1e
690yM/RTnd4mq4jEeD9lv29vva1hKFsdnD1lNoP4+wTpFV7uSPHozYf/nwnF8bgkTwMKelw5U+iT
wEzZ7cYBWh+FRMcgUy45tS63m+WUIOyiQ30yrWzZ4xkGuTzL++0II9vdHsyaa8A7EekC3BQofSpR
Qpk1ndFMsOTPAzghemPCQ84Bojigsw5ZlWx4HFO3Py79YHxdJnOrsL860n/tq3CgjkAxxYHU+snV
v2K90urDn62XDzJBHF84DfXsDplGZB0TR8jvIr+F2vIS2VutAavn9MyIck41n+MK9vz6VGT8kGVz
zKek8M2Xjv9BPARs1j+jUUJ8kga6K2oHngiEoehAQ+bFYxsh91rgAJ5X4L9BJ4JgWLVRgaiod9L6
ZOU6eK0fmU/DRtfC3UbUtZaAwx0hy6E6nsVXKbEGEi1Ms97Gopkh1D/zd/77KX/cvJHWRnRu6f9I
+87eyHFg218kQDl8pUJnh7Y9HvuLMMkilXP69e/I++5uN63bxO7FADPALtAlksUiWXXqHO4QN1qz
ye1exwkI1Qeav4TVh572QduEpOxFr7BlrfkbnrVIAxoAnoPnldu9AxDfUGmCseSjAEEdWi0Omvdg
d+4UkvTdFKp8ru2hS3vc4PqM9UyJ4RLa3B2t3hwhwFW4dm4Ss6X+hPYBIIrHzeD8Aa9ZQAd133bG
d0cd3SoxBZFrdaKR4VgYICGXy+teyWEPtjYoMx07eT9QLeia0LXyQ2s8hYO+ux27VmzhYbD0Ky0U
919AlxCkmGx0rrKjVDrmfTXJJtEiaD5IAxqyrCYroLlWpIKAyYthLNkvbYHEL9cA0Mrw3D5GZrUM
6hXsiOYWN/wGMhFwhY8OqdT7qax8R2MPSnxKpR7kg+/jgIyy8qoUnd/SDy0XUe2shB18zJLolS3Q
hPPgK3NwpM7oS3ZUnTbIA6MB9QfIl6pC8NRbt7Nkk3BE4Ajn7j+5YVA5VzuGfo24CtB10xBdZ6OP
fqxhiza3ShAZFpflthBE0+TlDy746Fa6PgAlkLAu8k2Y5A6d6nMS5l43Gv9SmOCvpbywwgVtKIsy
S4thRUPnc14HlAW5mQq8dGV3It+HzCLQS+h65Is4oDZrqF4P7AhG942lPmSltAvZf1mfCyPLVrl4
ipdZjue93aOIgt7Q+DnU/oAPUhMcC6tOsEwaXvtIx/DZ5QT0jKViYSS9qu0T2f8zT6C0SgTJxc/X
wZe1vzDDhU82GZM6hyM7Rgl1E2WfmPdMlzalMblDqz+B0I6o0aOSv0zyzmlM12lGL6waT1fvWjym
a98Zj1b8A4wjlr2ttS328lFKml0xgFpWuTd2QM/6XSn5YXOyRTe3tZgEICla+DQARWy++7FXh6qg
isaOIGOrpUO1S976P+V/QJFh1/9thU9ZZpCL7lsdVnAFxd3OTUC11rW6IFOxOhbkKYDuRCuMzKd5
x0xBlXmxkmtuiALPPLvRQ9iCPej53wdyHBdAUSNHDPjF4ngX3quMltS1HUqABuDUD6kd/a5bpnpz
mEkbI5qQwS5xjNy2ubYtL21yO2am0pA2HQaHI8M1sx+jsmed4KxY2zDopkcLFfKWBlp9rsdltCO4
YlIWH1H8Af3XqbF+FtYmCm6PRF8LluhXwgmAPBwSpdxQlDgt1SiDmcrXN/1R2oJrIffCHeiCXLCt
gwOOWEQhhZuSLKBB4r+9vNautn/pfWMbPdRuo5JhZ21AdkNqN9kl3rec5G68SXf9H8G3YsT83r78
VC7F2k8dDZlF4yPLcRdqflJtc9vAGkhMu7TAPWiksW9SNcRkaGayQT0uMEfwacrPqVr5I7jJ7Hhf
Gws5tWWBk0/U4M5T2H4eKRfmP7vGL1w5HJIo1zsMUAW/M+jQupk074BfQnnivv8Rfm9/jHeQlaeP
SPndHvm6F4CQGNCxFTZI6BX1cpwW4HipoPKbpnnpUUsxBNuGJ1z8a4BA59s4ytCI4nBnphnmFQ7s
GuRiUmDE7+HAfMuMt2VHEnAbMQK9FYKCYD557Zie9WGLGqQJ6S90eEYgeJqERY+1KIWswt8fxG0y
J4PMZhSho9mCun2NvgdIVI2q5eohck+j4DBfH/5CXYGdBtpZkwtVBqWZDOJnuFczuWWYeLNKSRJ+
p6Ap707aKf85qgXR+kDt42A8KWd5CiLloUDGBmqLt1d8deQX38Lt+yqGmloB/qgjFMit+dcggfup
2BYmKRNR9Xqt1wVdjwYgO8jqLtfA61CWQvzBMQZ02YfyYw4myZa2JFFOUrUPJysII0bC1rMcaE/7
40LrB5WJoRdkYlev3pcfwfteyVANUNBSjhf8cOgRtdy5OUWEFSR6bj+c0VPeYzKh4eG5eRb1/q0d
GJfGOT+jwL/omYbm/ynKvNF8R8nKFWpYLdHpS3xE9nyhzsUk85dFh9VTNc4YYb1LcfFV1X2T74fs
p6wd+/4HoB3/4YRCHwqwpuBPBvvHElQuwpUxl7kDuUxsnnZfMVQmgfpkBfI+ImTCWgYVIowaVI2Q
tMWzQLu2FMVlKAGCFx/zpHdzeq4Uy12qeSGo3pweTRyI0ngknm9vkbUGH1DRg2xmYWpHYpPz20xL
YiujaHcdSyeo5tSd0yCsfw81UY5J7Jyc+QXMdvtYcFXmOQP/CpO4yQD4jHsaqiHXw1VkWmrpoMZH
R/0VqyMKiYVvGIwMxSGnkVdTHViuibSQo03nmZis2eKNJchErN0/4EV/fwQXrMYwZ3FjgEBAtl6B
uHMH0BSg5XMX/0u208/RwoUAUwNSVMEaX49WGzPDhp5mgtF6dhvMP9qURL3LftnYi4L3wdo5h5IC
WkGAi3NMvu6jjGYmQUAATx1m/IGw3ABlrNgShNblg/l9aKHXHE12SGKgD+16QE0yzBnOFLiN4UNe
k1a+9qOgxw6UgqJi8FoUvzTFxRUA4FCnLWFqcItvyjF9KoEaJf9hG1wa4XafXtA5SQYYsVTvvRsg
cUx6N56JCg5gwNEeb5tbnT1oXMmgXlKhHs1Zs+LCju0I1kJL3k36Un4mUEUdFTB0gPG3Ebj5WmS2
HIBEULTHVudfQxaI7ReMEILmoDE3r8KTk6YfYR2KDv+1pYK2CbSMUVVFfOa8AkrGkZPI4BtptXpr
KBA4yQ5zu4EWuUIPECWIqpww8051vkFfqB6CVDa3Te/S+TlSRJiltW1gg5MUYGP8A7Gaaw8di0Gu
wX4FzjOtTHa21cY+ixpFsNnWziNsMiBoweSMrgsuguTFrE3lqMfHuQ83NJX8nAGuTxsPAvOkzfdN
1T/GVik46NcWFM0+KhgfcK/AX9djAxUOmj9QBDnS3nbB9mBBZlZ41K5N4KUR7uhTlEJXBmDoj3P9
WM7fdDoLNp265i6XFrglCmckbIwCk0ed+8LsvBCN+kZW7GWQSuTWTLJoeVZnnbSn2X2cnCTcWBOD
xFWyaKcPaHHTCV75/pAywDitu3jwo3QOdG3TKCRX6m2rBhYT9cuLvppb8mSqJTRPL0ueHKcCmu82
BDfeWeqC0lowQ+vrDIF28IkCyq4u3ndx+wBJhJEUDg5JMAEAr8SIhJRiqgS3o9HqQgMsj6oJbgFo
aLi2Ao0ItU9CWKG1DaA5c8G/fdvC6jguLHALLTXKPI4tpqxQAFQdTNcGCXcugietW7GAgUMedlGF
vB5HF+lp1jXYFdZoeT1KP0sOa5w2t8eyFrshEPC3FW4sGQsrCvIBcB3NJzU0PGf4g6JfX6e4jIK8
N/p3Gt2fNwcoxEPtC4gYZPE5byuGadQzB1whLL9DPi8bk1MHlk0g9aL/4myAVSF9raKj0OAGxuow
yZtw/IuKcsKNwRleVEXE7Lp8L39xQLPB31a48WCoM6TwZjhbV/ppB71EiMdI0X5uRO/9tdC8pBih
L4E+ZWB+r93BMpO6tUIsVGoyhJPCrQzXSL+jVaPUE1/pfWRIb7vGamS4sLi4zsV2ZbkVSZRhIzVF
74WqGkxOFRG7j7ZFS1/rUFRqWXVFA8iyRUwD3U/8ihVJViUzRpjktYPu5drYjmazy3PoNlRpxLwB
/gSBqVj0WFl++MsiXhjmFpGCCXNkOc55c2kx706q/geNVv/FH6FxqwNCt/AUqtxsAjQXziHYckNH
2wARmiCL0piCm9jqkoE5DDVcRD+Tb4GJQpBGsxYxAwVQ0mnxbnx1ehB568XGSTrBpZnXoFg2M0Q4
UK5ZCDGW/ubrIel52DethDhol4xQZd6Cr9LBS6tHRRxir4VLT/I+I36XphvL9K3qfNtBVzbfol4O
HV8UxKA3zT32aKRJipGmCXJTSL+DEf97RUGzXQyWG0aF4JKyagzJVnRgIWkt29zhZXX1mCYSKF8G
ecqha5b2btFmGtTmWeLjQioiblq1ZwOevJB+oFrO74bENgZjaEGBMGpocO2VfTY1rgyNa5XRX7cn
cmUDAGkNGQFo+ODc5DPKWWWrpYzNh3I5ugeidERaCc3xnl6GscBpRKa4oNJMRUwlUOcclRAZANYR
ZYxJDXGO2yNaS8zCMxFLFkpdMM9ye3qIWDmhvIDeWvMMlQq38JLnZCeT8L44lm4fGHvJLXbS7rbZ
lf13ZZUL0rgWxFImLzcpl7oW+WNtEu+2hWVPcbEKylEomiw0d6gwchakFGovnYU+zXroQT8jQ1GJ
Dm+3bawcNTjS0B2sO3hnOfxrmEJbxioNdE7qFR0hw2sd5Cjx5wKCHopfsOxtUROTPm4bXXMMIEN0
UD6gYx515+tgMg1pXBSajXso+rKS+j1FHl8Src/KEYPiFjrQkKVBwwQPxs3M2opbPKCObdS4iaMG
cnQ29tRyZelFyH675gxA/CJYgPkIYhLc8zGbOhPyCjBW5N8yxwjYuxaHZIgzF4C+/zB56AICYn7h
Yf3C8laWtQx6EYwrLjQShZK8AQgrc8t6Eil6r47qwhT3WJNmyCLoJTYwAyhAbt+H4TzZ9zXyJFUp
OpjXnB2NJwi2yGqheMEF+K4vuzQbMCwnOvfQ8c0KXXAqr+UpcXQtbJ820j9oiL92uzgZqDVoOEPQ
RUwip8KddwKeZnITqNiwZt6w7LeB5Lcj/4ee2IVrEU953UZzL+/wmmQmQxSjebiEwPxbX7l40t/2
irUjBMo0COhwPsh9LFvu4gKH2j2NkVEDL9aUPqfdCHmuYs9ix2eiMvja5r20xEXbnrKpgxoVmN3a
GnIwzIQGcjiqrm2ksiAAikxxARDiXfFYFOAhqehHmX309butC0BN6/OGQI6ti+S8yW3c2syctLAw
GlmP3ULKXABk8yIKWCc4LtbHAtDY8iJGxy/v31WZznWJsQyj3xfbRSNEkJheH8o/Frih2FoZNTo8
7WhP7k9ghsLDf+luASLpHxPcxTacO8gKL/RJofpGS1L3P2bRoSeaJy7mgEolp+AyBHdAudMDA5J3
29s7ZS2ogaBuISmHkPGXsoFZTtSZGNg+oCpRdyUUnU5JuBvsx9+37awFtEs73HLUWgLV4Rx2eggJ
gF9VirPNv7cAUmwkWBxkRxHWrve8HRpOYY1gzqoVD3iYSft2+/c/QZr8BeTSAHeBc8pBUsNkoVWA
7rnW+KpfFC4KdNHWmp8G9jHnuxjl92z2h750y1cokZkzhPnep8wh8T6OdqUHfmFJRACy5iMgnkbb
KO57AJNxA58mqa0bG99l2WCklf6M0aMQjLu2fKhmoYAGkhGctVyYGypttHrLwdkHyd0SbQe6Idiv
awVn3Lz+McENI4zUzCkkiD61WbyN1NMUD645ekDq34cx0OdaKBMFoMexem5rm1RPSeFBhmxTKImn
0bPBDnUpwrWs3ZoWTAvcCigAPLaufWrSyj7pO3xTZBUn1Xyi028lrg5qrt3Vmr6DYIsIpr6M8ouT
Ad6yvHuWXjNuolN5VnsQOoIvonhQlCoord/dkpHODmb2ctuh1/BnkFJb+gCB24P3cDeAEuJQRamC
Pcs+mfv8KG/tk+a1gXHot6pnPCZu5ptP7NTezz9BU+jpBKJgngRYT+vqXhZYG5mIpZFXPe2fj+Lr
76OUQVY9wUeFKjaRHm9x7XZ7R98y2d4kU+O1IKHUu9M46a7N2GPejA92a78C6Rvcnp81KMDl/PBV
EFRG2rDRcYRI99lW2iZ32T4MlNdwC97JY7zpdiKp5GVx+cXHqqMhE13tYEvmgqQeJqU6LmdWh25W
OhB1fO1L0IYLsgdrXn1phju3Mni6KlFM8dg/qZXLCh+HcLJFfGoFltaq0jqKG6CWRt4O96Qldl1e
xGq912ILNcyu0p8co/7tRO1BT42WzOzZhlRq4ueANYS15Sm1KTjb1gIjnvZ4iOBFp+BUuDbedFKm
VuD4PSbaJpwtt2ppMBYiVPrajgU0G1AGACGRouRmM9ImzahiYPoQKogZVxLQmFAhddAiUfb6L9pI
glLVqkHUa0Hc/amEygUlZKbadjQxp3Rn7wwWZG79mIvSCKtzd2GEmztFHSIQNetADaJW04OGsHLe
VVuww9b2OloN/x4J5x0z7QHANg12DIhg6T+pGfitdPnTXBztysZKyuWnJz/1MpIctE1cAqGme+1R
/tM85g/zQfmuBfFOd/FafAAbwkYZX1q2t0XQE21ZkFvfwp1sjlzjsePgWxzqRQf6m7rGdyMAagqV
8NQP99pRCXCw5cFwpO1h3ABTlDzoh+xt9Iv78Fd2394lQULGFwdgA+92kFu91VxO1BIsLnZoT2c5
pBG8CeHNByss4oEfgdXOn5ibIem9L9+clthwaHfasd0o3Q2/W59BTnZrCR4FIsfmziNLnVQ2L46d
IUWVfmNevKOCpqK1CPvPaHHOXo9WksuWQoUKbu11JzOoT4LpvO3RqMFd/z4z0kI2JCy17PuRe3up
bk8P+gWufzvXw6EwlpXCrfJX4c2u7In6WW/veih2X5twpCTEBQ+fb5oHOdsP5laxH26PQjRDy/+/
8DfJnLshXeDIUr/HHiWNIlKNEM3Tl6gSUlRwlnlKSa+BFxTqCb8TsPcgv3F7LGuFbxCu/08AQ6y6
HoyCYy/qbZjywuJOdT8AtH2LveRO9Z+jw/DCKvIHHI1qkDyohwmv6U3yvX9Jt6KuXdGccgEmlkNd
TwAJOc72qRhxS6Oiy/nit/97CMPl4XqgsyJHddXhONCBt9ZI4inf2g0qmPeQXLbu883teRW5IRcI
BqipaXWKgzs/BuNrJ6hnrFZvLlaNTz5oEBito2Uw7e/pTnLHp2STIhM1EdUtn/C4Y9u6vBuK0yS6
Kqzm5i8tc+FBpXUxKRUGVpDSc/DXMe5JtFXfml21GzbOHVrZBgjGCfx0ma8bq/cJJb/Yc3pP0Roa
wk1ncCPbpGBBY5Dey6cPzX6incBZRNa4IFJZoySB8Jkdaw9dm9/7bbKLXMWl/v/JSXi0w0glfWTq
Ekgkr6JlkGipX5mC82J1LFAPQQ8QCn1oo7j2+9TqnBKJN4wFRzfdA02m+XR0s9fpIKJNW3fLC1uc
c9Q0p2YUY95kCUiUUSXOrJJxtDa9A7hMPUEk5btSEJpmj6yzAIRON6ZtbGwz60mbiADgqzHl4mu4
08YeVdpONo4Ci/WxO4/WWS81Idp6+ZUvnnlhhfMVS5+GUF48Mzyl3hxYWznQjvYR1w0W9IGooX31
ZLiwxp099qSNJrLFOP0ZydDzsbMGr7T+y6X2wgh3/BRDojijvOzxXPGn6mXKJIHni5aGO3U63Wir
zIEFJ3/PhkMhixAX68+2izFwBwq6kKgxdLAgad/iTvfDeDfFXZAlPrAkbNgrtPcKSD7YyBje3tWi
DccdNEVqxnKzOET2wfbZpvSVg/SiI/Ozu23nf9ltnxjHBV7Lx8SajfXoRB3QqGoC/t+8M0zVZV3S
Mbccs1zxbLmYDDzokmkgEH8eHmPFhqBwNVszpGYKrdx2qpKzTZhnJrphW4bj0Mk1EZXaMuCvO+Sf
7+R2CO1R5UWWAhEoDPQR9/G6JH6kPoyDYEZWr8bgMVkUS9AuxJecTGVWTW3pJ6qT0EWHDcS9g3Co
vF76I5j61U1/YYkLdHLPNDuaIqC1m9SNTbTNOBCWfx7PLToZX3QIVJiIaBDb0pSn26ZXxwiRbUPH
Ux1kqZxfG42TSrmWQbJRzQiLNYX0tuObobbHOovu66srd2GMc2Vtlou+G9G1Qtn8Pg2RtrPycSmv
UdmterRKTdA3C+ypFiWEV/cQ9HKhbYsyNjrwrw8tqJ/WBs0AE27Dnw6yo2y4n9RjNAR1dB8DTQRQ
yu1pXR3phcHlgy7uF6mhSCHtYXBqhg3YjoFXuhvBhkMVVJEMw6Pz/rbBJYZ+2RQ22iwA9kGfFb+O
cwXlD0B7sHk/Yi3fT0rzzVTQD3TbyupxAV1VTQfH8ULKdz2sgkFYzx6b+BhY0NQbN9C8inUSiXgM
VyuxAGssC4ZOe4h8X9sZgBecrAKjycFoMKNzUf1VsM0kpUSpH9CYSooKUFoRJvWT5Y2fREjPwD/Q
+IoSHDc81tGih2DK0sE3Hqetuaeb4RS9D2drIN1j9mjucAr/VCUyH8pt/jgFBdK/3VPVkfoFqfeN
6DW1GpIvP4ibh3aI7SRaPmhyrcDxE99yi019iIPkRQ+Se+0tfpyFR90SP2/NAneY0nTShjCEURnj
jx9+hl7tS5vZVY6/sgfRw2bNoy5HyMUfC0w3Vi19Tnke/EFzGcn92z77KRB4azzc5p8b3WBsgAkU
m+4cqDTfOY17RKb1oD7U52pbut0WQShQ9uFbtKv33U5+vf0J6/584Vh8OMigHGt2+IR0Z3j6Jtm3
pCYhXr2iJ8BaOL+YTv4hF9ZqmCUODIHGp24fy3IPHmwIhn27PaC1aHNphjuvACycoXaG8IZEuUw0
VwQ31QRuwd9F+miubTPHOLT7atv5I4owoVu+6Xti3RV3+i7y5/240Z4Mdwgmj23SnOh+/jMO5rvJ
G+/ocXjFv3uVJD/pNncNwc1grccLIMO/IwXf5hLPMUUOE9835d9qAP9OultSwlJILrnsLvdk62fo
HEw8U25P/Oo99NIwF6LGJjIz8GghRLmDK5PYtQ46sb1spxJbsHHWzrBLU1zwmfO+yrJy8SXf2NUP
SAv4S8ZTMCCRK3HRJtJbDVpLsHIafz8ku5E0pPd7+NQfyGzsnPtMkOsQjYoLOL3SThWjsNd6pu8E
nbeMS6QKIdqGXMjR5dJmTg8js0Kku3mfwMbtefsEtN6IajxYyQDvD4aBbmS0byIrXYIu3S32qm96
xrfyXt51vduf8rvxW4Hw3f3+AQmY21+wOkY0dS5lWcCWNM49nJnJsTXjjHbqR/TEOuN7o71YnSDd
sBoIQJ+C9kK0xYJJ5fomMKHRKQqzFsBzg1R550KeLXa8OXKFitLrhy0aBNBCjxsHIJXXpgowSeaZ
hi4B7ckC+70dDOh8sdm3UVGC3lZdlGBJh94Lq9PBM4TmuZOR/cjAQHJ7XleLrGjYQ/cmGugg1bo8
Fi7ujrGcmWMcYshK6w7l78gMqtLvoSrxncnvNaiUzHkkTpz5mXGctb0IF7lGo6CD2nuRaECvG7I8
1/YR3FPbGBd0eqm7XfJLn0aigysyH7bDRxYHA6RIh50y7kfnt2Doq6sN7rGlcRBYU57xWbapoZcU
KHLV7gni6li8MVAmoBdJ0rdFJwdttkERemnux7XRbfVHua3IPJVkUUcRaWktp/KXLQbEAXTBwBAN
io3ricihoGaU6dKLluQ2SWvpqSucJ9ZCT89BS6UfpzElA9DfoNhK3gRTsRyht4xzR2zSlnUtlei4
gBCZR2vlWdfe+uiI7pPdHOt3TQfGtCzyiw/6H1QEdGB9UcEF3twAyeb1sJHliIq2Q18OpF9a+8Ts
41DejyK2xrXJXRpY7IULFzuO8/K8YLXZmg5Ol7o/RCzfq2WHkVXPFVXxWmp/zLXyHQRxv27P65qH
XZrlkgdhM6O/aIZZddOiMSEqM18KcxJa1amdOsFWXjvbANqHJzugqwWa/nomJ1OTynbGTCblB8QE
C/TbCpWj1s4z8B6BanXZsyr/tG30lFIJCS94RuQW2htufXqRe0nsTx3YgQpFEPZXM/YgZEetHflf
dApwYVJWq+Kv1pzSQGW0+RFVIP+vGpLXj862S6WgpKgyoWtadlBBYNtKReK2nX27tH+UVBYUz1an
GJ00IF6B6gGQItdT3ElyqksU66npNZGUl0RDR64l6r9bvXaBzcdAIgjEiHhfX5sZprhUE1vCngCv
i7br2oTIiYW+yN7rYx+kK3rpstxF7ee2u64OD3wrC5sucOqfteqLsyCcZyOjbQwVvN5e9BaM0fSG
UOCmq6MD44QBSSH4ERD316NTlVZNtbIDOp2x4mDnsuYmWkN9J5TjXTurbYD8p3aYSvynwn7Thso8
dMi2C3JRayQfQF8BabtA94CT5+6Cbd3HjoSM47GfHqLEq9lAoJpINGNrWX4x+4aknSAUVc2NF+X0
TdW3oX6SkIQoFi3rNtr++8m//BzO06GNbdRouAHU1Iq3HUhf5vEll0S+tRYIwYOJFnawNaBnngv0
kBLOh6HCKZM1lm8579NYHwoLzcEmSByb6M5SK1IVIhZlzrGAMkeSY2lhwk52QFHFxUH0ezdUzWJ2
ViLzAVgdP0p+SNYoONCX3XdxiC1WkC3C7y/0qwtz4rVjgau0cpLIic+QaX+VwvYOHVKinBR3D/3L
ho3eLxD3gwmA71MPNaWP9FGKz3hEuD09ZMPeBh1M3T/f9oZVO+D+cZBbhiwJL98paWGbA4aYnNs4
9caIBjY76GG1s5gAzbQ6aReGuN04jlGuhJBGP8vtzzB/meuX2wMR/D6v3gkwpWnOU5GcHSv56YDb
1TFFBU/+DvvXovwzBp1beBD2FUBYZskZSINTDR4E/FEOUHfDo3U3QlnMrXS8y28PjE+zfLHK3SnC
ykglTcLIzPcxmP6ED/oOyMFj+Dq/3ba0snvgA3/7Ak/SHJlSb+LkTc6j3QRyaqOtknXB6Miizj8u
OPz/EQFIt7Dxoi+Am0dkR4G47OvkHKcuWihiUCuROiP6Md+IE3/ro/rHGDd9PTVyJDZgrLTvsx/D
nRSRpoIYjpcTaM274ylHhtPr/l2U/TJELhJFTJ/UQaqSc6eXx2lGPg4YRTBqiSg8uIvSpx3FdHAZ
A2vGAiS+jkVhVZq0DC37MQ3VhxnvuLA0cJab+6l9bLM3JuwHX9tnKigs0EaJuxKOtWuDLAbRHZQ1
nUdteFLs/QRlzdteuGpgeZ/oDohJvpCfqHLfmGCDdB4b56jb93MkeuKvTRkuH6gpILiCdYCLRB1Y
DNPaCsPHolXdULlfSOhZkwUAKwF7p1ey4LHPXwA+1whPbxXQ2L/6Fq6nTCmhJq5WVHqEMHY2ETPV
vY59q4dvZT/tMkA1Kq/rnpwCNaJvMiOFnpHQCYyqdONCECW/bgbA+lEYAjMBzjCwU15/SlH0SVGV
o/SIPm5Xq0c/g+6eEws4EPhEIkYMiVK0bqLagUZtvIWuzaRSZVVhHkfnw8/pHH83zP28MYBy3LFf
eug2pbCm8DWimFBuw4DwosWo+Mwl8AW5To2Unc0WKXDEkmre5A/pB2VKEOUBE6XCVoIy2LdxtVkQ
3FCs5O8AliSPI96w7FxohtvQbKM7r84vg3qG4nZKup8teprRYHd7b6yZBakZIOPIY6CFlG8biC2t
APFKz84NnoOeaaOKlDm95YdaPZzjrMp3ljMgj1IOdJewSnlx8MgPbn/EVx/Cm8zW0W2H998iHnG9
uFKfQXqsmdm5ZJPtQvsb26ctpF1phCLWZO5dCz+C5MZyzVKByXG+MN1b/TT0ihznZ+spakgw7uNz
c7w9mq+ec22CG43WGWGa94sJhdiS33bEQlIutx/nOT2k0RbN+f6/t4jQCa5JJF8WQq7r+esjltlM
TvNzDW6xiMwOybVj5HhF5/a6TkxRAXBthJf2uHinGbmiJQbs6cioyzOhpa8a/pzsF8Bk+qyebw+P
zzh+LtqFPZ60IEzLmSUM9iTFtdsfZk2M7kDR1t+W26xwe6AO2K6tCsQf3aWPLfDHIkE/Po+8fAMU
yVWcUbigo+Nl8eGLF2bWpHKfWGF+NquWGMd6uuulH2F0UrrnrDh05a+m/OlkxP4Ylce2sP28UNyG
pUQb2SEpCpJG2X6uZcHOWTkJls/C0iM+ohmPb5PoQLrB0NeGz8o8KTqa9jF7U35oLrWI/DN6ajJS
b4zTsGsCFSrCguCx4gcwjv4FsAYhdcOrgcVtCkiiGRdnpXOQuvA6BP/NWOLKgFbT9GQJNtbXlwXG
iqfL8vYG1uTzeX6xBHmH4mCtSfmZ6vlzclZtXIOyl6hMNgJ/WwkSSxc/CH7w9MPQlgvFhaGmqdsp
VtPiPLQ/dH0gTngYPOyrzH/7AGDngwFzZj83BrIcBeAmh0rwsvlkC7h6D6K9GmzI0FnEqiLRwH3A
1GkyMxtZP1d+eSzu0p3+aD6q+3gX7e3d/Oi80/PwbGyA6/Fq19mJFEf4RIeNk+DKPufshg358QyJ
z3MOTpS+eWIVA1mhB2pz/PMABT2gm+6dCW2KvUgw+PMdemvsixdcTH5dRvmICK6fVTffAZwJLFd7
yLftFm0Ph3HLNtHODNDnB5Zy9VF7SIIiULfqJt2IRKS/Ho3LLCAfCd4tsLvJfBfXUMmgwI4wC6Zy
0ssfurrHo4lo8s6QNlpxbo1gAMWbwPdUDI8fPlr30eS+cFihU+Z6+JVZlmPFKuNsEPUD/KbQKD1F
RwgCPYSkuBfhb76uNC4auEfigoNbjg4NyWtz8mSbTadK5vl7eh+967nbxcS8L094qs2xJwuucV82
FjBiuCeCtBWAlaXp6dpaglpxEqWJc1Ydv+t3KdjfdXcikmaIpnHVEugJFsVSjI7fQU1fNXVXpM65
3/aH/jV/qk7qW4g+GXub3MebxqfH/I/eCMyKrHL7JplSlKtCWJ3oR/goDR9Q4CLtxqK1KO4vv3Tl
JstMXoyP2yVZV0fN2GAmyxodBK+RBJ7yyiTduZaBAned6ZtK31ElgrtuO3Qx5aL89pc3D57aEBb5
LO2jdY1/cYclqppAxYbnzgDsXTskbhRt7syX29thZZhXVpbdchEMlDQss2EewnNGgtd/nQbhhsA9
PO2ukGQZMOJzdwe8pnX/PDyEHSkJ0vCb28P4+nxZTFkI5QaYunBcc+OoUhDcSoMWnuVHGfn3X06Q
P4Vv8g6OHzM3fHUeRKpofP0BpKx4R4DYF7xL4N0Dl8r11IWTHOmdoURP0jY6sN4bDw6Iv/dZ8NRt
5Z/1yb4rXg3P8AQjXbYw55gm/AGCWeCkkZGfvjZrIEU7U53Sp0wP8FppXEhKaODP16A6UQUimd0V
LwThNPL+CJiL1i634aradqohZ/QJajobKyMDujHuw4zIgs6EL1cPrByuWXh3AjSIwMXdeM0iydkM
Jis8GtBO97von9A7T6ZWhNn96ijgQbZhwlqqGAuL1fX01QWUxKKGpk8outkb808tE/pKXyWcBkcW
0D/G7/HfAT2AAb62yC3YqIYRUM5R+qT8ykvSv0KxpEExlfSiGs2X4MgZ4hxSH8YqkiMMjUVkJMbZ
gsC7tr3tfl/iBWeDvzipvZUqOGKe+gfHx0X09q8LV4dzNxBY2lWs4efpc3HXuLFn3SXmtvvuZZ4h
4SZIAEUQmFy++Go/cSPiAn0P9oKomWFy8H8OL6nqArjy6NvtPnR/P0Lu97a5Lzd6ztqyhhfx1pH7
2aqXAVZwv5SED8Du47Y3n5wHXdTusGbLQaQAJ5eK4goPXlXUzqmURsVaFQTgOwkpll9T59rbpTNM
hFH4Oo2Aq8AIWCKA/XV4YR46ask8RMnwZEs0vu/ioUEx1hIR7Xx1cYQGlFZQhoQtAFOup4/KrVQN
NNefkszr/x9pX9YcN85z/YtUpX25JSX17rXtOLlROXGsfd/1698j1/dN1Gw9zZpJ1dTcONVHBEEA
BIEDzdFwKTw0+cOkPt7epms1Bw6ue/AmiNquBq6q2pgkkdCqz+B3kRo8tQo0NL/fxrgODVHqvgRh
lD1NJ7Us+0F9fovfoQ7hU+Am37JX/Vf3Hn+7jXV94fnCAl80WkewQ6wdz1DiA669SX1u3CH+of7I
OoKLtaX8Sr2HON5pxUCS+NBjDA1y3tLjTH1avdbVzkKfRUvqY8Ij1lzdSTDu/v8PYo5dr01SNCaS
+ly+pqOTYzxRpIK+Bexnyo6z9lkpLk845IwKIrwqzylHNrWpFFNbi5gn+Hzo6ZuFpr4fqjNhFE1g
h3Sg3+vz+/vnSJ5bwuuhunKes9AXwPMBXRx2v9SzuAkUzIt6iXUUR0bv/o7Hr89WScG9LEHA9XwJ
IqrZZBiTDJBT8Vzsfnq7eGOhGMvagI3bvS3K60QRA8Z4T7wAID2LqPe5q7YiEkP3xpPikw1p9ujp
Jf5Dd6d7tsCT4/pJ+UeQV8c+ySdrEiMIMn5VzjJV0QgvPRon4YSEqnN7iVeBCLNCxolaRZlIEazC
s10+7rpXgZNiuY4amd9nHKghDW3ceNB7+TEtaSTbwcOY2i24iojh1DiVqY2Wl1/T6Kjcq++8O8xB
gDOwQEGJ9hPkshh9LBShx5tuoD1XR1BhHLxj43j30JNNfeBROK9t2RKLfbaIrDwtdc1Tn8XNcIxs
8utBo5WTH4eH2/vFkhPN+n8BxKhkjRYeVQgNmOrn6uwqDWkO4nf1ITvUdmubqN+tXlAtUhDhofb/
fbhyic24o64cFAxksdTnKnD8g/fwQKaN8EPbTJ8K9QPCBVwxKBdrZZQTrNh+HFcQqkYmV3S6rbWp
0PHNkei1K79cFaOiaZGPaTkI6nNPo132UJ78kqD3AgJVaPcS7NtvNSeqXHEGF+tiPCFKe6sMnN/a
s7nJyXFwOGf6akFge8CVEGOpVGRHJLZiQo2bAeW0KkiiwGogFd/AGsUR2ZWLmREMCRVLc6Uq/rs0
wqGVpPMN0Xgu3sRPw40iHGahJqObIBR3YjvgRcpXmoDR9hh2gnsZ8hSYvTn/feFaqjDX0lCR/DNY
kKQzetcxdwqHG1NtjMg1K1Q6aOABf+qsgGeMrwzkjIxYD5XBSBQbbOtVoIR+N6WDfzbynYmbbonQ
tW8/OAK9uuV+oSA1DNoxXHPZcNLz/ADzSLA+rQxcJXQq9B03NQoPNmo97XQjtpON1Pib27BrUkWr
F14kkUsA1yKzjQoKaxpMQvfPKBiik37CqxktMLwuDzZS9EtJJnIb70rvZ755tHgh/wlzjNFEl7vY
KEpQKaMcnMe96Ph7fyc5PSfVfZ1knTGg/TM3HCjM2be/VBhCK+zU4Bzs1P1wHA76rj6qLsoyOYf4
2rUxSIz0PKUcjVjVgnPlCiDlAgX3vjxV25gWDlqMHsOdtMfgO15twHUAxMAyQowxfbftJ8D2++Ah
3Ko0e5Aev0d35c50uTXpK3p5IU3GNmZBOwlCrgfn+O7sY9rcM+Z4u9Gp3OY8ac7SunDWzLIYm1jK
ou/FHpYlbM2N4YJm7wMXnr3kiNvgJHACu1VFXCjJfOgX5qRPTSVIMiwrvLuXvmXvuctbzxxbXC8H
XIg4WajDYwtXM8VKtFhUgrNIe0ff+9thC+qve+RBbh+p63gAcsNLGcpr5pvvlb4j6Z/rsV6F59yZ
XJlOdmKDNu+g2/FuogrFYbZDF22U21cO8LVqzJN/8ICG5hA8+LPXbZTk64aHQvkv9QeFM15Skk9j
ox54dOUrR/oSidktdZAqP+mA1NjdbiKeWzjfFKc+5By/eV09h36a5ZJmtVmoRdDnoTfNS1Jwbbr7
0T38ck1bO41u8OR/x8MYz43yRMh4tWKMJhSqA2+EpRKo4bToi0JGlUsxsAoEjimUUOvo6GGL1cMk
VUuQ+EdnpDXxvG5Ld+a95KAl81l9uq0WLN2ZiXIlFIX+gWKC7jycjAQlN9G5dKpj4pY0sX90bkrS
LcYUbvuCjA/yvXlf7rQv3q7xafj1gQ4S3qxZ3nfos0gWexml8Oplg+/o98lOwslojuYj3r9EOjqZ
6zv+Jtz1bvsW75LX6M7aKLRBL6qx4yrVrJ2XluBCICyTcWCWJiJMfEhhN3ZNppoKT823X99BuX+q
NqHrOZ4T/euCrrkzDFPU5ipgGVMomCMTp3LeaZiFd+5cVDcox4BOh8mjpi3el8fmfU+jx+JUfpN4
pBnXhvUSlzlBaZLNySzg+u/qXjrIEt6TRY6KXZvWSwzm1AxFEKLO6uvUoCOc/NRt7zl1eS5i9jfs
tqENB1z4GoqyEc1e6o8gh81YY8DQOdOOdfQwah/eyDPeLOXd12FZgjDutfCkompHgIgbde9txH3/
9SZfuyEKLNqNt6k31VbaT46x0d3czt1+y0sXXV8WMGdsplueaTE1WWU0ZbQaXwGNfHLWwac7KB2J
Y3rbJMz7wUpyicDoRNJGURnJVXLu0Mg3FnepmdFudIQYM1uflCb/9x4RA6DBVD9rPqjd2RejSDYi
zGxS43OtPA4tbQSU2jl+/yQo4AyTHA0lCF4q7vJW3lQgPwTbFsYH2zm6KYujHoAKK3dvC2BNlXCD
wJBgfBce6xhVquS0xVGUIWKvaG3kVyc7xcgUJ+6q99tI12kInPuZUAQXMwyHxTm51Np+Ms1c74v0
3H7Wd9IhpUd/V/6SXqKT9MCBWlMcVL+idwJPgyAfly+hijhqiiYs0/OUTKNMx9wvfqt9Gwq0RWPU
b6NpcgPjkJvpiA6q+m2Uh1Gnie/1J11qcrRNC1aEi04tJL9qTW/LDef75qWyarf8PkYUoR6Nvl82
6TnOD0M2Hi0wZwQTWtjF0JaTjxw+QdUyjK4tbeUlGFCI0T/e/oRVCekgbUaJMIhn2SGJmhgKfTol
6bkwtb0FiluhBqHmv8YAX/I8sA8TjXB5ZNxckaatjzxwejbFAkWrkexTK+8sjgavRUbg4zHmEiIY
LU1jrAT6MtDQMqXZubI7e7IlhLPmTrdVlKhbezx4b3VOZcf10xhML8YfYlQTHp0xVIO5D2RSqgpg
NcrOIHydiUDRA//gvBebrfHACzBX9glQBvrMUCAFhzn/fREqaEZXFo2XowaMPvDyq+uSW/w4sw7L
G4xsrIrs7NVtf28JlfymjVH1KBRtS4N5Z4kkdroJimWjgE4WtYRBziiMVeigIyewacxUSmhdJHMt
eGDVAWdvr99KNFzJUSGs4N0MJoqtRGw8Y/QL0+jOYkFN1JcE6P8CudRj6f9u0HWMcijrqe92kRw+
o+OPlC1Gitdnvw3oiClTnq0IjqWgzqE8VjyatC/1vTzE+DZksfBajlpEtONdbo04iWWiC1V/Fspt
6Utu4f1sRZjo6MkP0Ao+bcesdmKtJKnhhkK48zrUbWFSY1oSAbNK3gbrrRGOKFvJE1fXnCDdJsFn
i5nA5r0JNjH867Y6gUon7FBkPhUEjHr62JC8cARktEQ86hVvggqSwlNZ1Lbo/crE3Anuwt9pt6ni
n3r0ZvWkRjn87VN97TI1kER/1YtjFKjM2lYY0SbqJK0/p6hGIJne6Y7YJqKrRuFnrZYgyZbNj64V
eFzLX96ekTeSoQoaD5AOQl6P8dVSCMKzRjRRDDh887RhN4hu7u/y7GnMn8TwQTHAkP1qDa+hgHg5
IIUlOcW98lPfycI+PYrPkWFHpkmjO9BLFT7VpPugRiXnTj2opqvptnQaQxBsD4/G6BRO+CBbLqYB
kaIiwynXN11IS+XF+i1b9m2BXpfbIhxATTjOOBgTkH5igsZMq3vDq4T+LMYBCnzBHKTeg8q91qmh
boLp1JYFJkLbxqNG9YPmP+vGqawGYkQb8y4NSBDzal2V2WSyol5+EaPaQ6UO8Rh4/bkLMyK5fenG
5UNs0dpvaGGlm1HH2HMbryL5Ud/pwXv36gWkEh40kabNm9DZmD/omVso42kMnMmw5fSUgZNEsCUU
LnvbOCmhOXRsDr7dBDzvf/W2gvJ6zGjGuA5M2kbdFuN34j4uhkke4rNGbG90xgE3V+d5JNoDjyj5
KnpikJgHj1g2QrXI+vgceYK2GzBznFbTYNq9BF6v21pydbOYoVBXhfYTJG5wBi6tTemZXVJOE6aU
EdsY3Y6iTAZsl7w78pW/mWE02DMF7lQHGf0lTG22UYIKbMBYqKhHhNRS2Wx4Xu0rZ3yhYICB6cA2
zROpQP92CSNZcpEacp2f62oQtpmv5mCVFUMv3kilnms0Hw308iSNWm2mpG0rmqhJaNI+HuOKdKWI
2idhCs2CZpgPNdLMGzEmzsOoJtR+FWEdbaK27fy7UBCCgAxo2ZGIonjyc1koFlQTY4c6mupjnZCi
xfQYKgZxDytbeRYSUoHevyeWEHluO2WBQqdM6H6EOUjrqViNBo+o8toNQxgKqlKRp0L9Grq6L4Uh
qlXWp5aUnAe32ZV3il1vAjfEE110965uk4G0HF26DmAYRGaX9a7tps5H1N+4xfEUKvu0p+EOBm7C
1ArB9p649cVXEe/sKtHtO1PRgY2DrRZpxyouFBRE4Z5x17h97aK6GIPcWrfunCZ7VQ/1R4BWBsTB
t4/NdYIOwGhlRjeDCrcBgrpL4UqF6Y1SmKbn2jGIuj8FVN81znjmGPHZ+TAKfQHDSDQxgjFtMI3s
3NL05fvzJ6+gjLsOxvvVFigU/AIA3sY4NOR4pzgRof++pJERF+OLRKObiqKe1+GUJIKZMcldgIIM
ytmWNX1YbgvjYbRw8morxbagCMbFklzXJ+rOJD419hH5txRZGIoOLcBdBw9/qDvBYPhLLegq0axC
ZYaze6fZyb9rm3SvFdG/fdxe2FV0xAAx6hYMUzT2RZie38BBc/BJ5KQuR9WuX1lmDFzaYKSRWIdW
Xy4GMRIed8YcGO49xLY7xsfnR25ednWHFijyJUpkliV6yoCCtINEXGmL/k6Ulry8FPSTcxldExpq
B2bqaND84E3iEmqQzDiRQj87CwF5ywcwwEc+2W5v78yKA0V2Dy0uIh5MLYTtlyB5ZSmlqrS4SRHv
h3Kf7ToiNhtac0g3Vw/qEmeW6+LG1iL0FYQMOG+TR6wT8c9NQvbPJq8NfE1oSxxGpfNEGRQrBI73
KNOa6vd4UHE4qnYVB0LTlhiMNmO+Z9sWepOdD55G0Nf1MfC4Hq+zQgwEY9eE2kBKoK0hrmQnb0Qq
OMIPhT7znl5nabD2ebmSWZqLXRGnRtFCCSuJdvrerY5zk+LOqJ7UjDwHL7zk6Zo3WKIxCi1JnWSN
NRaFboT3OCT0k7Mxs+BvLIed/5QgWahXOm7uzU61oz3n19fig+W+s91ARYaRlJgNmJ31PQaIa45O
7iq6/RipQspvt48lTwHYlKhR6X5XBWV2HikCTjJPNSnt9CihV4abF5wj/1tiY84mGMe7Lu+qeV8Q
CLhyRGI3dAWbo22co8kmbaJeH4RqgrI19vCMge+bioY2bybNdQHg5clhcyN5Moz9GENw5Wfkqrvf
1mGHpkzNiZ/HrXyQcbV6vb1VvGUxMU4fCZpfjAC0w6ff6XG/5S2Jc2xYwuLcS0RPEQHwplJpq/5K
KO9FgYfAmIG+KIV2EnEwzdNhcgeCyzbv7HP8DOvMAtWfkljD5vdg5yg3lbPHFZ1wPOZqDPDHwqCD
7tKejSDVko26mzV5pN0RNNkfvbvfmlTYfdzedY4xuCLsqfxJTSsFh8YOaGQ9Hp0XUSQ9Ub/VAcko
r8uF4z+vbwpK7UuiMJs219YwhoMW76md7AvKE+FagLMUIWMMfNmXPL/4MgbznA+TVu5ka9vqAG71
htKEcuQ4h2X/2/igi+dyy/zaVPNKmY9PTH4oh8jW7eNLfM87RLd9Ntp6L2Ear4z6ZoT8kDZUdzVm
mm85C7ltRVV2ng8mSQ9yWEH3cFFtns2H4EAdavIa77mKMJ/lhcvOirrpBdB/nMVPQmp3ohSsj4Tn
6m5bBENlLEKXKVI26gijeopnTpOiAvg+oCFVSfee4X5qfLZHYZM5vAvdOu5cq4hMFZoAGGMa+9Xg
IzsB6+1U9qkmmJnOMdfrhugPAiO/VAt7UcyT7Cw9508CbfYKHmp5LPq8ZTDik0qtr0RwQCCq/oFU
vLtVHm5rGw+ACaVEfQiRNQFAOpGEZMT8Fb3cRvgfivaPoNhyDKtFu8w4AuLUm7ZOpztHyZw9HXk1
yrMsrg3AH5zZQCwUGuT/iKuyOEOOQHyNbPP+JXE4Z5Oz5zpzyZmnKqkY4Dhrs0UEdLgNzr44cUD+
R8j2ZyGM5YyKThsrI4KJcc1NivpngcSb2o7uki3veM4ffEtmjNFM+ipV0gZXw+h4AOe0ayqko9+n
U0a3vKzYuuH8syrGcEpl0/WRFuJVb/8WEv2Zs5Trqp+veO3P7zMnPrPqUKpa7I1U7w0iybakEelO
uMPbDUndijgJqp+enuLfITUGIiO64hiEdUVXkDyeOfhQyctYBFnrtCJo58dEDPEadhIxtig2AnsY
5fm6WQOutm2BxJgFdHu2SaHhTVb+Xfq0QkonIJZ9GE4F3XKC7bX06fwc+8+qGAthpFmShh1WNaLt
BSTQx3fqJNv956uCKEXm6P7qxesPGEtZgNxYj3QwwIJd8ExL97YpWjV2i19nLIRZWrkHA5GdX39M
AXlKfz3f/v1V84BU6Ey5MCffmW0pURUMBgiEv/Zg2+l2fIlSgsjqNsj8I1d7vwBh9qMoyqqQBsQ5
5gaOdPOCno+/Q1CY4LcS0IIU+Aixg7eJYIAKetjFLSc8XN3oP6tgpwyD+vT/Rb1Pm0eOxq7u8uKn
GSMtjyHqOGsISH7tNxoGEqhbzj7zEJRLT1M0hRWjuRWmDLV1jfPsPf3lEhiz7KHKDTUyAEgeOtrb
DvcKvW6rFkJirDEY0voxMKCqINp5+pnTh94WjxXlrIOjq+xzV2JVoJpSgTI+vv203hFhfvzVYWBN
bmAJjdTKAAjO0zbeHHO32txGWHVbC0ExZ3ocmzTX8IR0Tnb+i4iJcBy/te7tFwDMeTbzQiiT+Z6k
bl4rWzmYwWwzMHeWc6o5C2FNq6H2UxSXOBblHSbrnjPKu5mvbDbKjTSMKELRk4iKwstTkZYeLhSN
kiNswc0cc3pckvk8jVoT1wXKvMxFlFegpdzC//C06SjuT4nsMMACTzUjL7xfOeMXOPPfFzhSXmaD
OK8G9//dLLCRp7srG6KhuAkl9CDO0SW2ij5WFcxa1LUcN3FXTlDOOpScLV/LYV1AMMICSz/YVgRA
eD9ap3+9L9z6pXBEW3ql8UdAOKd9xf1doDEis4pcmppCz89v3skVS6qCQQMzBWj1+/aR5OEwR7KS
zb5J6hkHNeaYmX1HvTvexYuHwZxK+BBB0ztIbqT6xntEptFG7XxFyvPttaz4waXM2Exz3Bi9Ec84
YE8mecdNJqxkRTQJVb5zYSjK6diZuVbTS5IwQVbha+/UxMT0bKIgXuQf/7VE1gUUIzJP6MHfJgNK
QxesgUuLG2CqOTQgcEYifuMlfFZ36M/Kvjzc4oDWkdLG0bwyjViuQDuK+eSfHPeybm0WIEzEKKv+
0LYDQGIS7Q6jM90hT/LCiYW4KEzEMmqNZQQiUEpH3ZziQ0n9F+nzZfzGAeKJjIlbhmKKUSbxJbL2
Xdrqz0724/O2Pl9XW4EEBpXXIho1wXaOgQWXdjPvpb7qDXW+Inun+K7Yjfv0ztucPTs8hSeUQhy/
D6/jMbdRB+Hcxv76bSY0vsBmPJCPcmURI/+QzAho8lHZoV1jjItdBZvU8dVtC5b3Ep38Vb/vbJSC
Y45Mp1DRGSk4Q4bveTpzhYQHtGmon+necMq94iY5MSuSnsyTvI8xd+93GZMqIunPSsGEFhK99cfM
t31v2/opVU5JisGRW/HdMzeYnKd+M2MaDO+oOgyrczNtugwTTHaNTjqf8y664nzBaqGhtxJtC6j5
YWL2LstAAF5JuP1KdnGYNPIS2pxIhQfBnIXOwNVWsfo5Jy5TVz++P/MaL9ai0otVMAdBEWR9lBsx
O+cVeSsdmSo+yTTI8ZHX27tmrS6gmLPQYnKjqVdYTe1EuyKhb2BDrGiZ0PndxdilHN+4Yucv4Jhj
YQUyOPNTwB3E3yiFkr7fVv01E3Lx+4zqq6aaNBMqRs/TPV75DVR0BTQj29d8Kz/dhloJjC6QmJii
ROWC4ktAGjcyPdUb89f27wCYMEKNtSpS9Gl+RBLpT/2h4ixgxQpeLIAJHwapzrMswlFBaninOlVC
3refnO3mnZX5GxbOqexDuW9jKHKInjt3bJ1R2fLyTbc3AlWDlxiYkFvpuQGM9vOUb1S7ePU4lfi3
JQVy7kuEWJka0xOxE95LTrpzbxGa25TjY3nLYM68V+qYLlxiGYcOifqX/t9yks2sGf8YxqsOnESq
B6UU8ZqSk1NIIvsJMz15nRi8JTCHGyz6mT/UI/I+Ih4lExvzijldfSt3hYtVMMfbEzK9l5LZfIR7
1Am7Mq/snGNAdPbVaYjDWvY8IAgHcX+aX01ApTW4L77N6329fTZ0kTnfInL0U21gR8qSmIT6qEQo
t1z7Pms/EwtcSIw55UVuaErcYE/ecLeS4eUNWh6N1z0npLpt13WWaAYtaLmSqVjMedcQ3iWEIyk2
xIVWq1aU4MfFznYnkv4OT03JTSZzJPWlGQtblaepWvcB7GFPFffH3Fepk/Ah4l13Ocbk68l9AeOp
RqB5ORRMI64rPtOP3OEY3VUEDP4C3YeKEQ1Xdx3dBD9Cp+CQGKimyieiPZL+gxMFrdVWoy/jDwpj
2utMmULfknFQtgax62RbIvvgYoiuDcLsnHh43O42IoqKcwQW8Z2+2TZoxW+/fTrv4v2el0ddNT1/
voZVEcTioSKIWHNM8h+l/R311RyprirhAoFxArmc537pAaFpiEWFh0OP43rb469atwUE4wLQDFlk
cgaIV2ybDpTcI7cReItgor0Ij0OC2kDHk8p2Q2IeA50UlKMaHP37eklZaHjSBqXc9wDRSNCRGjcP
695FW0x+vr0YHg7jDNTWrMOygbhG+qOaXAtNEdTRXm6D8CTGhHnVYIa1jl05H6qji9pEu3qtOOkp
nu4yjiDs+iHOe0AY9253iLY8y8ZTq3mJi/2odSO3yhr7gUZjjDMGufDzbRnxABhTYGUT3rVh/8/T
85v21LrcuupV0/znYHxdthcrUKMhiNOZoh7c+zuLvMV3A8GzZrL33dsr4WzFV6PgAqgdFDT0CgDK
fuXkHic9/OCc8a/puFcOebEW5pDXQtvqrYTdLp3GllyRanhXwvw+PDSH6CntKmo8OhV5/uAVw3M0
mR3op6lBO/dAzkKU7Doi3/Y90T5uy49zJFmOcMxQKsaiBEa06x3z9Ze0MTbT77+zL18v4ItNGszW
KjIDID3VctBu2RL9Xt39JQhz7hWvHBPQruDcl68wYHfpDk1XlFees/aqvPSibLchHGwzdrPC2YO1
QTtsR3fNuXyLXfXnQd3y4K7ZFuZbwEL5GFMQ1V7XdzWU7607SroTHk9ndCE+xAO6i4e98krpMNhY
pxQ7n+ge/Y+ZjcUHMKYiav1EAxHArIQnf+vv1WeTPBu2+V9ubH9g2KdbtRv6LJid9Zu4OYxfRSro
JMx/3tb29TzNAoaJCabAyIrSw+4NcA2og/t492i24ZyptdeL5aZ9RWILfRdhLEYjgMxQS9o7GF/k
YSAnmExByiOfIlLAevC4Y7grYwKF0AsNNMdBgHaTkTwi78ijhe4Ww0/+UoTqpXMK+qgc1RAixK00
fQk3394zajzwMmoc28e+ySWi4BmppH2V/A7E33WO+PSXC2EMBtoph1QbAHFKt64bfWS1S5O32yCr
y0Aj41xZg6nQbAsvJruXQ5WbiBRA6vw9B3mcvg3/i+FbYDAntIhDXZASYGDyEYbHU2mvvo0HXhJ1
1VH8Qbny6KWm4cFan2O36LvyiDr8udjX4Kxl/Ta/gGEOqG6CfcJA/Ha2Rxo8WASDu4m0b+62t/fl
q6LlyqkvcBinjskNpt/kwImLDUap/vDIzDpGqAMOzd3+rj4fop3gmvuaGLgRFSDqRUc15wq+nspd
fARzZnNwhepFOC9Wzg/+IwYI6c/wId8CImxSm+dL1k3EAo45uVPgoeF1hKIcTjK6ZW2pm4tk5A1v
WavB3wKHCfPDNO/TvDbmqx1eJshbZ/v76fPz9g5yThY7yrVKuyT0RYCgDa18Pcg9wc0IzSi3UWYb
cEtN2Eh/sAIP5M0oyQHREOkxiuY/xfoLYc3rXPiKMUuDsexmRdSJaqO5+ePvVsBYh1Bu0N7U4/cH
9ILcZdyyhvmg3JAQ67jRBD6OsQYJfT3Tuj99J9zR98jhsSGsdTaA5uEfU8oWXgW9jKyYgIXMdQ0y
vZ8Iqn4x7o1b/8/RLNZ7d4Pu5Z6PFaUExM+0JcHja4smYeE+eCh2lbjp8CqMth3jfHunOBaW7X0X
zD6bn6HnW7j1LNx3Z/AFuHpgc1R6dXkgG5tr/VBkzsoR/WcV7KsFo9O+Nod49xLbXCu+agEWGIx1
HfswFvoeGAd9kx3FvWQPZFTo+3+7Z5ro3wVfJaijWPYD0GbFoY9B5Nir1+QMwuVXn4TgTIFrur05
q/fMBRBj0/QubetSjGYgA/Nc0B3IKzNeV/AFBBOPYJLzJCVTPJchSYhOR6emvwcKX24HhJdlXtW1
BRZj14ZmGDFjC3LrYnoHVj/cIELb4sUM6x5nAcMYN2syp8KIAPM22dPxQb9vj485J823LjdM7UQX
P7QZ4wouLWjdTSMGQWRzqUPn5u/9O+JSWttjTlRXtrkqN0cgVwbvD5wx6/7CYNcRxoUJYpHjMju5
4ytYCsnDRL03yeF4uHXpLZCYWKi0MquLNCCJmIh9H9gq5jKlWBBPGVZ1e4HDnFaMXG0FBaMjzzZG
LwjwcwLnjX91JQYqNDAQZG5RZx/5217t4j6toG5gk9TpHHfM6WZ+Jfuav14CMSLLPG/QU6+Zj2l8
F2JiVlfZzfHnQEpb/gWNqI/luaH/ZaOWqIwARaHx1GmEABUyvaW4VzYgme+QE+IBzT/E6t4SiAkY
B6kThjFt87OBvGDyXaU1ecrI5FR3xZ6TIlw9VkssJlpMItHPmhJ71riI4EZHmk+VW9sFrAVvaMWa
OVpiMdZVG1sooY5t62a23C06OXIbdP32bRsu8bRj/vvi6Bq1YmGwN2AKvHfOrMPgNb3HpAqofEcb
B1PIfJhBLi0cD5YxtqiRlYzGqmcDNbnVDiSHtvquOqhdbpzkbvghver8+fZrh3opUsb0xgnKl2Pw
GeIkTDlpX0fHcA3XeuvfA+rjocwwqag56QO31YirOIw9DjtlMLUKy60gZTSw0eIAChlwxxYbLhnF
rIT/+0BcTVZR0kSXE3VWHFeemdOPrnTUaao5ZHzmac9aUPNHoiBbutQeXLMjoUGbDJQ0+ZAdn/zq
7XbnHR45Wjr/zq01Mdak74u+0RPggIXoZ+oE7u/Gye5kDJHgxtS8JTH2xJriwu9zQE2uiud/DBjC
w3aGqkducDP/0q1FMdZEE1RZDEpslGFGROs7V1F+j+qjhcfHTLQrxNWVrXfbvtlY7XtZdP+athp5
VAxMVb941EBuzChlYoRhFdTjXHRp4E1IgTN1Ctz4M3p799aP3T84X55wYWIQcWuC337h1D96V3Ky
zX+oHwVtJhiyQKBuosGJWYpgqkKTGMOsh+h9nPdMOGnv/CmGa3qIma8G3upFGW1hjAXxe0uofXDd
gq1ApG4G7XjQNi+x+3FbYqv2YonDrEeT6jHoDOCAR/8XRu2ScDe61kbC47Nv82r9vzaAVcQFGrtB
Q6iqqScDDUOFyc/h8Gt63fPYkr5eTW6BMKZi8vqqDGaz1GNEXUqUX7jO2fpIwGVk3z9Ntovb64O/
U1Vn+Iy2e2vHm9ay+kyxXCZjRJJQlNNOxBdM3V7LDy+HR/+uJSK563cIu0yO1q95uCUaY0e8qY0N
YQKaBtYBJDLat+b9tpasnaslAmM/BnUcoKRwKv47auu6gBq72wDXM5dhIZYITAxiyKPYaDXWUNny
TGoz2RnqwA2i7VLydvIfQ5qQ3n1QfXt4cez3fUY/eVZy7Wq+/AQmPmkFw5p8bQ65wDcQI5Erk08e
tzsPgwlGjDDFLJc51Gpfd4XTOO++zVvGal5zuQ7GcpR11oym9qUOBqafnlFF7Hh2h2qTF/FgPdze
ON6CGPMRJKKUp7P5UO7dGWagIx4+bmPMv3HjPLPJ78bPvXps4CeRCJLfVZJidBtmK3AiDI6Os2/Z
8jjJ4RACpYfagdx5Cujd598thDELmTrUpiBAWHaIYJfEdKIxKqZ4dYWr9gB8kaYO6kJVY6/kVlRI
ed6J+fmH4k67+EHd3l6GtCqqPwDsJbwQMMw5LCesIwscV9/rdAAJRETknFTw6ndZRbnj0mYTc6UE
C0zGqEdK4kdGCb8LRniaEx3N2nN0q9sdFV1a3v/tGpm9ksu8qOIUQkT8rlIBQxHll8SNqX7u6Hvg
CDtxbnDtNhwtXPeQINeXZZxhRWGVvesLBWSbEtIOm86Ovtc0EEl+3kcD9/1jLfwEte0/SIxEBRXG
aFSApMnQ+MbVyGnI7WnTytx2Ih4UI8ze0PNBCuTZQ7mRHZ+Oe1Do819h55+51pE/K2IcIeh8QzNV
sGd1vEW6GLOfVaL+khzaTy5PP3hYjEtEQJsVUYIlTW4HxvEoAKWcQuv7xxAtKrwc0eqb9nKvGPdY
91qWgkkTrT5gYFKc9GhVSAQ0m/lWgpLBQ77FcxkNNrcP+qrhXWgI4xHByjrkYgdUxdzU9WvRPpjN
RnsRkxexdVOR3EZbfX1EuhLzvsC5jOQ4I9K4MERBjBXcUu53Lsrt+tNxQPXYf3mxXcIwssQIvALU
hup8N7dIqxLpUPzQf/LO8Xx6rnXxz2IY2cUNqOMlH4tBTV9Jgre5GfToEeMV7Ia35ba+S3+QmJii
xcjfqbZw6RGd1PmdkON8heTFmNzNmQOBxdWqsorWL+fNsZPjKbPBsA9Przi8Y7Xuu/4sho0nPEMV
9AAw2YPtDnbr1C/lTnwe3nsS0cpuOenr+atv7BL7fiYkGDmRezjFb1NGirsC1Z0Zl2Pqy2ZfoaiY
YQ6203nM9GweF7KTBJCPBiU0bqbSk9y30KavbUjjrbINXPmMyvxd95Q4Hk8JVzVjgctYeJQ/qHqR
ALfCi8aP8uWhfHi8rXur8lsgMIa9QBVjpNVAOHgnNB9S2HXODvHWwNj0EUPv8VwGBExdSbf+3eCB
Hu6+r7d+/1+6d5Ei/7NPjAHSssofSxFYaOCzpSeRZJtHXrfh/5H2XcuxI8e2P3QQAW9eC6bRnk02
7QuC3CThvcfX3wWOzt3dRZyukDQ7RgrFjDpRWVnpc+WsXa5lASDeMmbEBey80n5N3Mmy3yS5Ibdn
a80ys/Pn3frp6+u+fbG/Xbzrz6QuVpnaMfAnqQWiSu2k+94xWQVXFiOoi+0BAd37MhjxcX/H6ktl
/TZ1kerQpGqr4bdTk7knbCG+umYNbT98g2sBpt2eJeu+tgDXY+98GN+Hz4en23ewMDNwTYmyIQU0
IdfNLIrJGqjFPdlCYTyoFnHMh/tstX2z8N5sy8booc3oCPwpRN8SJsqqeJiojKsOArB33vrH8FG3
U/ML4NN7qzveBxbWva9NN3ywzdZ6cA+p5Zm+Y6w/b3OAdY+U0cHW2IjvKnyEc4/cKMNu/jY119yl
TE3b6SM/6vjxgXyxXvlCWu3yx39N2emtotS+r7Tnp9jmDumq+EgIMNyjR4tjbVC7/ezpcbv/huHY
d3ltqUTBmypFnBl+x7hK1ldSz73kas8LS8jyf/3LM+UL69pNrWR4s6oCdjSrsfO2AKo0bOPI8WnY
j/hqhRDCyIov5CmvZYR63lmcNqExywjQ7+9rwxbzx1Ny3zhIKVu7z10L3NBxu5OeGsXU9sFHMJBo
F7Gg+MX5Sv/vh/5rrq4XvFHT5zeGZdamRGJsXXR2c167JplbOi+PI1m59vd/KQ7Uyx41Les4Howd
iMn4aYklatTDHgo0fsYqfhtBWVyS+JSvNvZxN5J70zq1ZOe+m58P7dZcWTO220aKrJLlxzI+gcpz
336Tv9ct6Vdy8uOaXwh4GAgY55hwnu1bS1Dhjixn760rIhL7C1sAblPDnr3bAvGj2i7I9aIxaX0C
sSzJ2jLIerC4j5h8xiiZ1i5H1pWDscKU5CWRZSs+7NEgo6w5ex042/WI9LboE+njqBxemsxsxe15
AKg/tuWm9l4hvE9K2y9sd3Lb1Uu9Ouq8Lf1RTwK2u61krPBdGTsJ+/RIoJMQyyeHTQlkC6LvhXug
ghA/QFtqsm4T0typ3wK6KNeAX8C/MFnhdsCmTqz+WiW7528pQoleP1SW8FBnVnTXeVjhcZ/tisbO
nzQnNxt8LvdHf1ein46IKCP9SnKwW7Q2852H5FK6ErDvY3+Xz3hpX3t+3TirwvkyiIIJ1zUqZia/
Ke19D6Jh7A5W1KKmjZSG8sHb03Y4lqR7OOp2YCKRjU1kqhlYhRPp5GVdEiyYhjXLzeGIHl6Ha8ja
UVaQVCM1EY6agA2WyPtu5QIL4l5bhbat2chI742Tvy0ylDFO+ia1Ae3ZOwVK58mHgg16ExmtQTCN
L20rruWGKCkqvoe7wMoHslbDuW9K3SJBd2qwXrP3rE8F0xk6KXtz985/pKvNc7k9lJbydBQ7uyMP
WJ+WWSnwnqQ1Z528TfGonZWCAHEVkMZYGmRzcI1XABwWUNdQD11vjS5vr9vNY/6R1qayCixTb4Eb
EzraAbbPbkytAJIX5trQogEZwTKBeEL2zlvbhfvQEwmYuNn3Z2+JR/fzsX9WJEKCjaVuxrV+j4GL
DbplXVJ9qT1ZbVQI/8SRZm+SDJ6HKUN1/cGKprMmEafC6oroSzONdXRAq8uR2A8VSezSii0gfXXY
cfzcmR32OG1i67sVAAPlVmS9kfbmdDqEDk+E++oxgAY8w/HFfXSHwxr/Z6cnxQCmIXPV4Vss3wT3
XfXzoKAzyNTxo+AEZ74EVvYxrRygs2f4n4K9TYmDXUvPHIr9n56df/SAuE7QnCuT3goL20jsg/ts
Jl/y6phvD62JkwJQQkNJeBViP8q5WBl3grBNSGvFj1+wciMkf+ftAB5b7D8xKErkgnzyrkhqd9Kc
zSrZ5OTe+PQzEnyH1vjiOY/aHVZWF48taq6bHCPHFh4aTwYb+XqXSKvNmsssz4dUBnZrZnsUvFem
8vkem0CPle5n2J9Na9W1SdyEgLV/kAnl1oekIeOx3iZ2FRPiru0SIPGGhZlp3xbvOPg78bEg7mh6
4M03dBXwSEmzffx8SY9PqTOcgn30bmWDM7k8HkOb7Dcqzn9boS2ZWQVARrImSzKGfGn1qQaRxnGh
16EHV3Lw9AfyFh7mhozEalKiH1VnhoE31riqTYi+b4Y5YtKnfCphqqUqkY0O8JFCagrb8Hx2QuDp
tw56h+7ydQHPWbozoEazPSOC+DkbZdyvzk55XWoaRHymg3Y5krezARSD0PQIspTubSYvNPdgAuGC
ybNBvDAaPO9rGAfnuvOLFdp7oN5Ih/IFj0XBOl+NXeP6nV27JkfFYL7eJJNa4U6Lgjy/Ck8R2QoO
HgDrWAv+H44lYaWKJEoqIOqujyUWXSB2nt+fDYJqf8Y70JAYpc/v0OseAQ+rvGMiyC1UAOaz/aVJ
sTIuozb1ddAEsnsWwAxit0vofPeMs7FclOuj3b5+1m9RnzxIuRh1BTwU657xlb/TP9e+D3XRgV8L
Fda5zQ64QWJbOSgA7u9JziAjsuhQvjggyHKuTkDnxQGgGiH7I2e+7c++DVNHXCxbetraPHl4cln4
igsSdpEPUn9qbRcPx4/rUkjn6AXFLFb0wvKE6QEoTR+KnpvDl6dt5ziBdY7QR5KR5zMcEOeeuPZa
WW2eAmICKv5zNDe+xWqX+ekBpzTQ1fkoZ9yTxaRsBpzvxbL295/Ho1uSV7iWzjYnqY0mSseBnOfm
ttt6FlZNAf/NJ9aE4qj5vToNpv1gb+TtA0wDuQut+28Y6/Xmy/068LBQzxLZ7wO4YK5u35bon0nS
G99N1+E4o6sB2AAvWHCOnrVf760en/rmKG6NsAHDaqkjkR02GOZHVgWf8Zp+4oELkYgmAcuo57RP
atoscZN/l+KuHtRPOHjx42ofZEM5BxPW2Sf79czplWl/nNESExC4aZnVWtZniFhwRE5n9tYUy4Rr
pRKETozc7g+M/y0mX+ug/5EKNeFiER+DvQvW+uX+2T/J65fV3lqXpn7XENtdmeQB/43JGbQVqLaN
DzRX7gOWbAImw2VJK+Mx0hUoLtB0tZsvHYiKLFM8n4U+q4H0v4RlqRiZ+GVKgtFPmxRLcxGwVALc
oP5FdzEmyln1lnXLS9rskhalj5UAfWWAtOugNUO7c/945GG+y9tPZMm5wKrqvyeidPPohWk8qAoQ
nsx9fP+Rmsk7phmYCPALEACwhhd0KN1sJHqdGwroaAj4evtN+qiwEgRotxmAyzm05GPLKbEfvyvn
9gFZXKRSoG0docKb/HCRt/03DbbnQesJqymORUa/9jGCyBinsMDxrMQjUkq8PymEIsELvH2cxUwP
BnWwQ1Q0frb8XRNSAi3OvUGHj7YXMLwFe1C5HCLOAM1BFaKI1PKd3tXWydeMsFAyHvtSReGSOvXW
hUIqxrCcqbf39/U6sz9vH28x5XpJgBL6MakroZZAQEiddLRyzRY989Vf87VtPI2ehatjLS76P2gC
H1ITNQG7zqm74ycv5kYDj3pvAJ5I3URIjDf2ZJvZ4390ur+UKDvKYVtrK0U4neU9RZNVWwheY6t1
eVwYx8hMLqaA5lm/fx2LNn6AEM+qLsSxCkshPXZOCsRb85hUAoS/BlQiwjjcklG6pHddufqfWB4m
PxVwuOR1cpXDyhRRiA02/sNtOkuhGDTJ33PRoZgX1J4cIhxCIiV3ZUvqHM4utmilELcpFnQlew9+
BeL6TYQaunooNcJSKkvu/dU3UO8gwPaXOpgvckTCKLYbV98J9kP58V8zlXoPXsRxmE7HJY7YoYP5
EazScR71w38wyT+r579MpcxAJIql0Y0/B5pR7FIALfQOtmutmCeaX9NvE/qXEmUIQlWXx2TAieZ9
oQagszqMp2N67jBPz3nwlSLkKUIMVDIpswSUMgUZz1WGIczv3AF05Z1qcSsfFIW72wK6bAr+HpBS
J5EcZFzgI/RLMTMSrxJgLr+HzG4icRaxW3ykdEkr6QZWLuHG5FOPjCp2/poAEEaBsYBja5ieEwJq
dNVBe26SPbf2j7XL6udjXCXdeJFwdSp6MmzraNaPbQvMGNUvLDWwO+/73+Yp8G1VWRTheAHklrq6
tB+LKudw2M55qQESVmHy4IFlW5fzHxdUqJtTW2OafGwDPz8ZJDDjgQxAbPVJbYlokkns0PEfxg8m
1YWLvDobdZFymkhyKkMsO+fHp0SsKtjIRTob5uaNhQu7IPVr1qf2xNAv57eXEh6zsYotWg+sFlyJ
RYSyA4Kqlr4PkEcMVxjb7DVDnqxxZbs8GffTKdHnEWb0u5kFHJXc/a5OoruD9s7I5hE5UsvCCKoF
9BqLdw1mk/2SF3rFANp25OmYZfMNg9e8bpamgV6eD29391Vsnwt0ABLVHQm3Hj1U0W6L8JLNUAQ0
gxoyhmew/p2inSm8H0cR9MJoYhbQ2+3eC6Z7+DPhTmmFKyKUYUr7qEc/KIiUdnowDvKxffQ36rpc
KXZ4ijHTO9vEQ2a72wGp8O8WDVnf2YlDCp2MGLRgJS+Wwour76HslxErQ1lr+J7K2Ys2L5PVYHeH
Bg1arPFyJn8pE5ZyWtGqNUhZ3lyHiYGB/PhgvLIipgX1fnUiyn7x6LdNlABk9h/+5k6HyPREtW/L
yuITuhAVSt2JbcmX8ggaxZ23q2zZOSGGZ7jyrHNQyi5WhcjnG2Rf99FdaP/hVhVCsP/E5l5xi1Ju
GOMRo4rHSUq7tnO7tdGEDfOeshcqL7nxl6TohvbEFwYFhrc/Y0aZaFtp66Pkdsid5rHYs861lPS4
IkYpOWNCL7TMgXvCUXjhoUj2aw3VT8FyMGz4Jm/Gvb9JLBX6xHpt12b2rri5yZk7W5IJVJtHzHK9
CfYS6lAogtmec9i43ettKVpKf119JK1xgk4skpkj+oBhhedQQvELs85a7+SdG6irViK5ZIXVCpjx
kXAMRzIpZjCZFW8mqe1FKB6hcX4s7CiwomlTFae6XPHFA+Mz58+4obM0SmdF4KTaNCg78Ka3UZ79
7fBT+VzZ/BYAwW5ETDDo47MEIEroPDGILz81VZMwZCFjew11kYOqjkoe4CJHs39/Qa2yJw0K5pkV
bvp9oqO+N5nFROzwLB9huVr805j0W8MqLMaXzJR+sQE7YFW4Obr4a10mL3KSz2GzJBzjqEOiXEAZ
HNXbr3J9N7ghRpleUXt7iIi8xRScxRpqWtbUf4s/PKWpM6nyjKBDWCW1ZvyFxaPpGo/0gXHKRa1z
QYVS0n5cqELmg928WX1yZvyKrDwLF3fZElwQoVR0AkgoUY9ABJ7Ek4ohnRDRYH/myen2lS1kQy7r
ZTSadcuXfCUXoAPM4XvxQUIE6N6msKzULo5CaempSvW0mcUTRq07fr0mbm4xfGsmuygdLSkY7a0y
0BixOUNwi223qT/NaMXag7D41P6e5ec7LrLWftChZvYjYZDuYc3dq06HHNVtji0rPUWTZBUJMhk5
WjyzCyqhzIdZW8Q90qbAFvGejNiUtugVgVutO4lrvs7xmIjuLBlZAuWpWn0yRHzZybz4AkrG5SDx
m0kK+vPLkBFACfqbbmugc2Eeq4sIv832+gE4lNi8nK2Y0cSiMr0gTsn+aEgyN8QgPrQY0l5nxNvZ
pLNthtJeamtF/7OmKjIWnxqGTB0yjIJWCpSqxxuT0anQhbhTgGmYQ4ZdbPvQlTclUSareW4jUp+x
RXBblFBbfASwSPU5fsB/ugWra2xRu1x8FHV4lHq0SU06+E3Y2ZTEpnx+BOB//XxbxJYfjC5IGHAR
ZEn42UVzIWLYNZOFCRaInMfNhErSq/nILDTM7PtlDHSYAZ5XMW1Arzr3sBRhCLxhPkn2or5t5VNy
VNfD/ZCSDLt6306sRtqlfIKCkXgJ14k8kKxRF5pjfl3hvKQ/h9/x07x3ds4sh+bOef5zQBXHJ9pe
OE3ou3kIVkVEGCydbTx9XoCKog6hi6oiSZTHO+Z8PkR82kOVjpivqM6xDczKHY/lrcPqgTWpLMxK
4BY5Sq2GuVCEelz2gJvBbojy4AyA8PfQfWVyK4UFh/ZT6/tFTcReBUXT8Fxo7B4/q/oy0yEvlTU4
0blJTV8zVVBLXNvcvb5OcAbzVx4T0Z8Mti6JkXhBmfJuGm/y8rCr+39g8dFRtZszG1iB+yk6IimR
4WOYxKUXeEmQcjn9UfJyrsVRA4/spV1ClITwTsNS8ktaDqJqSJo2S41KiUsXT1NSAUAc3Ww6kbAO
sMzMWj6lBXYY8++D7qicYWLUzjSA9ZQfvOQ15dxRe48CkXTFJhfQ3ph1HVFzVwgwzM8zPnBh1k9B
i/XfD6QErBbzUCrm14SnpDnxxif+/ssDZMarb/JuUrJhP5eckUuKlBVXo6yTdB+cl4B8V26SGlq5
luYuRM57UdX1YdobKAgFZgcfH3gUTFTbJf9VhE7kDVU1FFWjPiAIOUkbI3yAArzK3b2BoYLBPHDM
PO6ypvpLSJ/zvBfqV++rcWpmGXsCsjuGol5iItuGkz0IwC7fyJAE6/AubguzzUi0Me6aPSvHtVSF
w/X+/7PSUYPUiV3Ml/iE7Yxn3q37r3JfPGfbaZWu3zFFivX2rh3ZbrTyDqxE0pIbJcqqiulKQRN/
AeJOiScmSTEipC7nrBl6/Zj9LAvD4RDfCxrUXcp6gh68HDT2zV0Wm3MuZQPHZfWIvCRBCw1nsVIe
yy/mL0m6XOUJZdGP/dSjEK1sU0Rhc7OsfQfA9mDPWcK6/GAW/haNzgVJSjt6XlyMXgQja81rzeoT
NnYDcwyjxpAaNhjMIjVFwpJURZUNWad4yk9Jhy0lMkz62gl5M7MAf6Qe+13zFm1GRnJnMZpDrvx/
idEmx2tT4KfUIPakIdeC2rCA9U0igIkSlie4mDW/JEVxUQ2TGFi1Yn/2Vs0nAKSCg6it69zBn9IO
UI4bHpXVhLRj3zIqLUslTmzP/XtKytoYbTKqfQrSjaORYyTaTUPQJ5GcGvRkoCuc5SQten6XBOc7
vlA9aVamMfaVzDmmSECKEQoOMGuEQ+vif2K5FXVe6CfpmqhSrmyMmGxMDWV2AAFlgnaqOYYYzD+i
5QY2u69gMdCEoyCLiMHwt0JJpxSrHAcEGmiVQUIjsN5y3UT4Kp6OaoodyKRrc6OxilQDCGnnlWFJ
mqQSKixC1FvV9lqx+ZY4Tfhzmw3STPaX64SRW33ekmyIPy1/Fwznp5jLhT4ezglCNtkU2pdR3CQS
GdqeGEHu6MCUSd54ALAKmKzR76PpTxuTUjolKBElL8q7kaCnXSk/EuEkZkQcn5G6s+tqn0vfqVia
CdoyxY+4IDGPxnASZ6ZarcZ6DagGTWVU5BcVNwBy4GUDE8qgz5IrEa/1UjScsXIwUr+6hywHLOl7
/CA93uba8mX+pUQX5kpN8CtRBKVobQD+G5MY/sc4bGLswsLtvYXBKkJWq18zyC4UWBVU5/73gD/j
iBeXNXtrPsDJBow6CuixQ51OMjcNM9O/5OnMa5PRqmFgP6tG+VbRIE08hxryOcQi0+lQ37FyYT/R
Bi11lxSox6BLXB5jfGY4azn6VTmPqKM92lWGcZBwM+0Gg3Tr7FjIpvIiBuskWHkF5lqwnCUk7eAC
nq02RcniJawW7fc88mkRpHUyx2Kt+ytugyWQnXpIdKstXIMZSi35xtCJEi/JAjqqFFopSj0fpwUM
aWWl3/uOM9V1gX0rtll8dXu227ck1ZfkKJU4ZXJfcXI/6+A5ctufM0CCafbzXBfR7e8HJE2ZSY4l
CbikSeV4Rk8ZanSq99ibjjziEWhgOfa7qOsU4B272Mot+H6uwoLkWXQ8L8lSIXJWtGk4TSCbA8sa
eBBHQChAFRG5h3cvW7NnxLs9GhrLbb6trGif26hyMtJLSxpxTrqgB0zVsD6cks1cab1Ur/m5veAj
sTR7Mt+TFWveYjGHdUGFztVlEYI4v5R6POWSfBw5ghKKiVV9DWke4l201UrWiMWiA3hJkvIj8kZM
ABGFg422/DWdLefN6nay5d91K9mN/wQ2Q1st+WOX9Kh3MnAZj05O0NsX2K8UFubXdIix6BsFmTk+
+2SlP5dicQVIToKAh8ljMfe179BwcZGOHVwyufMSK9AQoQ5hk5jcBPjG22dblpG/pKjwuB89XhRa
HSnvlfRSK6TULA1DWhzAfEVnkhnUFs2NAohDWQN4tI4WmuuT+Y0aeoGMk1lwbev7fONZMC/36jZi
9gcuM/EvKUr3t93ICX0Et2jEts1hPZbEs9BdgBJaZlv1A7dG0wBLUJYC28vjUS+OL6chRIPzHNjy
Znvw7T+tNaF1ImOW7+VZBmjDc0GKDoKqsq8lTgKpJIVcNKYgB1aimgL6sKZN3FpFltjJ55Du8zw0
29Zq7H56ifSJ9MAgyzaSvDd6q/eQIdyE9VrxfYiyWbWO15rGW2uck3zrqXaX/GmCl7rYG8HnBACT
zB1jJwDGmG/niLwqT9n18pGvD9HgegljnelibIlOS03QDEWWgBJ0LS1IHOt6AhTm88v2jVfNHB2d
tnkyrO8C43MWs0npx+ugeXpJj7o+j5fyupO8AdjcI7ogDWCPPKG0Z63v1/eaeWc/v2ojMRUzcTfN
CvgkWJ3sHzGL8Hn7Tf44Xb++A70faLMTJUWTqe/IY6y7zfR+PL+8IGcxAUAVuH6Ti1aFAWMjZEfs
9wjdBN3qoTCL1Tc2i6MWuT3d/grKWgPhXZQBRArwEl5VFVGjlB46oZMx7pVoV2jwfzsTN2FOT9og
kTSdTHEyzNv0KIH+Fz3AsQhYliCB6vVlj/WgNz52DOyM+BHAsk4UbXTkoFqdcS5KL/xDRwJ3dWx+
1RWZVkFh7fn6aEQ7Tv4OOHhW6HBtRI6hChapAH7dUHUUlnhFvj6NL8d90zVZvMvrZK+0X0Czc/zp
6zbLKOfmn6NcEJk/4sKLHsu0LNupiHcyxn3H8pvHyLZ8N6VW1lcMzT1/74VI/iJFmSSOS8uhHnAe
QAtjhWnL5wwClCH6RYC6lqyOwxYrH+Kd2kvPAlDwAOliD5W81hB4Bby81r3BDiOtIrd5uCh2Fzyk
dIw35MbgZziYX3ufjRYTJRw+J5XbTrxUMkScToD8c0gFQsdrGkJ1WsYrIARpPjYb77rGloMTP5i8
epeljt4dM/9dF5CHmPaaFpBC3fv8i59iOI3rzSFh7QxeFM+LD6E8KKUwxF7u8SFFGJmC+CiqMSmm
1W3WLsoMalKaqiEmhxa/Fk8jLvLe7yCego8FLljpFCQqQ2oWb++CBHV749SNKtdBavw6OFSqYmlV
7QSa/JnWKuPyFll2QYpSyl6Zy303nyasv/kC0GHBV6HZtzm2TEORgTeN5lKBjsaVQhZ6vm/iXcVn
ps59VTqm51l1bxYR6u4To0mLFu9tp08nzosJ3+27UWNwa1E1oeT7vyehrEefjthbZ4CImGJRb7Eq
uDNQSs2py83cf/1PuIZKpI4aqIia0rWciXw3+k0FIZizTGX1WGgyqWKGpC1yTRcV1DYRKmPdzjWR
Lkz7LijaeKfVXk8yoKq7+pB7TlPErJoBi9T8zy/Uep8nguDl4J2XPWUtdpOVJ2x9Yui9xcepA/JH
R+oQDf0UkbFC74Mn9fGurrTHftK/gNjDkAE6TvtH3SF7xfOKoPEGvWQp1QJVTusx3qWa35I46A6C
nG6zNLH8pnXCtLlr8EzFLtpjdMEsO1vN/NCuw8CKJX/Xqx7DoVxk7MX3UHcoCnHnBeown3kkeX+q
la8ifrotjAsaSeExPs7raBED6hul9KqswzlbyEnWtu7A69FKFQtkfhO4jj3PihTpvPbM4itylAIs
RCPv/AHXmBa9k1VQF/2HMPGPOt8/ZxXAhpN1jIkhlPekNLWzAt1qAuOaFxxFBetmeJ3HgdFJI12L
KzegsT8bO7g6UUX4OiUK16IxcLIDEaEGUB+Gf9+uXBGkrjFWA340qineNaIE7OZSQxrAy3QGlQUN
dkWFeiA11l3IGVbp7Mb8W4+A5iIoq171SRHbtyWGDor/ucMLBlL6C35GGzU57nBs7wP1VIRYdSHt
4e8rdzHeiox18dW+wU6AtmMogf+DtIT+HAmgZYZO3Z3MJzof1xKMmvoQwzr7haOFhI9XsRDaujJi
hbC314GTo4oHeIAM8gvvESxGCViUJAn9HJTLn6GPY8xiMd5NXWrFDcJWrENK7m+zd8GxVHhJU1AF
1VRIJ2W39SLRJUFvo134nWJp4cmTt+jKJsm0E+HtperXbXL00Nk/t/mX3s9E9oX2Luvcr/iui3ZB
6vTZOtjFbnBqE6vtjyiSkASYOMNbLZ5HdOcIue3LX1X9KShHLzEzxfJn1BlbOHIrQMD8l19GGX7R
UIQmVsAJNSGTSKRXbwVTFrrBzngozj4y0iv9JADs2iD8XO8gSmDz/F3mpaaL3rRXY337gxZMEHr8
IPgyoEQQ4lPfM2hRY3RoBNgV8vegvuU64yoWX7CMv7ADGD1+dOMZF7UQvoCPdthUvQ36p7AjInB8
lG/s+jjePsrP5CcVH839irqm4hXJsKjXSrAQfaERQ0TLAop93HOfWoL8JDaAaapqqN4zlqlZiazt
9NwHFpGTDcdAccqqtTi4/6r6NrAKnotaGdEtJkhkVZAV6oNCfGgwGPiglt8Y3UotgN0FjHPHF9/a
7D5JtqWG2oRuZcUqlB9Fq2jfJtkNkgiwVAnjnS9etKILOm7CMAxlvqiLJ6HxQTwB2TXaDWpuKsqr
ETKM7uIbvyBAWcGpkoTMGCBJXv3U6uOqL4e1pG+U8k8l66+D9JQAQPv2jS/qrguSlFoRIshB0YFk
ljzK4cZHI3aYSNZtInQV+R9lguKVqBnAiBF/PKwLzkFn5kKU6qBSRLmdNJNqx9jO6GC/D2yt0TSO
F2YT8fkhtkJMGaw6IewYhnCRuXMNQULKBD3n1DNN1b7sg4CDAi3epWdIkY24NeNj9AxNpq6dbh95
UW7xjgwU7ObCmngtKx0veX7q4cSjrByhraxhHEndu0qXbeK7gW+YAxr4wV8v94Ig9VA8Pg8qaUA+
qGv2/oQAQmCJ/yIDUeuUFF1SdeQxr48Uh4WgxHoY7yQuJlHynramUJvZhxrbXgZIA4Xl2y8TRGPV
nExDkytlV4FjgEBJwtvXlAB6XN5Fw2TLUWL7KWdGiiXzdiD75u2LoxtJ/pFVhEfI1OKgwL6+PmbZ
IF8b+UG8C5o+scpUCE1tKFSrRbVmlbYohaLXebK4RFtVihG5ojZW96Phhwx5XXqZqJwIigFwVJgX
yj2UMqMJ4xbfAUg8mC1TfL59UHp5zc9BLwnMH3DxKH2J64Uhx32qK8lK3327Xwkvqas5wZ8GMDXn
3IzQxLIDJt69YkoSIBDjQ7RG50B9TP7NZY+/voXyHTU+qZMowLfApVFXQs7bgvTdKb2TVqeqfRO8
XZAwlO2i03h5fuqih6njMg8glbv9mJDiZT9V1oiqCsDUEM9BLaCPmlVQXbIgAur4CL2RS0LnwDXL
e89o5IFPkLOINRKU36L6evtS6T7ffzHyLwXqkeYVJ6nxzMjWDNDji4IJdgLtpBAzqaFr2JJbeyQc
Q4YVYZCVeOqpNiPfVnodIxHXkUjO3sXexihx271mebcemqOYEH948rNHP6nJxGMWV2Uo3OXrFFUD
SXcDKoOehpPLGiYGaYyd2hRfcZcVRBsFJ4kwhdYMx0RLVhjVVoLQ5Hy39sWNmIkug/mzCaF1sAA/
TZck3IBIN+mOUTIUGARGTl4InrIoJWoE3ThxZqqKroghM14cCPDazTbinEH+T/TlJXlKupKOBwN0
mADFQC+wV5ilUqLxWQjkuQuGryxJixiWfVFJXZyYEjchipRyKGaj2r5nIWY2kYjzedb+3CVDAGxy
gMuJuiYLtPsQZk3Oj4IX7fwJGKo8OhYDu+pfJP+Nz3epUjqSXDFyLIsui8TjnSJ/OW+8ptRvHGOS
N6h5aCSthovw0gyGFUcvYYpSb4bdvdXe66dT2vUM+7OkIiQ4+rIKMcLCSIquhhHGEjjDSAXHKtEH
eLWscHXWpbSUyhpw/HlANqBGRb3VrhfGOuaghApjL6GRLw2f2gE1Of/79nOY9ectOrTDFYhNwPlI
zmODlJU0XmhKiQTHWWxhVmBhEU/ErJnoJbfr8myU29VMRcXrBXKoU+zo5dPwqedvrSVWPUm6+j+4
KbgHkobhRR1pI4qPfoWlPX1UQdXm35wHfFzl7TYDlx4X4h780RFwANXm2loYw1Bx2oQ0+vQQ1Xtu
8K2wqRma+6fA/uuWDBSldShNHie5JgKgTd83EiQvmrAR3dDTR2sM88bCHmnOrDlJcMfe5+whC9Hc
1iUtAIkawayUUiGiXhVvSRefYkO3ct/zzEDrZ29prOwhr3TTq7nUNBJfYnB+iTFwiuAT4qvR8kUx
JsYgVhTyHFyjZjDjeq3rRO1UBmcWiaDbHIUfvBHlp2Howj3iUMvvwrhMdlNIihSh7pvc3N2+4KW3
DoOFNyjy8Ano9sGw9VA8D8JklyDjL3TfWc5C6Vp6D4jioUnQfAARpX2cui7kgMchkCsyOcQeae2b
tbqHum5F1Mp6htpcZNoFPUqa5Azxq46U0M4XT1UqO13em8zc9NKh4PnD10FZRkby/1pkA6VTMlGr
k10kYqYohkoRJlvhB9vgK6fNI1euWUibSzd1SZLSZUrH1XnUVcmu8N+Rp7Z4PWfI9KL/ckmCEmqD
T5Sm8vpk15adtsKwnWiGfIDB67L0VxkiO7PKm2lV8Fq+4cICyRcJ4pIG6PMtGwNjhv++bF5+jnTN
5GRKuFZTcOIA0V6sYwSc1cGwZNWxXvf/kfZlu3HDyrZfJEAjJb1q6Lkd27GT2C9CJmumJGrW199F
n7N3umndJpIDBMiDgS4VWSwWq1at0jirH7/YuS1dHDDLGc3Grrri1FUPuH6iQMvO5FSdFMuPJHNB
1swSISGGyLvo1UEDxLWojjhRUQ51cbKGo64/aH3i6crz7QVbu1ZtwJxRO0BbveYKF3eO3lAWaXz/
KtcfKCY/GfteQ9u87IytrhsuHcBZbBQrRO/XM1DSDdQsTjgi/jItW1N9zazXhFqHKKkCNtthksse
/6vmiWtC5XUaPuNPUA8gHxBzaXZx0jFiWh2th4qOflqgFdZ4GoclNOavpZ37doY6aTIGkdvIHk9r
8QTGUAHvgueTix7c603ENTRE2hJxvZPF4+Uijyw087vJOcw2DRVw5t/e0hVHQzBITuPgRZ3ojuDN
FnOsKn0qUZFV0LFYHO06GMxP84J5isVrKrvuV/QjUAxHAjMwCXnv8744DxHtm2QssK+JftLzr3T6
yb7X1d0iK+2tybE5IAosE2jlfWf6uJCT09xGGZgUp5EezeiUE+vT3LbPFsj4ia59v72Ea+kUBBYm
2ENNlE7REXq9a7mbOvbApbV2CeKPQauDugXDRs4yF+VtIPTccjiMhd35GDBFfDUxx21eMGV7+0NW
jifQwyYxwEjEwxxhL5taY6rWl+VJYY0/1D+XPnAQjfayrsCV0wluDVQCDAzbRkFKsNJOq3I6TXV5
YiaSnGPntc6+2Ruury2eaf6mINm6rdjqdv4RKL57x6qlTaJxgU2QViEq7MtXtTtoRXhbzlptgMBq
+HRvm5dIhTsQZz0aWIQVbLMdxTCEN3D1mEGX+A7ww48xUg1fl+30hqkNlr8rwNksiZZWd/BCvnBB
1llaTqkF+RnB20H9rNRpoLmD12WLZEnXzj1mLeLUm9AYZbVrmzVibcSgF6s4VVGoqNkmz9BJY5Fk
M1bujmYNyMRcXXZQ+IUqBOIEl6CDXB/gdmCfvhaqcw49J+rKkw28793Uqi9aRACecKPE9caiqn2n
zstNVDjWXR8v9VZ3Jvo85TQJ3GxcQkxgxeP79p6v3JsEVSSwHagAGhrvh/vCVZhjRHUnyssTjYdy
s5RF76cJHJI96DI4z5oZI0h9d36AcogoK5bXLAOpbHGyl9+EzYdBPYwBHnPbQZEBU9bwa7hDTAzN
Q3865hsKllxrRqoNKS1PGmPj3ZDYURipqgbsYRKH4AxIdxWtnDAFIsCftRGYD9wS4TT2dViMrA21
kQ6AQqjjcVowB0Jtm0qy8KurQeChXQx/MFA3uTaGzqClOs+sRPW1qrZ5VRtbiybuJq9IES6Wmd6b
UUT3t3d77YAB6MnxdDb8tZh6aLvUWDqgMU+LDdC3bdzP8zdG1MpTI5l+3JhFY8ddDjYNw9RNlGyv
9dOKNI1HCmOv2cEiD0UlO8IrutgqShV8YCGKpmLvATUwbGGJscW19Tikj+hoGjXMqJENlV7ZJ/AS
I6RUkXm0YQXXenRpjESKNmOfEtynDlqcFs+aFG/Wu30z/by9PyuLZgNMpyLENIGnVgWz1WjpxiTR
cBrpp6w7l1Q2y3ZNACi+8bCGd4en5Yt6cdynluaFlkGbtqqdMDc0zKppO3t7W421rQFZDTpR+JsX
VZZrKTka960hgpRXIOlctJFlXiHr0Fjbl0sZgiaE1pz3kWsCtBBSXHlYokseOAAZuH/FQ3Lmnf8q
IxzUGWY8Fz0E9SgZGNPia9MzEph/7w6upAgXktoOcxlVkKL026k+sNgznf1S+WklKcTI1k2IXiKd
NMpoQtA4bxfVN97q13EOiOx0rhoaoCwW8ioEaQn+9wtDG+bGMCzqYCC0iUo9wyMxRBVNl6zamqFZ
8AAGQbXeQFngWkpbTn2Fcn11UtvouxvdR4m9GXNnFxe1xKRXrACwHGRT8UwwbIy8vpbUGSw1MJ4A
+1M39pGZLfj4ErPcpWZshH99eoBAgAiO+kdeSniXN8yZQLfrlidHQaNv81yXb0aLJgomST6uPfhQ
7OUE4S6GyABYda2TVdLazmu9PPG846NifukJGOxPYPX0RuXo+Ivhj9290gW39VtLvKNdxIDzxjxl
6Ch4uWSKeHRhlCe16nZzkofm8OjS8TiCwoRM8bmyGDJYR5soEskr5gJgLF5GFtwf+sL1a4Xj3o1Q
woJR8hduZxpeXL1MGM+mP9/WcFUOaHHQqYpEvy6+v2qFkanRsINxg5bRyavaQ8/OVIbHW7NJHUuI
+T9oe/lwNcUtoNl1n9JTob8149mdXrVE4i3WRQDj4JrgMEIjwPWK9QviVdUu6WlSXqn9mgAXNhYP
t1drxVU4uosHJLoNOMpKMMOknJwkI9W7GhbKiG35L9txIUDw4FWtToxkDT0x9wyE97KgAZSdpdWQ
tV3nFSycKYBQMEb9eq3qWKtpZtT01GhnYHYNO8ALLZI5ojUpyCGYKFoBNwAw2rUUqs4DA88pPWnD
EQMlPTP/McTf0urb7U1ZFYM0L3LwyCoDK3YtRpl1lTV9T09AD2/LsAXDaaN3vttIPLjYOsfL2Y71
R9C7s7i4KGY7z5lSDbCw3vUMpwshcFPk6QOCxnY48ndPOjZeYT1lBbgyl5icnNY9LCDUHH6r7tNf
qw04z3t4DBwTArFrta1Fq+cuQeWM0ldzeInIo0LuU+vvL5MrKcJlH9f9WGkUhezCHQ9uaOVgKa1l
DbNrbtbFcxMd88CsojdXuEfQWaantonqFRAX1WxjkCTWslHBSFocLNCXpBhWaFAJIcSKw4BQx+Ge
D6gokRAiK2utycAkdErVbQJ6vEy51zrJxbVim5w+DlkKzcJcWHEaDsq1mNLaz2jxMudgGEGoWlWb
HA1XEXqdb9sDN3PhFXMlSjhtLgM8vXEgalbPJBuOKSYLMnWPnJev0N9JS3exFt4WyU3slkiu/cWB
iAyqtlMH7L8zPTcBrY62TbwWvIPaLJvQLNNOsPaELWBotSGqtsLoy9xU9xk50v6Vkfsmf4ncWrKa
a6lCFwlmVDphGWDGEy5gHIqIzRoA8Uv7kKm6x5QEXLxNuJhGMCeJZ6beWPm6jQdD2Th/XyK4Ei6c
B7xRS02vsZc6fRt1zdOMB9L/ur15azHVlRDzevfsLrESx+EaIn+WBeS7ovk2mNlUz0k8V/VmBWSH
28ayJX6U/65oNZcrKxgqHsnxPFIopw1VMNR9EJNGsn7cK90SIRjm3C1RrEbAS7SJP24BQCRgJWv3
sgK/TBPBKG2NACcWa/lpPGwmSTiz/tt8XiIGJyLFKdxq6KBsq8jFKiFHq59kl8faXYbN/+/PiwxV
VUsGLeKV9mI/P5vb8nd5cP3iMxAsn1h4qBR/Dt09J4q/bXQSrVwh8MjKvq1HE5lEpWPtXRtHbRhp
ipRgkmc6Pu7/H+2Ew1u6bcGKEtoBJw7KaD4rtvJNDLCVTTtbc0scv2tpqEUhTSFYAEgsOi3OLWRG
zyj4KMcEpMptgPI/si+SpZOJEm5ilGkMynqIGjGC2HBHP06cQGNIO+vf2m6f9490lmXGZDIFI1TU
mbG2gcwKtWw2bgBq81i2aed+R91jr/52lf0/GMifBRVzWLGeKHDKJrTUtnm3RaPu7d9fS7cCBo1A
Aw8RTiArLGNSV21EI3Tn2Ibvnh7rY35QQvtHtW29nwZotR7VnYlptrelroUal0KFdXToqPSDDaEs
iMNHGR/n2jWMqbxIXZpAG6IP+tqR6ylezorpAmyov2jVWVXVHSmf8fgpsr+veuB99UeSsHiRnWha
kgHrYjdBlU7ejwa+1Sw3t1dr1eoupAirhQfWgKsh4hcThkWPtT9Zx6U9xvmzTjFFi3GchSyp9dEx
IZfJ43u87/AWtQTNqB6nDujfURkE4GGjaePDyFSZGawEFVwKcrOq/o6zEdwfmQvwuxVFgfLYRLxC
2WSD3xjWVh80r41/zqBVo1N6HL5EluRcfQxEIRlp9PdkKiDswpoivia9Q4G9GTSMWdNRMTGyIJEA
biRCRP4U0tYp4mkgG0z9PBYFf7q2xnNkSsSs9MBeKSMW/4opVYtFB7CnaNRdFX/L+hqPyzzMAStl
3Ve9edaQNXGn0/yUlduB2sA/aPVuVmpJ+9eq1SCjh5q8il6rD31wCjMIK6EwKe8MFB+t5fn2UZAI
EBvfjNJldVNUwHGA8imir5ms73Pl6YW15OQgHOLJy+LXziN3jL5kNtZST8Dz1Fqbur2n6nmg99mM
afD0UEyqF88ynjR+nq5vaIjluHOk3XFzim54tlwegUwQW4R4grFfunJfpmXYqU4gxS6uriJBwgOQ
EX78hGM3ZRrNh4kLS2zPVu7xmJbEtB8dPNThxRc0quFJ+c5ddvESyiJLT5YEEvKEIILGpAr0QVaV
LAUhE8MVvRCDBBpgnlxMCYgVJ0xo6Xm2+n9ShiNXHRCdIQV5LSVj6I/uowU1pLLlLd1op1RiSXi7
0mQNijyYnMWzm4B+CE+crEDZ01RzqHJnlh6aHtwWz8a7rN+a+qvVGn4cdX4y5+AnAWezLO256kIu
xQsrmQN4nEYlDpaD6Wm2fVeSz3qa+o56VgoM+hsCpQZdSv/qZFbY6c3OBllkCQ4xj0gpPT5e31gJ
DRl7ZLAIJyi6Xm5MZnWi0sQJNLcN+xmnDO3kvzN0lssX/WNcfC1KuOWmuLCUrIHWGaPbCATk8d2c
5ptqnP0yDSqn9LTRpz//3odd6id4mDoi3TDPZcETs7b5XA2yu5v/gOhLgItAlwOiH9zhglYNUytV
XYAOVFXsoB026WMcP8fmjmynZ0WRnI41z2XoOvw9GDXBwyKoUyxqTc0Z0tJ4SDZaDfaNaFZmCG7z
PentAmStaNC37SK4vY4SwSK2xmYGtUAxjhPD6x27eAwK7edkba38cwIU6G1h3P4/rOkfLUWX6TC9
zkgOYWP6yynP0Sz5/bVQ4WIVRTh5VgBI2pY8HqkczzKfYyv2MBzO06gkmFx3NDqAejzVRwCEuj5e
NthrbHUaitOMLOLYvZVxd1cn5/ZnpRx046dibHUjClUwEA7GAYz0t9dxddMMHu0hdWwia3QtnaP2
yr6HxzbQyxrvkUzRHtug85vx921Bq17kQpCg5pApZp1bQHyy6fdg+uSU0bDFEBK0oP/fBHGNL+6g
rJynfumgUfaSbJIZcxRSNKFInmlrFx3AGEibopAJyjZunhdC9MbOaqOGNlP5ijb2tD3T5O22HqsW
iKIlh9TjAhJpGpwqmWq31BHxYypa6Wu+LMRZ3ZELAYIOA8Ay+aRDQL3XQAEe+6mvSuLP9/aYD8f0
QoZwVSuqXUyVARnVgXjPppcfANQ+3LthvfvNvMKPMDKrDZn/i+J16/uO/83YNOGbuVMkX7K6YRcf
Iti5umRFZsz4EMPaZ92dOm7U5vPtDRNZUWEMuL0uZAgmDuorlrUVZLCTjv7lY3PMvyc/jbcWo0JD
EE5vBt9iXv2ofHZ2TdBL6AjE4Y4fxAuG3+dOUmoLxPehvYHd+4tXHkBKUNb+cjQ9xbP9agPEXOxl
X+qQYYpuGrAAg9022pZ+X77oP8ofWqjtdfzl9sqsOhlAcDgNACAMIhdAX+ZG1isGnPV3I7AAeTxp
O7K3093/TYywACRTYx2stAhyi0OJ6XnjGwNVDN0ZzS+gav/FA1zoJFyzy8ScJeLAcmuKvS7CiCOk
cg1JeWbVajEMFBz2pgU+JcFqzcgtFKeHEDt5RtueR5QvLRs2t5dtJdEOu72QItitVqJtO9OBVrex
N2kf9NHOME+j9TLYryi9Np3jgxYvB2w1kRWFVp2cqzpoWATAGlQD137UqCKaKhG2LNX6aRsvhunN
DtMCrWQN9RrHkAGAV5pvoSxK8HgNv9+3gtcznbgbU+rgbW4uQY+x5wMGYYE71TLOY42Bp03lMwT7
1kMeo3iTA0VhSixn9TRcfIHgEzWQpMVKjy9Q/dH6ynKcR7otDgBv2JksGFxf3z/aCgbkkmTESyKC
S1rAUZL8nvLPSgQOkOzLbRtaC3FB9IEBUejmxYtJPA22BWxfl5Un61uCaUV20NpfaTrfW/EnvetC
vVE2twWuNORjJiNuRUDHgetBZ9u15Uy6BZ6kIgEAxWXmoR2N0uuMLgvTYRhBJ5aX4IciywZP/HTf
z1USonlP2bld238a89rwtQqTfsYuUp4qN/pO7bJHuRwZa6uZwdOAvlKPgtghHMoe/UW0dw55wkxg
lCb37GipewSMNd7f1mltszh1N0rM4P//wBRZxJXSAkJanBSn3SAb69Vd6ndqHjLn75lMsHqmhXwD
3iR45erXqzdgkGROwPZ6snA56SyMaeMpqmSPVnM3HBnJu3wMMEIKVsGbAqM2gWOZfvav6K2vtihQ
TogwwSnbSlzl6uL9kSXySlVdZoKGGacKiXnaHKzqYGl71ZKl9tZeqIDIIibDew5N64JKqrkQO+a4
+iXWI38Z5zioneHFpEvqu9X4Pcv7YqOxwjfNEoSUwxzetpHVFO3FB3zQsx469IUAZV4HSOOg/+VJ
992vw4948JQxGP4lowNqIwdDR1Fn/jD3TXcas4pV6FtitmTlzxvLlWm0uqTAUIOPBW21KPpd22Jq
krptRgU+igVgdFuOXbkpzHNiPDhfcwxVeLm9gmthL4ds/0eccNtlU5ECzw2XiCL9L1Y8a9GwjfU6
JGUWdJ0kKOPmIMa/6HJDTw8YWcgHkoOp62rm2tgtQ/EXulF+Fu10lzl7y8k+AaX6daosyaFbVQ9t
sqi3AduEaPR6NefIboY2GcpTXnZB3BxJj/YytICg+pfkkptsLTwxAThCqxHoOdT3JNbFK4j1uT5r
OTDwVcM2jVKHauUeKgxK+YcduxAjGAiGNppOmfVcDDqEqmQ7gOcEyKJAj5ZDujidRN7qGeOIJd40
CCZucYKjmkTg+rTRJaRXX6Zul4HAklG2M2Pg1TFRglZbFK+S5lvXmhLRa7HBpWQhNtCLBCVUUpWn
IQ5aq8ActsCKp23XKgeYne+OD7eXdm0HwWGmozqMgEh/T05c7KBWKJnemGid0NoHSlKfpue0klEg
r5nkpRAh5CKTilkVEcyksHdJpXlZVgUjKOfzbV/KMH2rCuH6NNGrh04DsVtFI6wy+8QC4peUpj9o
M/UXBfSXtqXK1FoVRcg7NwQ0EOnf7KXV7H4YYZbGgGEG2jIHlersdQD2JWeaG7joRdDGwDsQ8RJA
ofb6TFfGTJa5joDydWpP6aegT76ooCDL6/DvzQFGD11gC/BaxrUgzA8A/b6Bpok5P1Qg1FX36b+o
ciFBsIWup50zGwBKJ+25ysOB+WW0p7Ls/doxutSDb92FWWe5imFqGvRIrY2y5ME4PKqm1zw7EQ2d
fni6vWqr23OhE//7hbQEjPC9zQHteApO4ZIaaJTsbX+q7WRj2nhQ3Ra3ohzsQNPxnkYbDUD01+JI
Nlo0M3GntMnkzcthJD9Acql3B9rclbnEQazohqQ/8JvA7iF1LZIwuVVf1WPPHVKzm9sT+sETEvmD
bIrGyllCJQe3P/CV797oWqcc7Q8xBarspKIb2nL8pj9YiuzArvihKyHCwqG4MFkG7wbIadgzfx7O
oNqmDShXJF58TRDqbBjCyOn7wElyrY0xW8vs5jivqBwmsRkq0ytRCq8nr0AbS6xhbYMAsgXgG8U9
AKYFU9f1uVQyzG7hcW+Uh1l1AMHjMkjiXpkUYens2sq1doGUUjtYGFutenrzkMmCzRXwC6+ToKkT
Q8KweGKlpFcacKWwnJ5KHUVd48lxkLHqTdz6dnVyW/NktG8KAGcqatmx6bzlqrnFeC2UNBLtaFBZ
EWAtMwIuGeAtQC7ESRf0643s6NxREw2MqEeFyZR4jgMYqcLOWhVjaNq9WfiGG/TDt9jFJO1C+337
oL/TyQh+H+KBywUOGP3YluAsTaWbp7gFoJvm6baODuO4b5QjSxSU/IYH3DqbuJ2Rn2l9NvWqb9Hn
UW0wPeA8EZAqHC3ld2Rv+nw79ncUmN5ROwzGb4qkhqIfU31bdntHxvOzQpEDOgcONkBnpApMsbBk
rFSVPllaQPftoEhROyHxrsCYOTT4JD7GJlleHc+hoi2+rQwevmpQvSq9y8ezNmEy2mJv8Vz9NLay
Fy9fqw9riQm44AwwLVBFca964aTViQx48wKkrehVHE4Ikre12XSSsvHKyXdU5OvRym7wRg/+9wsp
8WSyxK1TANKKgwpiY+M73kuufS8rga/0l6OhAIkz/o7h/NuCoF6LWtNiYFtwPyfjYUh+2vSFghin
MjK/UAM2LsepjT+53zP2uyt/J+nwudeZh7vPVvMdWtMlT4EVB8ELIWhJBngIbV3C94wwBRtQcs7H
n/td0b/1i75dMvtxrGVufE0UGB7RD4uSGSacCd51iNIlavgsgzLNAyfZ6xjlifHgvktlqIl1SXjY
oGEHW/qBtMpcUsesAfv/1rnbsbmrybdZBnxaqxqAsfOPECG4QwlXoWPfAOavO0ERub5S/FAc6lux
dWdPv9ptZiGbMA8bx+g+J1EbJNGuM4ZNjHwwthNIMOXU/T2QDpPWeVcrSlu8bUXYzkxxCKsXAAIX
9k2LNul4IPXLJGtfWzmTV1KEM0nV2urQI4iWgG29kxgk/0LhvDtoB0cMy+dNgybg+iRa2tAuXQSI
bdce0AhaHiz3yJzj220XvRK3wM2h+xuPRHTnivnrGfRKqO2DgA51QGepPWC5vOjxH2TgOnRRW3KA
tBaCcsKA9Me8GuTI9SdrOZUxuoBl7QRrls67S/8jQ7hpZrUoo4ZBBpK7AEyafpZvcNbBfukGt7VZ
23M+WQpkfbgcML7jel/gKIaaJACDptWdmYJ/PJax76zEx5gH+0eCYFWRC/x+WULCvOzUCYAqdwMW
KLQNoDHCsiTqrC4c2rJB14KmVvTRXKtjTAwLNwAmlD5aaTibSKZi5vbtJVszZbAM4Pd5thsEv9cy
gOph+hxBhvbNdn40j3b/3MTo+JREravrdiFGSG3aFE9Pu+dIu1cFaE+PRGCDV59U+7GVRQkraTHE
CBh8xHE3wHwK5lbpNHYWCtw2LdpPttl+dmP1riCovzgZedIUdYvefTSwlJPkvK5s15VgIVpWwAxS
pDU8jh5PQWvqyO+3HjhoPVNlEge0piOfdctnEADKLWaKY3OxY2UAv+mCmHHR9u74q/6EoRLas6G2
fkH0zW0rWQsJUDX4r0Dx1YFcSp8XHUKCqGq0e8vu4k1m0PwunroyLFmfbVihd16fa+ieiDADygDq
xHcnNvspiMC8cUiHzYyE/VM5FilBg6JFq40OksgNho5NkoL8WpLt6nPFkwPyVcOJQcDqlMYpcZ+T
Jr3PIrDuRsfU9VrUbrIyDvpp9hzr7x+1Lnc9MGiAsj6Mh8jRmZjrCVbKwkuw02Zv0H44KsqrRJH4
bp07Z+Ea4tODEBI5YGNF9+/12Y0obexaR7BitKAYbkIn67zJcgKQpe6M9miUxxiz6FAT9FuHbrPE
0+wNbX7SdNdFbqDWWxczECekj0FSPnde5tbfjF528tfeORdf+YGds5vbuIiqHv0oZTi0L8iYefP8
aTD6jQKSXADBvyaYJEnZvh3ujD6/v225K44HmHZMHgT8CBzeInBMX2qlSXKEWQVnDnsgEfWV2teG
2YsjzEm2tf+jPMHyinrMlWXEnnTpCT1GnjGa+9jd1x0GoKL4p/yTOKDxwJCOGv77o/fiTZAqiTPl
NhYXFKWe4jwrRusRe/QUDP1Q9Kc+biV30ju+/IPRvROf8PZ83OvXRlfDmVFrxnAZa0TVd8jRkpil
XmJ0B6YQTAnFTE0M9aTPLGO7YlQ3aWT7TrM8l3O0j7THcjnVhgFS5OxTV20qdxMbzpfbW77mhzHn
ll/TKFJgttb1FzqkiW2Woo1GHwbgMxQ09ut2t6n1OSSLMUva7dZcMZaeLz9CbWBQrqUltd3rFcYl
nPKqCk3Mh6fA4RD0lBnxfYMBuG2r/14o2d3WcSU25HsOgDISZ7yWcC216yjYmIAQBnHSk2JTb5l2
9vLttozVdUTbLu/vAjZeTJhUaoN+/Abxp5197zrCOxo4VWkqm9CwJgcPAVDCcZwIwILXukRlzP6H
RFbPDrU7exhe7tN+Q2JZOov/kGi6l4IEf6norUFjgkC0TfpN2cRPk/OACSaD2W0nFoVGG29vr+BK
cAVOK4Cn0KvOAfiCbQDcUg3dO/o3ep5i80zNszr4tWMfSl1Gd7cqCyysqIiDaAnkZderWKnjEHca
2jGc1ATH+9iHFehKa/euy9MdJnfJ+IpX71gkIf4rUDBBFnXFXBLgqdPy16JsisR81tQfmNgQVL0/
xQ9LZgYRjjnYiP9hVQlKkJyOAkNMhDcLLdyhnXq0SJk0KDzT8OckKGVPiTXorIvXF5I56LkDX6mw
d6BittrMBNST2W68GxQOi2+bJbCX3kR5yVG2lETFkeZNfCSkmcLMGR4SLXY/p41unTVwI0hc79qZ
x+xcno4FpAqNI9c73NpD4jbFCKx8ix4L981hD1MsiyxXtxXlOp7Mwn9oeLuW0nQ2GXpDA4LIHO9G
DCSsJjuwhvKgxQT/d1s9dYNWMQ9W/5B3y+b23q4vO9h0eP8FvKnYVEoXg9rTaOOhEBeY/BbpQ9DM
aRGqdYLH49gMPlxf55s5jYKsnxz0PE3U7wgerkNfKyd1wWjh29+0uu7AsCHHRJADF1+VajlVRWpx
HFlfeHlme8v8mvcyluu184uddTQQDvJhf8L5dVza9tXISUfbJlgA/gjVrHa9KO2zbdOXd235cFut
NYFIcsGOOI0rbvLrjXYJyIqHAf14bUbO5fiiqWh9PpsLO5A039+WxT9e9LyXsgSjWlwSTQtvtGoT
PhhWj5Qwnk1bcimu2i7mQgLLiPc/Xs38prmIhirTKcbYxZnN3KbegLAmC5PEiTbghMMk13mcdpba
z6ExaTQkxeJqHqURO81OSba3FV67anhLFOYHoOqE/bz+EqNiMxnQh30ylxo8vAMAhzGIsTdDnE9+
YSQdRhi4T2PaDRInsXaZIgwEARZ6YW28Qq4F07hJzCzCSg/GG0PC3jXPbZ8Fzj9gnpH/ciEGuQny
YRJEreftZEZQEJAhBDmOme9QJ2iCbo5lD/pVlZBpI4AaqmCJFPz9POASaGvcbJYBeC/rzrmB0b/5
G57/Eu+zdtKRLAUUiY+ngte/XjyzNqOx5Q0LJXtEk76XYsqXXs7/4E8wuMkA8y8sA7nmayloKQdR
7IAaa4Uo/YznwnNnJPZucePIu22FayuHGBG5bP0dkicccb1K3NhyUGDNuDtvPLu6m4qfViJ5bq8u
24UY4XTPCx3SwgHFIyq4evoWj5bnyqruq6rwKgCKPxg0IHYeAeifd+/4RZc9JFEdgHbPxly5pPx+
e8lWdfkjR3wvolhHmUNx/aUt44OsEwz/qHOJd1hzh3iyo4zLIZKWyFIHx1TnuEjgDjUDVEllEMHY
buuxvl5/RPC/X7jCcVao0lGAMOtoSyMnMPV7NBKq/wAix8PgjxjBlh3Ef0xn0KQA0kJ77t09i37f
1kS2WIIrnRjrqxgdZSctcTylafxYtSVOc33T/2ghnPsIyBTFbDg1tmaDy5ElgYNmM/DG/4uDcRHc
4MolaHkUZ3wAfe7GdgRBvZlvDP27kaM/xnm7vWBrW4/yIPjNwOiItAdf0Iutr0hC43wEJArH0bVf
W0vx0O4TTFknMWO+LOKtzlnH8Ph1gZQW3WVK6jlaXBAEEkSGxUM6fEd/fYVJI4nylU1xqE1/HbIA
Bw7WewDn8O8DHqHJgfKwRxzOfEKLx3y/OK2nxsDy6/l+ZC9/u4xoXEPPzTtlJZJHgt3lUwPCEQq8
QEsx6PJtrk71+BqDK+u2mI+RAiidkarg/MIadktwnkqhL4vOkKDSt2kI4w7rUPMLyRn6uFMQgnAe
bRCYYWOKzCJqZZeuy4AYGcHvQdTAUcsNG2pccDNoj4iPGwRTlufdbdVW4jFOVw0mR9Cy2sgeC+fK
MsZ5LBOk4kFdm6Vby3gzxijzAG7zFVDg5GbuTWnl58t8UqO/PtOQjcQjTjWWFl3b16cgLVRkgQpU
anC57msDNNHjhNZR2Rn4eNiuxQh+1qzSznRq/hhtWi8rNx1y/kR7JM7m9lpyR3p91q7lCI6WWI1G
FzRhn5yxDPMG8NvxPBqdP81PoyobE/rRH3JhfNohDAaxgxBxac2SZcqYIOKin4rik9Z2YEGQMNCJ
Lz2Hk89ZnP3AQNcypjcJwYnV9k7lZtH4dFT9Jvb6u2SDebqb2MdIsYdp+3Z7/d7HYlws4Adxwjnr
1EWlpIG40a/QeOOdMbS4ZD4L0a7xRT2F+ssdQ3qWef7J9sPndPM2euUmDw6y9IVYS/nwJcLqVlUF
BPCsjE9nxw5end/5g7uZIu/Rro/+81v3fT75CVoXb+svlSrcCm7Rd0NZQ2oQP25Kr91Z6OLTwwQg
+DcPwA598Og2OduSbRaLFB+0Fc7hUFisUR2s+/yMsL1T9gRDczDHxp8Gj6jfqvup8dOX7kv31syx
j5kF6cZ9Wsyv2R3BAGufZT9uL4TgCj98j3Bgk8xO8rbFOpRIVHtbdePsar/2JSHx+3P9lrkJ57VF
1aYdGMQMQb74dK8e7N6L775k3vch9D73nvVpRA3iUfen/YLuSfs13ZZn/dudutm+uN+Zx7aR5/vD
m7oZg7sXdWP4D7L6sthD879rgREuvESCbL5giRjFk+dUjaen3IN/9IF7C8HJs4/9vyUl+yBJsL40
GsuqniFp2QTTU4a8XX7f+flGsuzijfNBjmBttjk5KeoR01PPvNdhX6M3tU29Qx7sZBMZpIsnGJIx
t31tFVCJnPO7/q4/L3futm69Yis7uyLu7YNWgjExQko3Y9CqDhTUW2wVQ3cGb9L3mu3Rt89TskOL
VX0oSx9VoMbxGrLPUp9hiDTQCZKLSCwA/e/HoPpggY2aAxOuL1aXIhug27Ds+nR2Fh/l/Ect8fLz
vT171ebN2flL2O6zIzuPO8md/v+5M/7IFmIysvR4VDdYiIkFzvepP7J7ZvoN87uQPFUP1qYDKhop
w9suY10s5gAhjECdAsnXa5WnnBgDCKnHpzzHxNIHu/uc/SpjY2uA037ADBJQt/40AKSy6r2siUII
D/9ntS9ECxo7NU2ZOfNry71Tet/JvGkOXOs415jSJdFzXRbhVOPIHiGyv1bTikF+Ng3Y2W7THxZM
ivSafRn8ur2YMiHCtW+6UYexhFBIP0Rb91h4L9qXUqLI+tlEa+B/NBEu+7yvKrJw76uPT7jbJsAG
P5nz9v+RdmXNjSLL+hcpAgkQ8FrFpt1abMt+IdrtNmLfQfDr74fOnDEqM6q4c6ZjIrpflGRVbpXL
l2W0bNu1kjyrLse99sr+w9wPCDKWtNPyi5hU4Coz0k9xOaU8tHkuS9L95ZSdNsuxu7M5yUTPDog1
YUOvxtUKOPrNogP9JXHfZ8eYUCcVC5QxQUi1ZIzrG5hyqWL6NiNLH+Pbrw1RDZU+lgl2cPovmmgE
wfokzNeozH1FmLVBQh80G6pU1PnCrPjlLTCewl9xuor00Dg+Jtgr7M/r+qbHXFd7EQKnvoBeKX+i
XP6cvmOTbP2slRmH0D+Yjm9KzLVdMLwaxPXlejp/uChE0ydJfwvtxi5s3lYmHk/MvWmx519UX0OA
J796CToFHVpwOpD/QQi/uWF9niAlUtkHDMJX8HwpSUwEvVq5+oRjJMb9OJIk/xUIxuJGfj4ruxbH
5n2dYWTNBRb7tPqMrP6VpUDrDFYf9oLHoiC0ggCYACfpXSu6meydQl+jk0/sx/I27jQHZBh+atGV
Sl8FmUoGwjCVQ3NCEmt+eg0+SyM6FxMyXwNuiNTWZPmFkcpsxdu8OBr3Dr6AcSR1l8/cXMYX+Hj+
0CspgMyhkl8u70B7+/1DtQZ0mDe/77tpqWZpf6AX6pvOE3KPi7dw39i8VhsOR6y7mqqBLzoFKCWG
u73Qg2MHC4CLc2wTjwrjr7ok9P0qBxXxeDnNqa9numB2X1+PBWTcAn4fG2sBMRbqp10AMs4fcZcQ
NBX/0QxVd8zJPjTSzZIH3zxumAYEGROYRGnhziMQrE2F7JJNabuWuNy2RFuspovH3PHOkDGCQiA0
08oFLc0Gag2ETzbW0pm3NIlHhTGAsgcILKVX5dlmUhGNuEQ4KhuVJBwR73+HlXCMrWH5C9AN+gzJ
vSdupmUhSm3QnkqhFoG76eR67XmJVaeNxgkrRl/tqPhjPAf1cGCG9TwPcrmx3NWhgNUbJ4W4q/op
3QHs3dclolhTI3GIQ+bmhaxULHx+/1cPnAFtdtobSxUlSQpB2wx3l51zeaqN6lXQdNVwEuOxgIyK
/5AWo2XyvPUKLQWtKllJ3XvokNDT22oRGqqjB8LTHF2twaLQZ9A+yfofiTPRR+mgMg3UbBiSL2ez
0ueATXfxJO/jK3QGGdqeQ28sWBwyy6heK/hhLUWgl+vIkp89Y0KFhbyPV6GDfNSbS78Sh/LA2Ebj
un7UBPMmwOvEG+pelDK1byUIexd02JgedmDSw5x4NZ3px+MXb4XPaKQwpMZECh5WyiNtCGrYjbRN
A1pYLhIay67lhST9Yf3QxgFbjGfNE9cP5vP4etLFTs+NGZkR2/5yjPmW9wxnO1lvUeqQJ0bxUwHo
oF4Bns7xWiHBVvolRrpKaoMnIDyeGK0P5t4FVgaEVuaF1q/KyluU77buUPSw08fCOGY0BzyxILvY
OY99FS1IuS9uRor1RNe558ajwSh3W1xCL2xA46Wh51WwfRd186J7z7IRpYQekQx7eczULXf8QCgk
RqM7V52HVQ1zstoVNDA+PjKy2Jjv4sU4SbrfGtUacHRHV7fpdUPtGKm1xSdvbzdP4SRGzR00gYvO
tL/FTWoGLnUX6Dentu2an3bNAw0cjZiHF8n42DzLxbzqwHJLzwoJd3N9TnpcP0XntcbxrpMxJLIT
lkKWgVJAdG8r6e5CJZ8ix/Ox86n/UTZlDgzEvmolscgtapOGYZZPodfSr3IXzozqrf7AKPoaD9CD
SOaGrR+L3ZE2KySfAEnXEJwrL5046uoHH8EYl/KaTxPgvkNy9U2+vjxNTbP6lZF6cXhFss3ldfiN
BmXzAT3GwgRJnReKD3qp/nJG5xvNfm8p3fP46n/mh3pgvBGFaA3Yb+zZRm1biGkk42wRWBjN4kIo
r6Q+Lv0DGszRpYHvtQmm4k969CtSjNrWjLm+nj4vK7LaJMjJcDrhRzPuaLP9mynm7LRSy6+CB4LC
+7tCZsvANV1yOBw6gqrqMrJ2i9NFzwCptMyOX/Y++djbF4M+U+P6VRsufbbpcQ/bxxPkns9HZ83Y
8jBQ0ViQSXAaQORdtYvHlm7cJ31zffPDgwAxvCSyEqX4eQzgupZ0XC7t/X7PiXhHNX5AhDHgUa1M
se4QRPQoo5IODDsKqXzMSW+f2HNSBMD0AwgakC1spCvkU8yezDuI/uUgBlM9DWYcVzcWdmFjNjrA
MemG2J0JSdwkSCX/GrWnuPFN7PaicoZFInM0R/M8HgtNejNeCha69xAaWBDL1tuB8FYVcxT5TpsP
cW55RClJ9OeAxghTM6Qny6LGUXj9yt+D3zS3fOMLSxWxkd345NzbbST8x6EOvoO5uKq81FVWo0Z8
1jcJycguWKLAJhF8ykSgxKI5OWK1E/58hZuGXGtjxbnW6c9Tn2N4Fav2MBuP2JP1gg12hNeSUzYn
7JBCV++yXgM9zyfpyluXhobwGh3FNuawOJf9U2TvyTLu0JnnddfIICsTBxegLtYYNTJ4rvC2w+z+
gEEGmgGjjSS9zM5ITIElIDpV25zmFtZxOks3NjQSHzsd5QCNaB8+NnTpEk3XsabPgeX5y/0duyQv
iJRt6heftzhpxBzcfw9jbSZlV2I9hI+nTKDJtZ4ombaYVnLzlQqpBMj8qXJNSD7NspPW1iqgakXF
I0JTzTziSAkGSRopinkmkF24BHXov2qOdnqodr8KDro/MFKR4s8cIBsgF08SMtGA1JtjYnY72xX6
9iumz/Xm6G+S18cG5aeTuyfKhF+CCAwLR5miBmBlz4Xp7I4IhezHNMak7LY2Gyt1eqVnKibaTG0m
GJHppaw1AuOiyxbW3BGemI0Ed/P/rOf+iw6jx2FUekWWgk5FS9N76cz8dbqNFikpKS8xJP2Mee5p
MZc1DVrF1xLQapbx+oS10LsMHROKDgxRcXGG+ViuXCIDX7nC7tlSny9nkd4ayWFhuRfd/9UZktlR
w1trhu/oyr5ZtwTN1zo24250bo7ip9e4/1jmkqtrIIUt5BuSFS4yY3NSdcWYLeZkmVoO5ZjTMYka
3jZjU3Khk0P0Dfe3fYaGb37FlMtQf7qsQRnSYIJrx686bSLh9Pt7BtgoSvKlrdDJZrJM6f8/t3l/
eoxHzJQ2uzTN7fQSsitXjmkAGo4TRI85gCFHTCDoZPMErYogkm2mFjoLeF0M4zqIBiKMAqGPjm30
Ct2mbIBT1Dd07Nw/xq+vYvXyb7T8mwJzTFVxnbTBFRQUaLmvp7ZKIt3VuWayF9afd/9Nhzmptpor
+aRvlZHN3Tmk54SY6lv9Epnc4Ly3F48oMbGy61zk/BreONp5lq9HNCZ4Bjc29xE8rqDfPDEOqRAE
X9SwyvxUGP4pIwjGGyId5wQtN77l6tmKhzYxknnqhfpvimzass2iVPY1nOJLsc/on45uo52rc8KL
UUc7pMJYZP8iBbU2RyVMJp35cdGFN2c9pWgbU/SA48i4HDEW2ZvHF8HpbysilWGiIvu5neiV/e9O
rl+GhHCtx21kjOlcmLiFPLu1mby7e/jnlKDjGulXwusKG3kd4pIGpBhT2sRXJQumN1LIVpgJvbxi
nsucbN0Fja2ooBnHU4+70AFFxrAWc+C3pzEqiv7iqn8Em+uyQ5uda+55wf+oPRoQYqyF4hRxIQXI
7mbGGQghJNCB5LV4bJF6S/BDfwc0WEsxqXPP14Ir6uXnENoULjnHxWOCMRBygqZ+J0VWdRUuOrsm
wQKVIR4w322y9xEbjHGYip1cTSocVXzOzZa+X46bgqJhDtEGumqWAp0usHNRT0iKHrnZp/Sm0DmR
TNU03uYV/lLo7VOwWMqLhtfP0fP34MvYZ3U1nV+SLIO0bKRlh4d1v+iDt9Ty9qR9RISxIdq1rMpI
ApGXOiabd4eGiFlk7E3YqE+OpF+pQC7GdnkgmuFZwkmP/4QWV+k5N30zdIPYPFc8Jwy0myHTiLDZ
oG6GCT37LVpsn2kCjM75gReZj5DsNw5grLZHnvuJ+xheC6xTqJrTuTOR4C7tQk+OnKhjzML0NTP8
hxXXPQIWbnjAlwJQI8/p21iw18lEOsGsV/AFdGKFxoV8OfTzsUayUFv9GwfYbyCGRnvskvsx6x3E
0qSNIcurYk4jPDk3ZoKuSgSkLgAvzCmN9NhSD1FJhMNj0jfcWUaO7kgzrE5msSfHEoxp9oUhZaS7
rmtgwfRfcL5sUv0dDbZkss0I/nLRFdqYsyfpeKW/guN1K60oTdZLbdFLnmuGlvLEiZ5Gapj3J8O4
lZlc5wA1x8mgz5tO8XQARuBWNhqfVOZR3RpbZysveCXnkY6LnipAWDA2iIHIW8VxcP+xXGDLgwcL
JoIitpagXmOG2ECKdjCFooC6PGLf5HKiAzMQLzaeNIyEPXfUGW8jR3ho5w5y5II1szYzY2ojijeu
y5Qo77GVvCY8ce/vmJWBOcbjsDAZXXro3b8X98BJ68qRwK5McqzcqSy8G4i8nCx7H8d7N8x6H/aD
GuBUemxuOHKZMdx5WF3rQEFpA08uZWWaojlbKsTf5SuP+tuJlRqGvUc7OTHoW0uwX4Q8FvlR7e7x
XP76AJZdBJXJpexrKyXenlNEDpGFbbabpCFbQNUCdYWg/vcvYj5M7KFdGsks7FJkJ6av3Ty6pKKK
NOhsiSli00Rib/uEqqb7+zF7I8WP+R0lRqMLjNT4nuigxGJf0QsSwgV2ZoZNTaJLPOqeYrRPd/TJ
M4zJu09dfeaSiPjUVk7TJ25tvhcd9rKHbDP6K7dCG0t13p4053pdxkC4epeCTCJpVl9Wua941FEj
DG8IUW5JaSrZToOWd86J8D6CCRgxwe7VboazF4++tggx8l8TrPqqzUrWQ9l03hRsoSNVSFN0k2po
LzcBhCTAqNWLx18yauiHx8GodjUTlbCqFFROMn2ylq40ES0lsaWAznXhutz4F9q2W8VdeOUqpDNL
oO2HIuqcrxiJAO8khIky83IGCIKphgAFkqjPdQwVrB1s2qrpfIUIYs8rr4z57CHXTMQZR7nkq4Bm
gMIliIhe32qrJTymRqKuO6aYqDNGvhavAjAlzgiQdGbTFMBhhrcoFIolmVEUEKl7mmqvlfbp1+bc
O3jlSRD0rNxHcsXZrjCSO7/XQcbGBRhFl8O41/YuIZuIdBV997b+YhMv/EX+6RqKkSq6t1CsSo/J
GxYZ64YaUZ2X3xjp/seHYMcJQDkA/ir/mBB0SsGRPbc9vVzP7+rmHbVz7VdobXWCaLiPiD2dlwQc
y9je0WR0PnV8pRZ80BT2MgzL9LjxbMnAHpyni17aDa4H01IO5aULxkLiO7qMmk+a9i+xVgC8qhT2
RLOVoxK/AyNVAjR9bqJzskaTpBkFNAtXamyKKslnz+J0OfGJGL1igOhSmFpDhG6lpAXJyk0ZLNKc
usfHGjiqgD1MCUbYtB4m997hFsIclZXMa0+iKdEJ1ZZbXpaGR4HRhi4t6sm1ubSnyPZ1jYZbqn0+
5mHMjaM49TcPjIhPAYahCXnPAxE/6NXiidGo0fj799F1dH9Gji8ks7IFB3qHQ0p3JXmjzsdjHm6B
HOOeAAvRlw4B+wHMR8YehxlqM3gItKdiObMkQwalA6CL6Z852uPqPTf0GLmWO3qM5e2kUpZmE9DT
jn02HtnxAl2h84VrNaZmAWLaFNAOcXrM5YhlBAwXNjehxQNPDXboJpgC9z1vUcirZvt4giEjbSvl
U1KVduwiv55yFh6NXNwdOUb0ssJNtNIHORFqOFEVIsX7SlWpP02IFr06WkVT7+Uxi2MptTuijDS6
02x+QctHi+aH5KWyqk2Ep+HvYi0+e+g5fEystyOs0AzO82ZzB6+DdlJGWhigQHtx81OQXPS8vdj/
GwnmdS9V7Qw7IUEiqrD7JP/ww8W/IIC9kBjdg+xDNu61S1OSwq16mVADBKJKgvU1+mMKver8OKUB
BcYLqBNP8TynbU8umtUvesNRXd7P95c0uIRQVCvxKoIBD6iws0DX4Gg9haewY/o6HTDB2IdiUqWu
0t+DHAIHp4rJzME4UKxRDVAoBSdqGBkzBpLSgBpjHcJpqHhdNG1Pq9XmVnJHzvsU/j4llCzI73Vt
rIM1ecNIJ42N5THfxDTefCJnTP63m2O8kzOZXRPfw2cIXU0K8XeDxdNlxnsHjmrRgFnGTBShjJHq
UGhP6JZGRdBtzOt8xhGS27q4R0LImAVf87BiD28QtNFtzObgYaWiS7TtlfjHw0Es8B5ax2RJjl5M
ot3xSz18rbTT56q1Hp/oWBZ+cLM/cEyVSRnU1wjSKuwvT9dFdKh3Uzv6dJEk52Gmjp4rVh30vW9A
lLwdyUAxJC+qhNkMt+fkMVHFz0vFDbRGHcqABKPasq9686gFCYRUKMpvdt3iFJun6wq5P8sy1o2e
opO2xBP+qC2+Pjm2flTzB9QZzb8AnkT2Fdyplp/l7DWOjajg3Ncogzg9JADR8YN1ivfG5dr68tWr
ve6ELSa/Z76nV9qVutfis8qE0pgG2AfhYPX7YyEZ5Qu7rufITcx7AK57olKGRq/OC7pTnm2cYJuX
T1OA6/5vNBjGqqScekkRdidf/Uiqmmiz5cTl7W/mMcIonaSFTihoPkxXXlNRXNTp1MgQ/j9mZTR2
wzoLgLkA6w/IXrP78+qUtKumXdLdqmgr1ZqQKZlQx4zJxEp0oBxyCI4lrvpVtzd8OLykWNxUJCZa
Rb2mHSLeTY00DtaVrvPT7OVjl+xNkulrJSdv+SF6ykm7OMbU3j/meCyzc/cBjH+Q5GuZRWHRnVbn
q0dcRHJPrbH5SE0zogePZrpR6WlG41/GcqbnqFB5OxRleTmdW1H8h1EdnAMjqIXUuXMRcJanl5dN
un4vyEebUJdYE2phqM992s4wihboF7TV+ngWcNR/VDcH1BkRVrvJBDtl8u5Up3vJPTbYkySkz46c
GrMaQa0zNTin3p/qI3YZcb4KmtMKJdhdoXWjNd53mvlRbK5k8cejluEjB53T5HjcT/Q9zxOLo6r0
zSyLKCZXQRXNtJ726qxa7/7nu/TcIZ5aEMuojUZ/W/46Lhv7aykQ+lYbxrNPeMWQUX9yA4jG0kYA
PjLmtpQa9xK1Mc579ieZHHLp9Ph8eb/fH8HAX7leI03SGmrsR++B+jzngQ2O/f5MAN50vwQGkGlM
KJ37s2J6LefdSZknZ/GSn7Xk+i8sNzCsemQ5NPMBtfGehSaouy67CN3JyTyitYtKfkla/fExjWVV
cP7fRHo+B+fUSVrh+3IHrZPNORVCDGLmx9NrNNPdp9JoTHRjVhFRThyyvRVlpb8HxEZZX9KAw8Qo
u6D40Syp4Osb/zrxaaOh/5u6rlYmQFSVMod0UeE5NBJhjFfzVtM2nj9VQlJe0blJKi8NzSxMsOT5
8XfNRr4LQJXYlt0v5cKIN/Nd3rzJY7RQTGH9JzN6QQuXmW2izalDJWHyjJKrT5baElAoS9uu7Bf7
Mfmx9yaagLHsDli6+AsLXyaqXhS5fjc96eeNRL0lVikYy689x9aNNR4MybArhTI1yFW5A5eZERH0
9ETvWIn8xu+06W0Yc8t3dBglceTw0kYN6ExsxHOb3ccVkEK0swwYN3Lc2zwfMua80SqCNo7eoWHT
AaMyoutmbZ3J0xPaRhNy2S0sGNO1YBpLjm7+dBcKpAMzkOgLx640gVEbFfssMq/CwKVuFqR9W9OO
F+6MBPf3JBgL5qhtfG3yEMH9slsRY73cHluOuI8Iwj0NxvW7mddNAKeOuVFUhjO6IOtWNzhHNSLU
90QYnZp5CC8uQOY+rSZEetuihYDqaHHheTXugTEufCKgSRFRKJLSGxFzKvGBN5nPu3TGZTttmaRV
3l96sW/Px/mBY4w5v39jcGCLNexs67oEv1/gKRkTWlpHjn3p5f9eIe+u4iYPAwqeWKMjoAYFmfST
8B692Lb9ybsJHh+9kR1QcdMuymoZFxH80n4BtYw3+zFSar1no2dzQODiY01Hh65gvL9lO7FwVEtI
VUv2PHSfkWb6e0qMnst+gny0BErdbnOu6Pn8fqH2LqEfu42ZYpjnimnLHaI0TkzO0xk2gyykbl7I
vfJPz+9PNSFrw/DJM0czf5rnnjlMQQDwtV+qxyhM7M9Lz8kTjISgGQOGGQ8M0r09FrkRsLV7IozS
dFo2mxTT+GYpnw87AG1d7cPB3VSlfljvg07XUuKidRVZXQ5lDnsSk+q/1P0c/AyUL+vqgJ6XdZGR
i+lZpa3iSKeHNXk1kgXGc5/RZ6q8fbkdZq1UKnL1YaRcdncGt26ZgbymE+A45QIO+kV9ftnAY5gL
8qTQdW68GlvKE9p/MIR/3ys7alqoheZeYpDLMlQ3UIpb7fV/Zaq+STAaeJXmmGzrE+N6RoKEvgIW
z+etlR0pa98fG6N8WollwA2Wkp42ummaf2ZP1tPa6Me8fPoScbpVuHfEuNurclGUNsWhIafXmTtz
ikuycju216jZpOgA5WMM/XyG3fPHeN9aCPMmRQ3l1K0qk2qnx/L/D1by+44YvyvXMVbERgU4Ogfb
DaaOTyjNkoudbnVuH8rP1+w9K4wpCdBb588SnJ6+uQINwjcx9ECJcfTQYabpPAcwUgi/J8cYlcSX
CkeQIBmrVUT0Da5rsXiqqfWntA+ILpcYMNYw4MFzbP8QL/19pOxwTSsUmEWagM3IpfL7EqKoolGs
sDnCOO5Av8kwcXOCnasyxrSRCU2IsJjvdLvhNTbM+t/4GQp802CcdBu1Xq5dennXz2ZB0c2KXMtc
J4ZBj6mFiU3eo4PHFGMy5PbSBG2Wtaf5s4xXprmI6B9JtzAE94aRV94Rcq+KMR7ifFoqiQwRiRMA
k7mb4rzEdP1+z7mqkVbCO1FktxtML2Lquj0diCFsBuoA6Iy1DGrY2gLLknl5Kp4/lRmj4StZpwlh
Cl8SoUH35ktOf8hv5MfxpqK2q+ufHDvys8/pnkPGjmgXSfLmLigGZKM3m8KET9npHCIcZ81uyPId
pGKrFNJx1tHDdiIL5Pwx0ovZ4ZVq8PR4JOd6zxJjP4qgmDVTFSytQO4d9C7mgfxxTMuI0R8Ivf7a
f34KnLVco+Z+NlOxoEzAzpzb43UQBWCIqkB8D0lRKpKcAaX6+AjHNXrw+4wHS5s2drCftW+deMEE
w/v7boGEnkTQDKTiKG2bp9G9xv4wIQOCjChegRowReIfKobyF1DK+oc9NVWjfnvMWa+qj+gwAhjK
WMtTVzg42Zb05vXxj49kwCALAy4Y15XO80jBosz+2ADgiVHo9XQp0qWtPTWEGwqOGsEBMUbwKqUt
5ljchPJ1iLQBioS8xMS4PfqmwLYRuJU7SRQf7KTIIe1g1v/05gjJA0CK8GzfqGUY0GL8VC22aIJ0
cDGa6e9SG9XOC9l/8oILjt7ccnYDvSnD/16/eARgu/X4+keqH3fXf7O3g193C6Guwj5Yfln9p6P1
PbDNU2YtLCTi1x1tdGO7jfTItPHK47E2km+8p854KUVty3Km4QRXaFruFuEUU+g5ht/NktLiA3CJ
9qd9fBZW3JGgXmce6BQ7ohiFObaW948jv6Kh81aSHAswZ+ZF5Bg9jsDfLPHgeLV4EgcucJZPyk5d
yMiacmRwPG4fyCBjHPJpNwnKpD9BHbUMRLk7vK1KFDIanS5bm1e34JmLmzwNGMproFMDorpPmSkY
ZzD/Y2R1Q6ZL/V9lAQa8MdZC1mJJidUeHgJTAgqdWm90ud+XHPM6/l78JsOOJ+bYlJAG/RF6VyJA
FBogFmIGfqZwXuQjWDJ30s7i6zda9pfQrXTBkG1nucvOz/U7xpi4Hn40vB3wxIS3V2+aTKOsF4uI
vGSkXJvyGlGFgnQwAJ6M4LzkPrv7n3ygUmzyuQUULuBDcVvIShG9INdVftSwXbFfLv3YaI2/jAfc
MWajyGZVJPvQKrx++sfPH6CZIXgxqP212vMQBcaTYANqTGAhqH43kx0wpqNWsDEjA61Di0OhW29L
Y9mSo43nyerzMYvjcS6yUgArkVTstGd8y6y+zst0iterCNzEXXo8LfA+mS2IgeuzMRb89dXcMn4c
suPO5pssIzfpRZyk6uxG9nzeYRkxthAYCOqpvO2DevqFPt4UfeaCjbIMr6g4Ur/oFeSbOvNG8tDE
H87yEmUxWq790/tmQa4U9E/bLQ+d6x/CxW9ajAz52F7lyh1orV5Wpd53hnnEPFglSg2wnQYC78dH
+w9C+02QEaPMlTIh7x/P/YsTZhMwrHPdQv5rP99yaHGlhwlNxUgrsECm9+qCdcZM36YPhh3z1TK2
vwxEw4Zuc7jrf/Gn9n9zx/ihWq19/9pH3/DkJILIoHXD+pVbXJT/f4gZvikxAWsWCVg9N4Fpeyl/
K0SEdiys2O4Q6b9iT0hHJROwURz2/sHNfhNlXJFyKf5KphZGqa8u6FBR18TCrGtF6ae82Lv65wuv
I4yjDqiz48wHvrYsL1Kt9bFsrutngW4Ue4c+6kK/WhWHv39w6//lT2F3q84uShRF/VvmXds5+oJI
yLnT24ua12gm9kf1z5KiCIyJKb0GUAeX/vGpm/quD9EPkWV6q3ckOZGBAX/rtWFPKT3aOnDWbE/f
h8+8FNp4dvBvU6Owk/Uw6UqUK72DhO6bJ48gH0O6JfIH3LMd98XfZ8tYmnqiTEQl7wUWyAQYtIxt
PLDVLcdjzHlkGPuiiq7Y5A3IqAHRLpg+O7dU/B2RUg89/KsffcXAWkEWsYrPWPy2rPXbcol30dEw
yOJiOvrv368YYDmjH1bbJ2v66eDRvFwaeD5jBz3nuT6eoBpcAGOiJnOn8J0+u60DVi9dYMp5grBh
zzFL40+077NnzJKHKcyr0ycdEozc0sm7YNK9zQP16i3OI4lmLJIyjRPV7Z/Q3SLTHdJjnT5mYzxh
MzgsxvzU7qycFVewERAkD/dn9Kr02HkHTJmREqq6Naj3BGjJ437FRakdT3P8fYRsWdZPZUcT+hfi
BlQLqhnCb7p0S05MxzHr2NB9b+wCtQh8bGGEliCTiBgL0apVkzUSsjk9AhSCV8LhmHSshr0nmLRX
vHx9pNxW71k/io0A6/A0B4LTjHwtsVvh6FuPb5En8rf3wcCeV+kV7Uy3WuB86TRkuocdkBu8N/T/
kRBjccqLkLZl/6xOLOcN7h7bDewjVzAex4oKW6T1hWugilcIxssqBQaKthXevGNI97fY8DFHt/f4
AxW7YdoNjq6ezFxPnvTS8bLZTOHysViHWAGNbdSGj9QW3xSegHD81M1lDkgGstpMtRiHuLqgpZcW
unva88zT46gJS17uZdAFkn0ZRGBro3s2Uh+76PyVvWK5Bp4UXPjb21KcR4fIWJFLKTbxNIbEX039
fYW5yc3utDh4mz+ncHdAb1Irkj9/CKEFWsyBJKatV8fg2No272Q5obDCJun8Aq/TuFe9XF+d33fm
6Qk7e+D0j3tlEVJOMMxTu9tLYHCRreh1YdazPbHN9EIcWzRoj03LuUyOF2DzdLLnY590X+UGFG6t
Sxs1JV2oCzzd5pFh3kh+5fxVcDFN2UYhXaMHQn8tUcOH7vFCUI4O3J7Gg6Pr3P8aktUGlW7nCYBx
jxWbF3iyibi6RJanmEPLWktHQmm38M1y9RtWvx904PV6cywWm427hqncqVdIgrf8g1HxTw4vvKth
gg05jUQ362voOtq3e3eC9nHL6G8GlbcXDrH+xx4oM5uIu1zDBt4SvACJ4P2EvKmzXt/KHKvog5dO
+ofM1d8xAAsF26aaJ6a9bFeRLsgkntu+bIfXdagdxQyynklWXB5aDLzxVo1zzpRNzsV1MBXqKdhc
NV+zt3z7xdHakfnmYc7hx9LLqvJCP+7D5ujXBt3nAbUW5kayTIjiwbVQfiZbA4NMDflCgxVH+rnE
mRgknaD3OS/AXWKcUa44vZv6StpMM72hXWo41V7d0fZV39tfx3DjJzBbq//ROrJpu7Ly552KTom+
/gNQZkTJaPcI8YfD6z+kWf+Woduc3sCW5LE4vRZSf5PeL7SRKXR2RtcahwpPXJhHEF51foIFtuj9
SWhqz0lyank94xybKDIPl/aiqJ4QoG0Fr3JvqVg2z0rx3v3scrtprPmyW4DCeRNtBfpOUuSkAAhu
TRYcI8IxiGwLXCVKZTXvgUQais0Xa5cE1sF62uYHVO45pPr4/YG9uqUFBtfvBlXQNHAnJ11v5qRD
Dzn5hUzmhRNkcwRAYnIm4SSrSq8DR3hMJoC1xWNF4tR0ONk1gCjfR23iREjVsEWStKEAttF32Njq
kj94TxNMkW79WxtCgbVsPJD48SeLiI1smowhOvUmOIMznLlTR3F7M6zZL2ZgnOb6HyRqDFTt+2wJ
v6d4NDwd0GO0yblOLoUf485ksrra2nPw8Vgoxh99AwKMLpUYjQgxYQ5JxxSQ+f6BRx+qjiEhb1vU
yvarfyeFA4KMi45FJVArpz9BslhYjomuKeIY7eExX6NqNaDSC+ngntQ0iq+J14f1nQ6cOJ7JHk1q
DH6ejePdMLxoWa9K871nheRWEuAYUp6ssTE6Nkr89Vg4r4DS1TfH/8FzfE1zah+RGeLxNJpl+OaJ
DdKbTlQvTZ8dv6w/cDUK9kCv5sBy0fTpW8GrxI2a8AExxu3KghbPZv8hpm9CU/ht6zx+Rs3dgAQT
pofzQNO8W5ZTotPDK7L8eKDywvPbs/eHUR1Qke4FrQrrIvJEnFqov2Odz58r4K8I4HnQwuOmxmOh
5hJjrEHmNm0rqiCmn8/5OiKrhkroDDWlN0HdZQu7qEwOxf7zH7HHmocsngFGDxQDIOUnFkF2mKBg
YssLnrTzrouxC9j3hVC6b+hFER2DOmiJsmSUnNcoluBZqi0aDL6+POaOJ4SMkZigeSROyl6LpZxM
AsyecEtOvPNjDIXoaWmt9UIYL7zNdaXRK/qHv/rgzsf/HJEfz9F8CyMbqlfddZ5pGqi9bJDXxxEC
Q1Y/AAALf1B56hEWsFagIgJK0o+PcrxEOyDNeORgFkz8VoOg5IAp7YFKFeRJG6od051L2qffjVkv
u6W4cQOE0Lb9mPr4tMKAOmtOgiypo75fdfUe/SlMGRK6V40XHmzGeCJjQIexKVLXurOkwwGLxAGk
/TZqsHxnaR89XjJ2PEEzoMTYFW9Wao0v9bK56dsDgSQfQBeWqKvZPNyX8Y6tAS3GrEiRGMnCBTFA
rp8rA2UuOOaSYBUFxuRQAuLcFUfrfkTviYsFsL3p19H6+OEicFscUAhB6wA2znPtM8dTs5G8PJed
SdmCWkU3GXGNqYUFNxy9Gy9lDQ6QMSQKGKqyPnNeLcM11h58iSs5Ii4W9m2xQ+eLG0PxmGKsyrVy
BMFTQO82PR3q2vvk6fEt8eJCNorvArFnCiTMXWQgyVWT32jxVckWqd69LZ4ek+PIBBvPA0c2VkWn
Z2gT6tNtTOYHbgaFExKyQymV17Szsj80dNmRw59+FMFAt7KxzzlOk0eIMRLJXCsUJQWhDTbYLjwO
mg7v1xnDkPriTFT7hPVqDjzTYvH4IniW9LYJYxA4hzMtjYsZfv7/SPuO5saRpdtfhAh4sy0YgoQo
iaIMpQ2i1WzBEo5wxK9/p/juHaGrMawv+s5mFh2hZBayTqU92dnDxhnpwvOf06Ze2wHPRaeX4k/X
QkckpVp0wTWD2YmGDqk6RQxn/uocu3Swy4G3cXExQ6d8i2C+RCjocmkWEOFJgfyYE5kLLzwlmK9x
njDvewrhtaDlebvtPlJHAWHD24UUK2xiQzcU8kWcL7TsKH0rxaC1aWZDo1wgUv7IsUb47tF939ic
B3U59lCxFApssiDOZedMpMmMpb7qqN93Ihd7C38M/TItwfwT5gDxDHH8h0UAmMlj3AdpUE4tHXV8
nn7mGNxRNsBNzrnxRDD2pjR9UvdWTz8V+ATQRvaAWYk1so3It+FhzXjViGVvDPt9FEuxQLbMcpFp
54taTpQetLNPJDmTyad0ItQr+4gdMwnCn5s9ZjQSr9gqabDjNbAtmuZMPGP8Fz0s+i6G+IdoBxfl
K+I85MtJmJkAxvaFWDd7KaTMpCS+28b2g5c63cuaPIlHdAKOqz2Gr/IXXgpmOYs5E8vYPw7biC6T
Pj6PzkROL8kKfbbnFl4tR79Fe5nJ0X+P7AprFMSTid15r68GvprpXB7qN45NLj7kMxlM0ENbDFuj
hi6BE4KxCO0vKHtr70eOGPol/oDamRhqKjNQx37WJlbp3sH6KcGylqdrDyNKVvsLTyF6iW5Jooc6
k4Ry1ZAbJyiU9uAka8828bJf0SrS1rzQ6loq+ndRMtubJWtmXOsTzC9AU6j+K5PBd60mqyZC9ryM
CTa3UJbv2BPvj87OSDGbHWgcE1l2/P45WJlt2iqS9ny+SDhYx8krQtDgV5Diab/nrtvhWL3M9mxV
4GLJrBDrBoOqD1A5OwE7fGO941jKoncxU4gBjSHNByEDK9hzmntREZFzn5MUNL79WhWJJG0SR9GD
sD28CNNjq3iDueb8gNum+ievhdLGU5HSr7oV7er9nNzn4B+5GMgRhq5R8eLW5ernTGEGTSYUDBvJ
wrmqydoUCyJldreSfzavnWKLKklqMq428nEMJleLDzovzlv0UGbiGZCxBiPUBxWEyqevJCPJ4ybi
PeXLkeRMBIMxEfZEG+cUNoq5YtA8ZQGecoIlNsbmh+LuHe5QFk8lBmwyrYhEI6df0Bl+YMcwTY8P
zug2xLc5wCbzZDFw00dYmmMmkPXq0D0PpYvdL055v/3oJtvck3J9d1e5nac/aA3ICzKHl3jgyGc7
s5JGB8n2GdZTOO3nvYtn6PZ14CnI9mR1p7oarIw+QodDuFknLvDbk9co3NEUh1P6gb/RPd92uKkO
ank34JVtzhpBdp2U9GI42+q4Hslz9ysiXuWHqg1qbV97vq3pcuDxbaZsa5aZpegwGq/ySjK4MfZi
ZHe6VyBNxpF0+2GX2RpOlWjY20oxjvplFxsraO8q/2dOaMft/Y8SC7Adjne7nDeaKcegTFnqZaUm
uOal+6p+tZsqJxvuLNdth0++Zo9nb29uJedOneDwYQJe+Kna4+bUYy/07dPjPBBXPJ0JGXtzqlJ6
u72nr9t/ebnFYXZIDHBU3ZDXFV1n0Did4VwSO3sy1FUTun1Nqldri6aozi95PHhcw2MwxKyFsuhb
HFscw8kjK8AVer+Q2OMNzXBuFFvP6ZRmHDP6fbIf6X764d8+Pg4UseUbpdATRbzgw2zDlWd4Jw7U
coyL7a0yjaxOVHpK6PvLUNh/BynbbQU4lnUNN2aWpV0EKapKKBCuMf1x3tz+65xoDASov3umUt/1
F2Ogt+OwHTa0G7u9KxLvnNsglESr6W5v2+77/dOq0niAsxixfxs222GFNUSypbUUcDYHc4dIqRqc
I28Wdjlkn0mh5jc7P7XqMf51goJgWZa8D0pwsAKpMson2HdjczsI6XndeB+uL9dMHKhDkiHJ6Hnm
TtMSWyY4R2SLUZjkutm8A2SQQRIizGEJQIauIYdDedpXfvo6hfuYF/PxgJpts8oEvW06Cm+Nd96G
SHY0Kz4Rxe2oD9u9f/9SslSGkUK3pVywaOmt3tY9sXd8MZwryw47FuNZNjsZsdiw2eq2+ZjZPep3
mOe6ODi5QHnk9rfy4iGWu1bMFDE/qRBp+MgYuwTTDL4deUde2xbvrWB7pixNTKUzvVKD5pRYo3u/
P2pHFNRonfB/jInYtiltUMSpbmF9GQpayWuPrXy902OV2AUcbw0x240rerfR6uqD3LhdVwLV2e3K
kqyMwhwylQ7kIU85+dmCqgnUQ5xXgwO6bDGm7BRZFVIsVbJakoTkzAP1f4mv0EWCTS2mpbJTPnXS
94VsYWkK2EKcwhOesu27jb1vm33iOVz+xeWyBUg9/yuOQfnOKM0OG95pIYFOFO6y4Nlcqz8TrCq0
HH+TEn/v7zhP4798rG+hjHfXVaJknehSkukh8NaeYE9PWGb/xUV4Gnz/aRTfchiEP19OvdIL9CwD
kHM+rEMHLeOUkarBtjbw6HEFLmdzvgVSn2NmhS2oLKs4hMAG7ZB0/g0DmpRAk3rKeFfwrGCc3uGY
/rIj8y2UAXsRM0mdYsIkXwOI9LbDgF2bj+FedkTQ6du7OuBtDv0X1P8WybiAtVi38SDiA4Jg5kzM
xztKdQeSL45my0/mP2LYaDEGo97U0MDjNb/bXuzJQ76o3F4SumaYOw7KMZarzrNvZ50FRZNTgS4H
87yP4ln9kWUk9H6UncvRi3fp2FAxysS2UOmKKswNRYHmeRg999dkg16D/ct9t1bgGfDae5ad6e+z
pOrP1BMqKVTNElZyMpwQ66fjhKMVD7nYMNEIsXra6CmUYNeqTA7qCpXd18Fc6R7S6Q7nleHZBoMh
pZVFA4pvAOIAo37J223Tu771N6CDjQ37UImKTLtClHOQN9iijSWjn5Rya8TESWK3GC+/O63R25OD
fsvJV5j7vP0TuOfJgEnVqlWSjdCwujvdfxYOMOR8d/d2h+fA57XVLob4hmFiy6WJRaess19jzapc
VSn6Q8/gL8MmBQ+UJsgA31Zp0cGaSWG+WT4O6mmQwZEptHauuXXpalgClq7TKji1HHNcbFTXdMWg
246wZY1l6QcTQR3rFzot7wCj+s/SBn0Z8N+6/6U7j2hPjrwuiDz9/hiB8NR0OZ9v6b7NxTNvT6HV
JupcEI8dqiU6s+Jft89ysZo0F8CYhxQmF5CNowIYbL1P75e+bn3a0IvSZgFjPL4K3m2Bixn1uUDm
nZGMU6EPJ9QDwVMUqG7lJ49+8HpbyJKFzGUwD8s4tqolJpBxOHjOCH6qtOZEzYvpi5kIlko/a5sh
VeiHCbbVPn2rf6I/IzrbR+5S5KV3eS6IBmkzxO07qTcTSteAMYVwEzqPaBDKyR31SX3d5RwcNScW
r+bCqGcyE2aO3agkI4SdXYxru7zXYzFQMRRNA/G/hPo2my2Rok4C7bRI2xwMTGRLLTFBvNZAl51Q
EYxecPRZMoS5PEafXkYb95BAnpKQ9C0n8a4AL+ptY1u8QnMhzJsYSc0w9jKENN4hgLfWuR/Fe+LK
72eLJOtWQ9J/gG5ffija6armEkNcXxH2q81/AH3kZl9tiNpE14QJIJEhv7L9rFcEYaC0IpPr+xKn
RYn7DRn4PQ+ChsIG1IUwd+uA211/psm7C7TkoN+ii2+oMmrLkm4ossmE7IosCVM90O8HxQ7Sf0Aw
vSeXNx5mXMP/P05xJou5aBcMGJzCM2S9BgbxPqpHw08fRtTinAZ0bc4+dNEEuLd1DzyBeNS4eeTl
g539AMZYswwTdIOEH+AcPkLwICLC8OENGzyfZ+mSzw+VsVc9OpXKqYKcANwv1Vu0v30fFu/cTA3G
GstMGMOxwZ/PESeJ685x/YbL8byUy5nrwBhhF5clyDQknBW6vT7WJFn1turcvRWYprU7Iq0HjqO4
mPqYS6SnOrtkU1SWdVhCIk1HHDxPcM8e2e+5M1A8zZgHeUzUQcaGGErxhHlvC1Lsjfp0+xMtvl5z
ZZhHWDUuo5Qjb029GoxsYiG9SuQ3DjAuup5zKcwzPFTSFKGBAFIqdCdPMIeTXQQr92XjRx4PKujt
+OP6wkdD05RpYkyIEaaXBeasNAXCWrpEw5VQ+PQBiJyTo4Z1QwybRLRCK1VFSYUY2s90GB3jXiXo
Lkdt7q+O71sjNpF4HnMtNCeDauRtCwe18MZ+tEkMl/o4/h/68pfRdiaQAaAoljNZi2Q63oURssOn
4qhOjs7TL55qi23rxkwSA0GnXEytLMMp4ioh2xA/nsFqMKGFJHgUUbkGviZ7MYDco+7yLjLHUNi8
YmlWZzOsdVDsO+HjtLrbb/wvbW3avM9H34tblsJAFBjorWzqIScYNpaHkYC3aSfZOw0ti7dtctkB
mZ0mA01JImfn2sJpvmbI06PBzhsxz2jZq9XqHnfta+eb9m2RXFNhUKrS23KsM5iK0zjatbFv9BRH
XhevsrPhneQiJM70Y9BKieXIjFtcBKenPAbKfXkQNKA8t8Gbd7kZDFEnvS5SExgvIunQr4X7PDj/
vP8akLusuVtyeJ9NZZybXpCq9DTiDOsP5Q1zX6pCWpe8uKsKDn4LKgzfVFc7JNoBNTU3Q7z4TH8f
Ktv7XY2pmkgNpL+eXawUj+69bbdSTgQ7p6bdu/i2e+V1Hi+/OjORDL6EoAQtRKwPpq1jAM2nd6Dm
F9ZAvHI/JOeOqwy+5CfMitZnDUfrUnrXqiWCq775x9u3YCk0m6GYqv7uEqAlUijDAfeuVlZJuxIw
T7kW36x2e1vMor+Gfm0sHMMmR01krjccY9OcZBOdx6vp3uePhi4f1vffZ+5y1oqy3uv4+7XrgD+a
LsvovIuDOdTbeiw7uDNFmHucgISiDy0IQpO77WRP0SbaTqKtd6TZ7lD5v9eeR07b/r8A1bdyzJU2
+iZPJQUyNZBvE9HFImcUoX+aZBPX5Hjksgos2oSuwIxFCedmMoepYpFzH1LLa+CZfhYPpxcNcxUt
UrHtS2VHoLHmj1xSHf54aXTLNNHRj9zblSBt5prKGEtorRD7RUGmAP5vgWh+LNnyemywIOdCMs/f
5bYs/tUbMBPLXOe4mXorkdMJnirumJTaby+23wW+wgVmjd7XWxoy91lpsYtHTiHK0T9KoniFg+Uj
3hOGJN5+ocD66L69XzzJDsnLZrNBx+mBhjZwYVD9Oh7B5WbfvyOW2gFoOG/vsn3NDoHBgAgJ/8ws
8cu2iq8B0e6xQBF0GdKac3fo37l1Aow30YmgWRPpN4Zq23IrKyRa25X9pTyWge5yhC2+gzOlGMQZ
1F6v5RxKwfM8YOsRkgn3Eg4wt3np6UVSRKxs+8d2mfsSTnFv6hcqCiw45uqgYCdFlLnhnU+ZfXzf
BrltS/QBg/4Y9ad+IRZLYbyjCxCPc/NTi1A7+zUsQhlxpOUiluYenI8pUDrPsq/Pf/yiRoQ7sXR1
NW99VAacWsFoJVmBOFqlnZzYWz+t4wezsJEVS1LHByiGtin7FVgpYMb7Dd04tXvlecSLrsC31mwu
UxyUWMoS2BY+weB+nLEhLLxTVpiuR32T7vE6/l0YNRNJnecZZE3n1LzkF2geZsSrN2JKBPggKzfB
tg5fe++43QScL2swYBWFMcZtBAgM1BWcD+mEmstGDBJsoAJfxZGXTVpOF8wUZBBLTbEpdOqpPLTJ
p/vLg++DzJODPhzgNxjwyapkLDUDQlBAPYFCFGVabv6ZA70GAzxI1ctp10Z0TXHgWZ4m2i4eMvC+
8jgxeFBqMKjTCXg7hTO0eYU/ip0qI4nAw0+H3jnHdk0z37h37G7s02D06O4NaefAYKd3BuaSgDrI
2Er3Iqi7z+uvHUo5oa27XM+Ug+MGgzBa2J1FocFxZljW4SQ75YnOXWL8xC4E8r/BuMHAS6rqES42
ldWQ4LCVC1s8ViixY4Up0Zy/iwm/TZ5N1lZF0RpFRh/pj/Mqe4m2IGDcg75pIMIdL9uz7Gb982yY
DH4kRXyqhhKQtQVmeZ8FIt4iAMdpsveDv/SQZ5ox4IGZ3EsmgF2HNjHGDxNCapwgb3CMZ/8mAxnj
aMlmGVEYdrLdaKAuggZJB/kC3vYJriQGN7pBNuWugf1jxOqaZgT/0R2KBQEX5+nJ3LhpJoMeRhZl
SqrGEwpK6J0BNRUl4YbfwuuZ4eGtyYCHXFS5kCqw9eBw3vak8CsCPiKZO8+82HUxc1hYBz9Uy6I4
9Ti7yyouCZyxxBVcw7LDu6Il1cWpGqKT8x28pWMQJ/dWb9++1ddmvltHyiCIYFhlmF5gJkj2YERU
t5UAm5RzJ3FBo7YOazsE2bE3oDFUTtzINn28qBF8CRrv8JmSuLbEgEwnyadMr3HrLxvPq23rglXx
4FYW1qiQYKvibeWXU8rfN5HdYJxN0lQqIuwJCcotFkatwfC8fXozCXaXWesjRxo1GvaoTRVrMHTF
xB7ua0A781LqTtb6ycjhDipOuVUwKLjyk4fCPqbbI8IcjrSluzKXxpjwhCRe2VuQhqkaUjiJ/XaB
d8KNUJfyknMxjMc95WWPrpTT1WkQSAY+SP/yyasxLZrFXApjpUVcJMWgXf0fNPgn4HADOT2qWdwC
+WID9lwSY4CXOpWyPoQ+DcqD7YSVb5hrt2mjI+KHL8QsFtaN8r7VUoQ0E3r9UTPLyLUivMQa/VYH
pxeh311MeRIRIB15RsgTxTx1mjkVoFiBKJrcPTgW0hcDOR/UE6S9HvPD/2aF7MSBISF70dAPF67i
vTIR/YS6Lq02pDz+jsXuqPkhMg9eAxb0yDxDs8uqxghZ4GGy2MTmC/Q6RkSznBpd9LYYUPHG2kCL
cXhN+nL5ZRb9wfkPYd7DLJb7uKU3z9k6bUsgHWvK8d8XcgZIwB5fOQ7oYhOMqZoWojtNRzcdczvi
k6AlQnWGU40Jaljrf5mWON+S/u4/8etbDHM1IqvtBLMvgF+Y7cLAPejyXmg5h+eNceSwt0GVJqk1
6RVEHBLtIqwrSkB2SHBwtxVafHxn53b9kLNrZ8RoCIgUKIR316NMS6M/ggce2Tz65iAtEPByvItz
nHORFLVnIisNe6zMHCLR2Awqm4+t4p022rZbi6jEJXhXnds6LnbFzgUyt0Lpe8EcBqpj/lCDRtnf
XVYcEbzvRf99ptNwUae86yrodJjusppYuxTeEu0bdY68LULS8iP6jxGyYzi5qmei2MPWXw+ALEdH
RwDojXwwL3C0otZ8w9qvk+szrTRTjHQ5qWn86Ij2Q2yXNWl89dnYfO2Nd7oX9v+wGZanHfOaCpqs
g8cJQqeHV+xzoCnm1KmC7C57Bq8Kr/VxkTNqbhwMcERtmRS5RK3x4PX7NHTg5mFlF2rCb8evLy5x
/7JL8v3tGAARzxEq0CrEUT6SgwNf0zfs4ZkLIIs+ianIYES34G+JjEFezqdRb1QTqWSwlw07zdU2
dip7+Yobfy9qNJPEBCSdnKmRCaVwgNpbigEqDE8Ja/AUcKBqqdiloQNWUrHoRTKxqvL3OybHp6IN
WxXXWF09V5/W0/De1GgbCqLP23a/VEf8TRLjIIyNLgiFqUFScHjwPp/btyfL/fWTINIHiX1uD0Tj
esYLdw0zb5IomZZOiyvMBwvFuKzLyJqedeRqXgVS2vVgmyDTdWvnZV9tq9V/ZjmPPPBa8vdQAwM5
gGwoqohGwt8PNrlcTlKmliIA2Qs3z3S9NXm/OPc/sAWEy+13nWhiQOU3aQz8R1XR5JexE68p2hIr
yXDDf1jemXxGJPWewGOTX3cOvv9o7k0PI3+VDf4VP0CodfszL4U+ugzFZbBQSIZ+NYMZvCW9VnXF
EIuongVb2a1VFMLhVYuQ6H9Za7qIiSORggmj+28SmY/cipdkHLG64zl/RGHYMMC3inQwep4ubzv4
1a/8RMuCr/ubROZ2XnohjaYwFWkpcqs44TNlPkO6hbvceMmT+E0SxfXZaRb5aQLJbwYr6pGffZgm
Rz6++XbnW89HvIMyJRi00S3Ke6XUhQdDlyXZQnUYFE8w4d8FN6WsIMzLYVAaGb0eRjzdgU7Hxap7
g+CFTG1aHUVWBpMC9cp8N9EV8Jm/WSs7He0h8LHsBpTYdvxaPdmnh73T89KGSy3vv/1C5iP08Wlo
sBILv7DboDCBVRVb2NvUrFoXXIE4GpvY5t1JJRrdtWl+gpGx5/W9L8Hnbz+C+T51pmanWMQxgc5a
IxjeRU3CM0nKdbfoef9h5LPvwTzgaRpZZWMV0BZRd7+X30/P7stX/ckL75cqXb9pxDzdwzTBtYuh
UbdxHN9qQTyOam242wYaUUiMwcbKy7YWpgrg0a6wwnmLPSUwCOHVyHybWzVeCnp++z3M2y5neIn1
nn5mx/lU36dP3QEPC9guW9Jj5JHmjILQ4iRwlmK+uVS26UU4h/I5l6jUYHu5T3ZyDVrA2HlU16vo
bkSaAJu5YvdCsDgC7Xvn4Bg5l6D75EHbItB8f3W2+yU1oni0TPyMC4qIyIKsGj/0RmxZtbB6jQOj
1GG/YWEs494Qlbml57WI9xnXPUyd/slHYoI76LaMaTOlmMhB7mK1EbqrIA9p8VwhUoS0+GgLGOfA
QIcN5aKCu2vseli3FGQgLQMZk1j2FRQsycXNNqU9+RH5fPDiimhovbnPc1I6cFKr1X4zrux7cDbZ
XQI6LIqwNKhHyd60s7e/KV79Zm0MlFXncrJiHXcOeHpA9QozXtitx3+3OCByBf3Za2KkWQSWCZx8
uLtIFTmFETHDr5MTpV5c/hhCEk2OkBKs07A2F/WDY2ALPu1vWjIQVlaW2oshzh/JKNEWEk89qgm6
RKfS490bzuulMiCGgcO8kAz6qR26ONSNMK1/R8O5zo9XPMikv/sPu1IUXbRMSdYMtvFJ6ITuPBg4
1fziWSQf7vXwhxgYhvs35zeTw5yfMUohTg9yXj0nTAmyJCJ6h6ldcgQtIsFMEHN6gzIOVnxu6OnR
Bz7bdN57jNfgtpil7lq4h9/nxiA7MoatFoYQ09mt413ulSAEueMd+bnGy1IQv91eMxf5lpssWbTE
b8nsqG2qmlHfd5A8Yi3a26/Qi44pmUY7BwBx17AtXrqZMCYQ6HRwYUgWhTvZPdsJ3q0QMIPlSXtu
NX8hPp2f6NVbmd3vvOpjrFeBXgrZBhIa2TX3vVnxEhi802PwWzNCTVMrSBEe4F29Yxoa/S5ov7Bv
28dSSus3bVi8thowwFJ71w3bkX+FDvi01QpTyt1acPwjbXVJHnY7jtTFJ3f2uRgsNuWizoeEnmFv
5w/mXefJh/beqV6+BOcYr7jrq5dKEL+pybiQJ/MkNZUBgSAlkJzztuvI/qv7BFZx145Li7g4U46B
kPO5EM2TRmVhKdVHTbx1RHJwve25+cElAsbf1GJARJxSDCGcIKpyWo9uOU1qG4PFFtHtzBWeTkkw
2c3ua3rx98Xqy6CtQ5xXgEq4gctX+5rdBmwZii2L2g+NQ0tb//nK60BbCvLnSl7/fSbCBAvHqW4h
orOvG4ARbQsTRtu/fPBn2kce1c2y64S8k4nIWpQkk7kSp0wTzgNmVZ71TVORYVv+yranl5+xv2kz
Z989IOYNaEGTc5JLLbG6PJPLXIrR6FKpaiE3vgsOzTMSUsoGiQx7jyZCzgVcSNn8Joq5DmI0NslZ
gKiM5M/SPcr9+yPnii8i8kwb5hZkYdRUpgkRlbN96N8MF6Nyez9f8fKFyyHqTBBzB8xazLVOvcAz
aHwkJk8k+0JVCHN7tIdQdhuTSE+N2znZs+tWmEH3hN2AMJ+88Hqal66CIuki1qehgITUDK7KzE4T
IxZDTZ9oMqrKbKUmDs8JWsz7KLKMaEzC/1SWSv+cZdFZbE1627ynsHdDNPU2K/trN6AJBSPAnG+4
5HTNxTFHq2hlermUEJcR5+NjIg8rsE/n5P7F53YMLYagc1mMoyJcBDziZ6oaYuDt4eHZA931KvRV
MJwgec71vxa/1vdRssFnjsSvqeX//yh1ezzBGUKk/RytRhcUq8ddzMulXGM7FipnGrJxZq6EE2ID
A/c7IcpnNm0EyU2wq31jBht3hfG+X+QuJPcbQlmGdH2zc5DKO+pPoEX7EYGdxOF83SUQmP8e6oLM
7FU2G6GW6ImLJ7c5B6vVUwz+3p/v9gWtkF92K3t/NcSrz2Uybo1wUVItP+MMgsMhRpKYvN1vZD+8
57hPPNUYCDcV4dTUOcTg9ncSVlsl466Vf0SCLTYry7i7fZI822UZ+w1FjyJ02OHmP0eELkJzrdRe
r1YELeAI9Qo7/QUMr7k8PUuehiKjIUWSaDJYZ06zRy0Se0NCBCsCmJXJAaRzmHYsRzLWNkozPINZ
8knn4phTPfV4nc5niIMT1d+NqZ369i7EGNv69nkuX81vtZiHMDTKsj9TwzSe9mhQxMTo7b+/+NLO
FWGePznMExBuCVDEGWU73ksr/bBRP7H33o8euMNdiz72XBzzFEatrKcmhRosxc0dp1L9ixfZ7sV7
r9eb9sPnjo8vMS3imn2fIAPcp3QwMSIBBVGoLhys/8EOIkoZuXqkuwNsWh0fiOl2RHd5Z7sUHs1F
Mzh+kbNINvNYen69rPAcY3ljNhCdZ/ocE2Hb1JvSPCtlhSNt94MDcgo0GHAgZDFyniliUEVn8Fif
h+oyYc0LHBhKVQmCc5sOUz6ZdyCPwG6+H3usaj5yv91SzX/+7djudKVPLmNpRjhAp3MFfDlk7VY8
t32pePybFAY6iknWmr6Ahbw6H3lKsKc5ehTJi0jQOxE5dDsWz72lf/HP5+8fm2TLhKM5Vkpj4Ty7
hkgkXE8n2quBCgJqrl+cj7dYMlCwNwN1FRWdNSxVTzo1ej1qJ+m5u9iO+CLRetV9+WibHo++b6nb
VJ+LYsCkb1u5161cok+aI0brBEOTbvewuUgut9VsEYFnajFIYsp5i/0ZBWzj4GRu4yu2A94yTnCw
6PXNhDDgoQ/jIJ87CHHMmog/dX9/euMAMH0p/rCFmQgGJHq1mvKswecZYAt+5D6fSW2ba+NDsjet
zqV+Wbb2b3ksXNSVKDeDiW+EepoSSH71WJ3sqq5cwXLiUzBObj+QxrMyB8T6coXJTSV1y+7xttpX
9/yG2iykFAV2ZihImj4HZxej7lUPVKET011EXsMVZhxI8fn0hGKyk3oa6KX05+SAGbL1xq3Xekm6
Nbx8bk/OImDPzoZxA/VTUXXaJZWeK5Nkgz9NNlJNF/KlnzjPOu+mGAzmWLWGqyLgKxSyE1sYK/Xj
nb952dQV4XLvUQu6ddSMr6LlnXFKLjhqmhfZbtcpyM56srq7e99suCyNSz18cwxgB2MSYTohlQtp
2zEh2HWZ2uohfONRyC1mJhTNUJCbALeFzq4717uoVbq0xLWxo3vFqVfhWnkq/PFJpUt3GwS1qJeh
fqIcM6K/3Dbe5fdwJpy5s0na66Fa1BK8GNAbbx90+wHe7lOL3FbjjjatzvuO+vRXz8a3WJZko8ql
usU2LOlZq/zCv7fHyFYDtFXQ5SJ/VQCeHfC1Yjl788dQapVQwgGjkWXbeyXB+i2rd5D/D7jkZ4sW
qqtIMoEfD007zHlqCsgnwktD3w1PdnUbAe/TT4J1Ypv9F4hSb3+95QfxWxp7jIkcVt3pcpaQXKJF
uWgzftIR1axy0EfAkbX4gMxkMZ6TdbKqSVOg2XabRo4+uKqMJtrae2k/9hnWwqx4L9ZyXmQmkcGw
tAkLbWqgnUJ6r5Dtuw3obd3RlS0Ub5zjtL+tIefTKQyQpU0VlpMySM/esCp81duLnO3a3M/FwFdy
yiYhHyChEZzLYwt+2QwbdNYBb2pwGZNnJ8fEWkWcqkpX4OQcpOkSF0VijEGiW55Pjr7oss8kMX5S
ewZ3gXYeJSSTDg6NVJ8l8ly/lPbavFv9sO3swd/n7h7eJ6/PZhk3Z6JZt6nThkweWigZfGw/vOdL
TbBJkdi5HxOR9urvfB5s8e4A40RN2akK1Rba4lw1yRZrkrwUAZ3+319ask833Wf5edsqFwsPYIX4
L6Kw2+VjyYiVyoJMcYUIHe1pg5tsrcYWVva52uQ2P4m26I9+S2STaJ0yFEaswUxfQd4T2+iXn1b1
+vxp8sLK65X64z2fSWIwJW3+e55aCVYKVDg8is6v/Tu6kraFZz1pT7+enrFVsnsZfSFGg1C51gdU
r3jxLTXTWz+EgRq5bNVmlKgtgdWheci9ApR+h+tHpRSn6OXgfFXOvWH5S4yoaco8xQ1t0bnvfbRr
i5yRtg8GeBreRv9ElY4jcTFSm501Az550yWWMnb0pkoPWHB9ubagqc9Tw42yFd5xMvgjn2NLNCfI
qt3Go0shDsXdxTbBzVwSDNFJK5C4vY+u+7ZSQSmE2RosxEXpx3KcgHfQPGNmAEqTVV2PI1yf4o7a
2OfZ1h8aXFhuxEh1umVCDBxJaIE/hRZ0BpG9ugJtIljX0rcKb2Th2v+rvTJA1IaSVCgGhKW5vQ28
z1qzq2pl3jvoSk3t5G8YtvUZCKmMW1NS7kZdhLkG8A4R1yXEsvFC+iGyTbft9Oru3jhHdkNmdb6o
WpnQF+XVKTfxwznF1Nd6/VA4tS1opF3ZcBKD3I63YNzMt0duV+x1w8atX8CgUnQKU13vLnimvW2A
rS/bh7P9mZBss6ak8G7ubyoie+8ve+7UGccF0RgYik6jWfQRYGjroB/3/MZ7wJZoVubf8frvM1c4
7CWsbpV6fMfe26JXTfEqr3wZLNdy0TmFqG0/fBa23a82aAFd/eztx6fH06pDR+pLDA4fMHSsppX4
cN+72Hie2/7rOKxGTkC9mFnFGladRkNo5Ge7gpJzawj1RaRIJfgYYM7Xo3POHC3xhJwMa+t102Dd
erDj5ZcWa9JzwcwVHvvYaqXoKljcaaRICAY+DlvxAvKFTfcu1luM1vNSkote4Vwqc5frKLekGmRD
z8gMHh62p6cssqUTuulUztVadAvnkphbfEpaHUxJVJKFPnfVLlq7x1luFFfaGu+37/FiH+hMGNsp
BF7tTi0zCAswghTVXvYRP+jPp9jp1nZp4M2pXR8rwU7OvXuv2JvC9XGxdYPw3j1aoGVv8/x3MLdZ
jBF4lw1Vuokd4Sm/ELvaUBaj2/ouRtJzOczdlaKiHk/WBH0xRvbwUNtP2Hq1MmyXbPC20fns1OaV
jpfwYi6TCVm6tuzjeoJuY2d/eimKAWjY3nA50nkmem3EmcFGrWb/MdGg3Surd1AO7kyb91JTB+TW
h2KchlM6RTo+Fg7QethuM8xio2M3tmhb65Ffs6Sf45Y0xi9I+7LW4xDSwoZgun6z6Vc/qs2OY31L
bt78AzGIYiV9W7SRJD3L2Vp4Qj16iu1Q4E18Lw0I6XMxDIRonSX3hUlt7xWtSQ9oTVo/kcc3F9RK
YBQK+ITUvG/FIMk0Suk5zem3ClrH0UD88IL+6ofaizX033KzKku+60w/tgljHPIcE+AQBxYlyysC
jEhg3wyaI27f4cUSoq5j6knXVFnSWN9DmrRYUsBg+FxOvkHTuKk9fQ6x87JBCT+F78HN4Cx5ynOJ
DDq1UinEpaTAawwaNBELaFhAMIlM2G4ncArai7Y4U44FqCqeum6gRoJTVAtbwyG+3j7ARTyaiWDw
qNF7AdsGZOlZ6Ei91d7AuNPZCRbe/tVLNhNE7XMGSMUk5mnSQ5fBdvLH0m4aQudoAy4r25JXP/8+
DCi1UWz0YYLvE/QhgZe9ucd25+xht6fsQdxK0KKdz9RiQElQhDYdBRVvlfGzepewEOIkOZnoIHnC
5U3kWR4DTXHct6pxNYfA+3iYSA1zQAUZ9Abc6IGnFgNPtVhaIDjAIVYOWIomp1wZL8IGMMErENLb
8geoz86PgSURBNGl2Wo0Y7jtn6Wnjfz/WPuy5rhxnutfpCpKokTqVlKvVjvex/aNKk4c7fuuX/8e
eb5J2oyeZk3mu8iVKw0BBAEQy4H7uHjey1q+mnk6UwpT6AkryqjmUQ4ySCjT3fPp9fXLAWMYWHXq
bVCRfHSuwt1lkjLLJCJA9omS9ySBZgAB8lTjKattwnobX1+VsY3H0H8UpCnYioHXnW4RkHt6Vmx6
QHcBOjYusyQxR2KbS8iqsVVjkAhje3gn6Jpwek2mEeueERVjtsxUM8MSLFIwYZFMAsRfvKj8HXzj
YXt4v4mcHRwjwJccLCSV589WI84zmoJxwgZH2oaBiVuM8a/X3puuFUD8y2K/j6Drd2X/xZpgmsZ2
1MKqWchgdBOwfrNdbrFcG7kq35E11yzG4BItwTBl9dDzDK+HB4Dxq3e+fZQ++tbV4Rc3gjmKtNpQ
w4otpg9vk+dTtTmNIUB99RN9zr6Uux97eRSzbtx/0RTsEnYc1cCvB1dINz7Xmt2GNtukX4PSvke+
WuIb1+3tL2KCbZq11gzbFAwuxE7R4fJtWk0Tmz+VziSCTRq7IY4THbyw7Rtaqe/uDvl+yYaj76/A
fjdHQm41fD4jJ8QtJaeDPxsgpyCaeB425X16VT8By8WVEFoz6QzF0QUcmaJ5U9ALMoR5OqEbA2O8
rv9yk7lI7GNuUUJlzUOdUxE0YcQUQZJ1oIJSgoWkPrU3+gb78CTcrPYUntMRlCBOq0GfKtD52CMD
sJGHA/phMe/79SsWqcuaQVebU8/IiY4q0WbA8GcgB+wddxsgnnjYfmF2hx6W03SLZgVmf1lGGey7
5mW6KQ37ZjN5NZamYiR4n59uq7+Ad3RZ1KtJlvNvEjQnw0roKmyWAx3d0wMm7G2sg0XTECwywEi/
W57k3tE123VOUPBlxsgSHTV2DdGHtksmm74iOsh+oMIwbE5f7Oh0Vzjp9uFwdwc4/dGJn5DjMxwg
tGcWGlk36maT29cOamcylL41i3D+YYJvKo1R0eoCH/ZUow3EkuMNrtm3cwKCI5ryrujGchH19tQ4
KbH13d/IhuqLzButpj/OaQneqLfGvCHLPUXTKgYHkQHJ3cMDAG/Jy7f4L9MuDiXG7Z8qX9aCJpPi
8vezpwBth9HoFx3XsXPeuk43l/V1NRt5zphggLQsDZvp45Sunl9DLH++YxsP2hpj07w0LbHmBRmz
LM3CNjqgBwhSZK1KphEhy0PdHYHnpG3b5dB44nEmCWJXI8pzUoLcetK1U46RmIcrYAy+vuYuUG02
1i5zMbksMa8yrgQRAno4HI0cpMju6fRGH5KtxK6utuqcMyPY79loMXaegkJ5328wWbAASkj0YN1F
/DoawXRbC0A/C0DCXewGFrYe0KAj74FdfVycsSJ2tY1zSfXY6hd93m6n00P45d3+tnQ4YWb1x7Tf
xzvZ8fwPk/yTNbGDbQYG0EjmDl7p+bQF5iJs4e4GIfIyuCfLeKzWd875E8yxr/HeHFXwB2CMh+I2
sINjGqK53kYtcId1i859Wdk/AHyu3CzdzN8luriayzynL1jdZconnjXQn3boWIBRRLMqXgEy37uo
gxgxn5MRbC8zWubPLdQFcy+NHZzapV4i0cn/YXR/HZxgLlIOtIm4Ai9Ig2Brtp10AJWM7WzrlrvW
Of7AGN3tjwjbASR3YS36O2dOsB0lYvW6K0AX6gIbz1/6PXlr3mRkZDIU7MY0/mN6r1x++2zZp+5r
u6ctutJinBqQh3dL94yEt7XX2zlvginJ1DFMtQi8YenBCcv+Cjv8KmNMJj/Blpimn5Tl4iwLO72h
qIB8DK7JtGM98PmpHSJcs1HXScd1qCD03Nge3pIjpgZmD+Ge5eB6h3fXR6e7olfaFWYkJFKUcCjC
N5u5ocDiw6RcbdWr4Gg51TbaXgFqUUJn3fv/4lGwJigVa506Q5JXqGSOrT0oSxOFi1wWIDTfshbV
cPk+xtVJjDMdEYGcZ2skxOrA3YKaht6jD6BC7D7DOMa3m533sgk3H8MYjfShIrkS4hgrKY0JpelF
ruPsbg9oLQTqxr1ys/T3A7FaWo2XnaNgYZJhnlihQ75ozcD+WH2PPeyNgy7/l2VXQ7BFZxd2UF8+
VJk/EqGeU42VyG6AScwGAwYSvvbhfQfIHG+DkXyZSFepcZVwQ6cqXrQmFQJIK84UP1lYPM1bpIjQ
bWBX7l/G7ggO0XZrS7hbE+k5vd9E2nKaLg8gIOEdkTxs7Ae0hruTbhvONdkeHQwqWmiEkeVw1qIw
TD8zzdCX4NJQP/OppWXYT9jpDKXddq8MDeql7Nqvaec5CeE2GnEVqXqjQjtd98vbsL2XGOfV4Oic
gOi8ZyvQjBQEkPNaHhloy8D7GfNPG8ycYJ+RhN6aBT0nJ6iGUvRVq0QQGa/tPkCv+buEwGqP6zkF
QRk6Ixwx/gEKqBqjcvdmZ0sEBBDBy0onpSN4bMCR9X7Xgw5e9s9Azgydhx27RegD/AIJqeWTxcjn
nCXBa4fRlCLN9cGSC8OYbtUdUPNwlWQZtdWn2TklwVV3dRVir+y8GCd0C6oNINppu1j+0D4C2deV
o92vBQfnFAXHzVlf1Eiq4Lgqmz4goJN7NMk1FXM2RVuGiTGARLc06CF2RDSOjPVf6JG4/fF0+awk
+i1WFfKy0mMWjRDgtAmjLVflC6HXrd1PqyNWEgola4rMxxkZ7YbUT0m8Y6MdKk4dOZUKNEmWuppb
jg+XGZMYIrG4UNSTlQ+LEIHWEQOW6rh3ZNscVnN5Z7og+o00xzQy7tWS8Xh+Nh0KmEqYIm8TPVxj
K7NU21dLGef0BFNBuyTh/WKM3Gf1mfwo7PrwBZ2q2Y4Ozozxov2xUO3HKrRv779Lr5rsGAX7YTQz
nYdpIe4O2N20IDbK7MZaKHfOn2g3xmpKNQJNwehEc9c4y1q17OZ6j1Wy6HKWaL7MIJqC7egnf9LS
cNGQ59MIaMbtA3fvdva4e/wuCWdWkxPnjAlGoylzbK3VccuA7q7vm2/Gy/fL2r4aj55REHMGc4+V
CdgtDWZO8Lv6PrIxHHx/t0yeoG0BnXu7+wHLVq9klV2JqRcTB7kxzrMaQ4jR7lbaDCkz7+LMrKr3
SUU6/PqTa3y7Cg/IV6Ma2T9Qw0lTwN0hzSOtqv2PaPCnvRLH2cLU54YSfPgU5MWw0gRAsG/B5gWY
LV83TnOQeWaJCRYHaHVAj48sXiKa+ia6uZfhScuslDjElqisTtGos+h5gfgi2WT7xj7ZUWDrgU17
4MV3CYIA2W2WylEwGGWSjDogIRaVxJbreR+6y+Lur1g2vL9F585/vM7iwifSj5k5l7gBiG9OW9V9
qLBv2MCm8ANM1XeZqZL4aHHHk28MRhVrH/fN2J5ew+/BbXKTPBQH2Kr/DxdBMCClqQVZNS7kXASJ
z6cnsnu2trHqBIXt36EgFmHr5GWTIrt8YvKA1f4MiNgPa4zMy/bL3Y4+7DbH48eAnhTpTeJexHRB
xSN9yhk4HNBU83w6+SgzF5u9FW9uZfsvJKEBF94oVda2M9U/zs6/KTykB2R1ndXK/Jk5FtMDPS/Q
crA8g4AWj8cyENVfUNu6R7lA5ltWs6nnpIQXSpJV5URzXDP0dAGYDG9zpG8DLEG94Z5tey/Yk4Jt
PdjVsywGkkEJyYyLuPwJ3cRhoKlgFIAQ29St97uds0GHFF4wS2eF5BHzgZx84WUh5gV6I+6NZAK5
zkGiGqlxbIgebYxY3uzsv7z8K+Ku++mv+/S2XJD5pRNnqyAO58IWIpQ0Y+bIGOgndo4OHOr6kf0D
jwAJn7KAgQuxCVBnIkXRF9uJ2nq2CdFrL0tPS3VUsCmTqTBsWVp0FE+Mea/vHtE54kqduCw0Efc5
qUh1RmoFOvX2Gc0jeHc+pKhE++7dobWpa6O46mycfaI4smSETF0sIeHRA3N0TnSQfl76cLZvByxB
g1cY98tm2d146293pj1iZ4rnXGPwwW6uFO97OtiyjI9gcZiqAsjMArwXoVTDdmThODM/HUkchKlH
i2ttdrDfR/kaK5sic6YHyuzLhlsIyX4jJp4rqeeSq0HqlTG50yvL5m110oZGEtRKeBJfqVnNC04L
8OQbdjHbM7EnbO9JnSC268LBiN5/4kp8qFa94meEgCuzS+20OZXqrckkUbTw/viQHCa2OceQnEmJ
6NQ7zKMM4ZylHon35GvzanVomJjeLzMiIyIcT9tg9W6qg0im91h6e6dmiWPSxJmsPzggkzLVAnAd
A6qokCmrwE7Zp0XqDVljm8lh5LbRvw+qcWSKsS0zzUmzTEJzjTnTYAZ2NqA7EDnGzxlGtTbZOPdl
6rEYLUf+oeTBNupjtzElC9PXlPyckGCIdXPQBi1rUg/LpZyEHIvoOzF1CTerREzA8aEPDCucxEDB
MmbCjIWIFoYQ1nur7azgeFkdVmiogBbUsLqG6WhyEkxUo/MuJg3JPEbjbV4dJwsVhdmQ3J6Vc1E1
laqgQAAp9mEoz1ok6iFKJ8OimZcPyq05Fi5vuMOMl3jcXWaHfk79LVcIhBjGtixGKRW7Lf2edznW
F2Ze240LOxUrJRSWkz0LAf6moGGYklqUY8eCcH+439bxUKqZpza3yVA6PKidNDpVVrBtDAns9trh
aP/QWkT3WZ3HyUz6mOBw8tTaDPGmpdQth3+vylj4AWERC7RUffmIs7MJAKrV+6WeeY3JWi/Xi3Sr
1D3xaNMH28uns8oPvBAWkiH7T0VAuzgnuaL1ae5FZNe2mdtZhwiN8/+eiIHYZPF0umGJQou4wfU2
j3MviG7bCkBAy7o1VXf+gAplFJIzNcZFrAYaZGYIx5Z7rtLs39Tk8Ac/jxEQi1KVAEVHOPneGuqu
LIrcq8ONapxYvqPFH9x8mOWfJISb37KYTkkMDoZ5Q+fnPD3y7scfcGGqKlrVDa7qRLCSCaDiSKmD
RFTOjkJgWajpEEOiwGvGxTCBgwhActUyxWA1zlUEOD2oNKrpDpFuK9qtYbywOPqTM7ewPwrZCs3E
fqDPNwVg4CVrAjX3pmJj0eVQ+vzrZYmtWRfjF4mPpMbZZWR9U9E00XLPCu4M+tjoxm6OTJtgAlRR
ys1lYmuCW6RmccSFqiVa5ZTxGskZK/fGKD/ENHZwH9Uid8O5l1z8NbN8TkmwMZ2qlHPQmbmn2i+D
5L7LuFj+fiayyMxmGpYs9wysyaWnJtw02WmsJbJaORjs2IIKYy0SBs0/AAfOqMRqzq2wVFJvTl+x
rOmg5vuZRPssNexYlTy/Vjj6REu4NmQyuRIqoDUc6RS5LXEaL1Vl2rxGBb7FwKQZUH8tQ5BbrTVK
ofR55hHsyLQrJcBq0+obZqc0l5HMl8hPTMctfnNxZT/JCUzNUxwmzCxA7rUJG7tBgj2rtzTw7bbe
0erBGL8bta1PdhZveeDRnam4zeBZeuDAjLhk2isyCSxaJ7jyT58kPouCIs5iCxII+6su9+bhS2ju
L1+xFcUHCYYYDp3vaMnQPivnnNa6NfMy87QJCNLBnVo/XiawzsMvAkKUXaS9MYQLAcYaO9YPeX0z
WNv/RmNh8kz3K1brU6PUmdfx+z54HLhv44pdpiGmA/6ffvxiZGH0jIja0R6LuRCGaIbZOZoatfe8
sbhrGoDmGouq/aKXQbFNTDXcAOUP2Q+FqNuItsmhHa0URTbNcLq8T+4uf5jsBIVrEmQBZ8kiYM7v
8+m70r/9t98X7kVE2okC1DzzzHTeWEZz1YWJZO5yVUf4svmQAyfTEFt2ZqVJzI4gIhrbXX+vqMfb
P2CBm+oCloAhCUM4un5MWKAk+H01RDNjeBwb2U1dPYQzCsIh9HqUM3+KgKDS1U4WYWxA9nBYlRGi
efL3M0iMgnW4p8AE3p6nxF+j8Ujy1yaX2ILlI38zN2ckBCZQgDPzqQaJDiNzWel02pbcT7yR+MM1
WelEx6YIrLOxVBGuiZKmj6sOD5So+0ra10YfJQTWRHVGQERnmvxuUEmEx5xFy50ydKfMJEBkS35c
1ioZGSE+bcwkiAcTZGjP7JadVNTsmXuZhkRW4t6saaC6Ms4aWAk6W+UPGv9+mcDamesqgGvwSuBI
SQi3O+87g/SLrNB8vlct7d1UrksWzNgiLuuuWuVFwwseeQkTN114Mqg5ZSHKyXjHlU9jj3kHQzYd
vPhDUYGBhvKTgnAiSmlYIwvBjD9XP3KWJFikeiiq5oHR5zE5zSyUUZTxpH12CnXWzx3TFp7SxCbp
Y9rJ3M7yzb/zpFuGZlCLY9XoZwpdFgP6ZGCZ1wdp79Zq+G5ptTsnjW7r2HaCXCzhbjwbzwWZDsTn
28v6sZz/7+QBUYf1rTrDm/gz+Xwq52mkPENYWSJ9GYbHqqdHlj/NA93VZMwlT5h1gf6iJ5jqYC7x
fjLhZXvjMS7f+17iClb1HVtT/+FHEGejdXNhKvj9rfaDPr9Ifn3VJEDgyFZglJZ/DFqdxQhG11Id
GavMG5WtwbF/jFylhUznVo9kyU6QZfcrFOPzkegBHlwFC3Ivm+K3KkVqORg3ZrNPUW6RZXxFBOGP
qEc3gLuKmXHk5kW0TjXpgqGNkBEZ0j7c+XQK7H4K5v3Mp95RDcV3SGKY9xgpRxeFXsTbuKluyzh+
6bmC9Y7lTJ0+CAJXtWJrn/htyp2qjCLH6kbZG25V+CZiWa4BoQnjkJ/lkpll3VVtgndWb9jNe0w6
SObfpz009IZiBAJb6+EqhYh8TAvK6ixHJBH4jjpbTgFaY/x0+dKtKukZFeEdj5X1eqZRUCkDt8WQ
E72e60f+7TKRdXH9zQqGYcU0VKxa6oQtlLnH2mNrbaPhvo0lJC7xsZAQ7DEx4yEJFmkl+WYsjzk9
laUjTUnIGBHvA/KgShCCStW9TeVjX1939e6/yUp4xBixojPsowcj2i1qOZZ6nOfNH5DgFrQLZQHM
twmyonlRxDysc8/n/rU+GZHNFBLayH+5lwmtHoqFxx6WEBGKmPvzNQl8vZqVHM/JgdZbFbjNeaja
mLfA/gxJWL+oqeg7lqc7ZxyDesjff6ZE4lYjagvbwdrcUYItH1zuf1embwOP92H2dWK+hLc173FO
UbieKZ+GuWyy3OMEC02tJ78qJLGljCfhavK+xGJgBRSUYdzX/Q0g1u3WPFZcs5savbWbJH65fF5r
5v7D2hjMUvGEEaSYBjHJEwv3dCR4v9gTRnG5m79S/+EynTW9QJIdGXZAequ/KaA+FDMrKyjgzPdl
/CW96uZtkkiIrB2QAaUDuCXFCKfoTqYsi7NuprBs7F2P0TIe/8E1QgKMcw1O3rREqPCmU82YlXCO
Y5hnLyytaiCmZaEX990sUQWxCeHDN5pYAc9QMqK6xQRdYDqW2yszrIKBDat2cYsFeNsgjjZE80qi
3s5pa9fGe8Zlj801gwfmMP2K3Ds2by1/P4syqrhgZRMOuFfVtCnj0LGi93j+99l3HQV5VN6w8o2b
YrTOwngAesaYeMxIzfu6DMatPurjsWx7XxbjrsTtCHBNQpe8NUWJ5zNDAIvphoBPiVdE/rYKoy96
iLXgWuvO1W5kR78YEWqQwW71R200HWb1t2bf2fmJW5XdJmpmaxba9Qq/+/Kv78SnD1vU+UzS5tC3
JLH6xFNV6yW0ejvC5KUZxfuYSWyliDy4KNMnUsKhYtIYiMJdl3hJN21zYlfhMZofO27Zuv5F1fd+
6Zlj6prRZkxiuJ/I/RNWLYqnmYUL9AH5ecZqYfQk9ZEpga9u7Cn4oSUEL7SDJmsuW1Fe8PmLjmCi
US+crMY0Ei8bJv9LO2TZwYimh6YH6u1ljlYpmRrWoBDcUEYEStyYFWMo58TTg9w1jNcwrO1iNLeX
qYiwIn8f3BkZwQr0lemnpaYlnjk7OrMiB9kGe8797az2b0lPYQOqTdLWpz6g16QYtsxqd1QbsSKZ
zBsedA4Z2OHyR62yjqsLM27BZYhgtLVpzhUbcKGArmdrB99P7FhS+l1xSzB5wNQDDKmhI275fDXm
VCnQZ6bizhIe7eu8dlNjfDTr6jYj3RO23hCJgq4S5PoSHC2VOku4i6M/VCFebokXKH+FheGS2S5e
AGflJuOPy9JbNUdnlISrqBuIjc0KlKbpQQN+Sww8aKwzMzmS/VijODxcJreWWdaR2MM/JEUYrO5n
UcaJFYdVrCTeEJMZkOlZvDFKYOqlOgmcdkx97DVLWlcN/RHzy2l/AAJutadljq7hMHnzy3Z0Q2yd
/JP7Y+kQBNepYYlZWT5oY28QfFaTH1Fntqu5trXu/jLzq5p6RkSU9dR1oTr7IGIjGqTeoDqXCayE
NRSBLkNhDDHBb4CFOU/7MlZZ4sVTbbl0uu2WTFpQ3oaoWW4u01oOSgh4QYvCkqPBAwG2EKrl2F1M
xhK2zcj117pu92HX3FwmIU5lLOYGNBiCQURRcJrCOyEu+p6wHAJr5+qQ88z2ezy6TdtqEifX0OtT
PRXJ05wByttMX7QhdoJxdBkKEINaOPmEslUr+6aVQ/z0TdpnBa40A4U6DgwOK9Gf52jep2iaoBnm
l3R7GO8zDUjBau/27XVdN1Bm8jXWilcKW5nQSBJMrJiJT98i2KXWR9c5CdAHh3ZCejD7lNkkmcoj
60rfTmcl247ZPOwun8rqwWsU6GlICgAgWDiUPArLoR1wKJURN04ZNnh9qGT+91adom3kJxVBzNhe
W/IusBCShTsr/mI2h9x/uszIWkz7iYYgviFqrJSXEF82PEaIqTTEXqT+wYMfPuFOPTVOyPS9ApCa
y4RXr6nGVctYdt5o4nxO0ml13qELy6NkZ2bHsP/aPpJGQmTN0oK7X1SEcyoLYAFjTCv1lMjQ0IYx
tps0jZJ9XbZq6ka9Ol8x06r/ioe4PpTdqFwju4WN0koFwGnFjx0eN51dxL4vCf/WFejXhwlHmzZF
mA9FnHrNpr9RJP5s9XqecS2cqdk1kw8jiLZNktuNUbnT+B7J0HJkByg4sYEmelNzKE4XBJsgAITW
9KMB1q3FQ4lfklESXAbJWyvMFTTWzuM20E7zvp/3tf7vnz+fNGX5iLNwuG2SoYsD6OPYHaugdE3/
wNNEoo+rtgoPOF01KEqTXAgdk65Crnvp2W1j3zG6Lcxl3LxZ6TEvvl6+Xqv69YuS2K6lZe2Mw4cv
V9lwnLu7ODL/xDidURCulhkgbz9pME5uTq7V/qaQLeJahPGbcz0jIFyRIOvjuI0hLHUwYF2PGeY4
M3YTk4clMAlobWPBzGWprZ+PQUxmAGNfFTPtZqH6cTihv3Xus2Y3N35w22T+LrB8O4OxQhTfxY+X
Sa7eVSzRpihRWAhYBDEWMINQCLwmKvqSWFeNGduGIutAFAdl/w4izqgIspxNDgyt0YQnGUKPjk4R
u0Oe2iMldqmNuT3TBrvmm/sOASiQTkN7SBo7yfFm6ZHHtbJmoxvAZjCwk6weXR0tWa3h5p2PXEt3
z1SMflyWykpEjlLHUr7XsZzBEJOj/dgv3UD43qgMbbOZ3CH8puvHlDy3J5PJnsKrZ2AiVjR05CIA
fv/57kdtDFa6JR7n9YnALe3aTnMqOliSPioZoeXvZ0amZyNpswJxE1oHHIPdshYvjWCSCG/17p+x
I5iyUENwlppgJyF7tNJ3kthHnPn5W5lwKHhoc5ReP+ZbzrhQGnSexTW4qPKjWuWOmh+SvHPaDCWY
hzwy3aDd3LNc9h5cZ8uiaBtBEy3qbZ+FV6RZ2SDuTDxNu6UsOLHekjjlVa1Dku0fCkICIWVsxCwC
fEBnFfaoM1uLyGsUXCllldo89EYqC6SX2/2bjTujKDiEKfejclpGU9JQ2ZdmmNl9v2Fdjsg+sLEy
aG8Oh1gl7hymfzWVLAN8WaLGbxUhqqUkYeC3NvOD1mb7opJ41VXX/ZM/QywI1XGD0G8EfwD5tLs5
uOER/dJS06axbDZBxoxg4rqwG61kEWWEes1J9myV/boQUnVKS+Z0hKiq47jbXzZ26xcK4xRYVIzi
CWoknzW7j5RimBN8elF1Th33u74w3XCaD/msPkeFjglQv72vre4+rEMv7GRd/avMYYMwcqoUO2bE
vDYfFKaoy2BMM6WNrWFc5S6v6vHtMptrDZfIX6M7QgMECbgUrJ+lhZmexnnqIfPpzKiWj4Bynw28
GgPNKcortNC1U2zTIx0eonbeJD3Z+mm4bxPdRkPXdlKrQx2r27GKvCE0v17+vDUhnH+dYDXLNs/i
aMTXkSa1g4bbZfJ0mcJaQIPXPFk2NXMEeoIB0zumJ2WFWaAsPQR1s4mjatsPk032iA7wnu/3OY3d
yzTXIppzmoJJS0yeFwpbZB58jXvqBAkwVMoHH+JMmh+Xaa3qsYpZFzREWBrchHBJeprWMVMRPjH9
KUMDYVZZhyIYX5LecObcPNF+o9bBZgyN1ygpZMGbOJ/94ZfOyS8nfOaXeBGHGQ+m1MMcGWU82aF0
j3G1atdX5NS2d4ESuqOJxt36qkKFKB/C3q6RPHC70A27eosmzq2F2Gv2Z4fmsl0Ta75fXQYzOF8a
j8Uijhq2Q5gZEI46bYvoOntIGkl0sfqWx2IMjYE7jk4RodKbJKZeFxZeu0WFxeZ+6PTNnWoUThaQ
u4YDWsb3NxyQQEoviTjWihkow/6iLFgwNQXWaK8RGN9htqNmssPhOm/fx/K9Gt91fbZJjg6z6kpB
WKn6dNPIjMv/4B3TfYRhDgK17s+HT7SAFz2AHbyOlA6rbgueLw25Tj/NzqyhZ93KjkF7VUe9xHqv
3jBkgCgWvqHPTcyLt5kx9H0wQOi+5mUG5mIa3emK2ma82VWRbIhxVY3OyAlKjgaOtAZ2LCKG4C4Z
qp0S3lrSuRIZT4KlnqPaVAvaIW2iY59tZZ1q9auaHbHv9qAm2eay2VglhhksjBQi70xFYCJeDBWm
5KA7Wm050bCpsWImJq8lEnlzJPFBMlqC9ABexvN6yQdF+SZu8J5r3ibF7vD6MWlVSm7FWvCjnjEm
SLFMRviUhViY9VuFHTF8vUW7r5PiLlwW4brlPSMlOC896klAFA2JBfMtq4urRLvyDWUTxIUzsTeE
rn2MXvnKK8teEuGt6iMFQixFl6f224DrrJi1aeUwuirHXtThRx1VzlBKiKx6TrzONJSlqYV65efL
zVOrUNsOklRDvuPBsYkzN+lhzP1t2z8glWi3KpHkalZP74zmokpn3oShu8wE1mPqWfUh015ziilr
PdsBjv/u8uGtEoLo0FPAUAv/sGxnhDD0hg2HbQUXnY7Trpj6HmFQObsNCSy77QrJm2P1wDiyg3+X
n0UkjrAN6qod4IfSILNV7bGPatuUJQc/YjnxYaOieRUxLUVM+9tkGsE2sbaEVRys1G150x18hnKs
UapO1nG7MdPHOiaFPX+Lm3RXop2iV7dhluznwC0mLittrcrYgoPSMPoNGQuHWbck7ToLWlp311WT
zTYvOpvSeaPHCAIun+eagDUV8zVcNQmex4KyBoZfdL5GEQWh4xSk+v6xl974xVCJ8j0nIjBENdI2
0Whg+j8s3To/ZujpuszGmqk8pyBEjuoQD1obmjjBInW07rva77CLzm5R59Uw/HeZ2Nr5aJQTLKVB
3RGttJ8v22ThpR0gfEPzSeFUeXwsx+nQhNd6h9twmdTq8RiqoeucocP5A0/z7LqVaCFBEMBTLzFj
p9bcvEF3lWwEUEZEiIQz1k5ZaEJ4hvWY91gOG23SLP2PnAjOjPrqwCKdAdeiP3JFdcz8pNSym7Oq
aGfiEk4mTzAMVNYQFxkcvq8yCQ+LFv2mx2h0N3HsiNsMgYe5i2PDmjFZ2JvVA9KrTj0nj11Hj6NG
dk1RfgtCS0JyVbHRq00MPLUJOuw+61qv9Uqi4y3qRVHlGSZaa/RDVKJyiE5nJDkva9uq+Ey0D6sM
RW+4k8/ESp36VdMmGM4nLXwxYcOOx3op8VWr6gYEW4ZhUMw7iTrdZ3oeKmOGucHEyp1Yq6hDzU6F
Px7y3WWGVm+qyTGfDmeFaW0hYzUqsWXUBCOK1kC3JX2qw2A7donN4uvLhNZ5+klIXDzYomOV+QXG
3ErsAan7cWMNj0lnSs5Hwo6INlG1Dd5Mc5V5BvPtIeNvNb8J02qTmcHmMj9rmqCTBfMG+UXjtwH6
ZCrShppB5gXtjI4rE+CV3zCZIFO4Ne2mcO0IyZBqIaLY0l6nXWfC+wxTfzUpcLFlUL6HnXpHa1TG
M//+MltrAoTF1q1l1B1dxoKC8yELAmyzy7yqrp2cv8casidKs82H28uEVmu555QEU5ExjCEMpMm8
GEA7jjaF6Ji2GuO2odzcBoRj1etUtwcaJD3mMKz3zvQDp9OJAuwdy4uVynSaTA/+4D6cf5VgTZQI
SxfHEfeh1J8Y/66SryjnhZkMQG3tNnADwQQibIxmUIF5bcizEM2JsCNJuTHb4+JNhlaGKbRmjQFR
gT5d9HktPdyfrZWZcg5QTgwEakUT2Lxzg654ZW11bDRlE3fISUeq5Fqs6Q/uBKYFDI5WqI+dyWfu
uDaCNkcdMcMg5azbYX+j6dxROyyhGDuZmZTR0j6zh4aylhvLuBi6bZ7zaNOlsRsgIeD7s3tZWddu
IdJ8mMpHw46mik07iJwKokxG5una6MWG6vlAt1Kbdpem5rZME0kPzNr7CL1k2AyOJmh0dAtGmao1
LbMWTdBTBigtszOvm/FZ76yr0LjS0QKE/3W0RlNiocW9IR8JN/SxaSbmnxhgR4S7T8PUHJUQY7ZG
iKxS2N76UfMlR5Ig4/pON5CxnXMnK+ITqYYrc/btaGj+wPxYFjqykVJTiSWaO22Ko0ljmMO1puo4
VOyvLNadMun3rJJVh1a1B5lrNC3jaNHy9Vl7oJNJoRqYbsjnyRut4ZqhObCfjBOXxt4rpFCNAV4Q
R3M+nvXCeeZtDlT+CY3mPH/CQj6n7ka3yhn6BR4v6+kqIbwEEQgB4gtTbJ950tTSyCuGE6zUk8GN
mzz7kU9HxWT//tFpEEwaAEhEVZHnELJzRsMTpMUwRUEVcgjQ1piRBqjXElu8YiQ/URGykBUd/4+0
72puG1na/kWoQg63g0AwixIlS7pByZaFnDN+/fdA5/2OySGWU96z3out8hYbPdNpOjwd1HqHyYkC
aatIO4UKMKDzfxGyXlGhrIg0NQH2BuNyuo47dujJVLknkWvmAmHWhJanNeb9S1rSM1CcYX2Mbx9A
3VIx9r0SFvMEj6a2JFET04hPqvIyqvDohZ1jV1rud6Tkf/iAmcOAzvr+ByydK4QDKX3kraHvlOTn
RsZ1fc5Dz+WBFOkXHhr/BvxHuaRBPTdrFZURsQWNVC4ISuOSLhMlZdR4FhlBjV9GFgA+h+7vCJME
tcgCYDaR+KVlSEVUp8hgNVss6ZTIA8BER2kcJXLqtNqp5LsyT/LdFMr5qh3Vgnip9LvgyyMQtSqG
p1mkJvACUA5QQQS5aw1uI3lQjFjHbIg/rSuxIX5ZPrVSYGUZa/PJ/OHUW00BdAhMLbpjMCFKCT6v
ALQxlP18FxjP2Mw9petI3Wq9K0WMoHzpmkT4MWRrkEIy6FGUkheLQvW4bKeWuZ15zQb54X3cSY9/
L9aXZChzMUSqgYJsnO/qCS+lFdZ/GD1jnmTWzJsju+CEOjJRrwcgnUf5ru8SInRfbVn+q7MCepmO
Thm8AGf5uIif2jrgc60FE2r5AgKq8cx3X/fPaSG6mGfB/0uCEmhtaPQpxCTsTsAAMgnHriJGM6E9
wY7DYasNssWVxZZL1Zf7dJcifuR8MSMkoLSiIDV0zRtA4v2m0RSAbOSVtDKKtFgVodSS0GuAg8/r
ML0ItFbDICovvaRhBLnQzDiLJFuPNHmN0mdk8sUI0Mr7H7akcxjF1tD1jUlHNJtT31X1QW8ga7sT
y3GlGBoeI5MzSvt8YuXFlrq/sZsGGHhzWAcXPavKxfUOQlfjQQBVECJlPeqlM8VrqdRtrTdMvTF5
lFL70HCB9GP6D0ajOJ7WW2MePvT6YIrVkyqzmqWWRBrABBomQAAPgGzq9RdVI9Aj/DDPd1mplESv
ZN8MZK9j+LwlE3BJhVKcqu/FvJMgc8NQV7CflWKKAZAgdW8snPu3uehe4V8xRChhIzYyNdccSXku
hsKU5UgGfWnYwNGjzawI5yJlzwPBaFsI7iBusRnSLAxtrZbDvzDh6M3TZ8gzDJp8j+Rf3HHhp5Ga
ZlWO0uVmFDfpe10UhKHDS+eJd52Gp4iEfU50nmPsM6B8tyVureasMFlNlWcFA+MZwiJCXZoypICO
0MBIjvY2xF869u+JLHC9RSJINsAVAbYTb5Dr2zJ4r5YSbQCR4IScgFlW+6zr/8WVoB8GTaCoNuG8
KMtj9OmUI+QpMJBf50RL9kUX/RYVTCQm/yZcQIeUKmOGVdJRMLjmp44AQ9c0ZbGLqnoVZdzPUfwl
pOEWyntfzhfcNzyELEGtUEXD/tZrQmPEh8BdanKg5DQeMQrO4Rp/o2t4WkS9paQ/7pNbuKcrcrMd
uZBqrfFS5MHqfKe3I/HyDyFGnSkv/95OYCL3u9CkI7Cj22e9IS35wOMh1+gJzpp65buhEjO8+FJ7
g6pjhnG+HxkTkzOvF7x4fACJHopiV3P6qjfkh8B/Ltpwr2J8daoLK88/0EprZlFFag/bZzLOjJOG
oV0LhhflNKDIfqOIosHj+iMwSJElYVsXOz0v1nlVbTIW9O6ChGDADzlxtHbO1ohSLVQt2qSNkmJX
1QopvUMgr3w/I1IaEG9gubYFdpCsRliBOpmk6fQAiKb6ma4lY4HUiCBNFqS/fFeCAE+2+3K4xBSq
6gruDkRuerp7ufWmaRRhL4wGq4FKMVurfRY5XSYLxCsw56dPgcwQywXmEIujwgTuAJxNw/KnqPv1
HUDadkpS2PHUYmdKJP6L0XccnYyrmscjJfpZ1ghYy2IMRoEJDENfNQUXb8LA4DZyPtQMDVg4xPmW
VHEeptEUGic3q/gWSV3US0L8Dw62S0sbuWxDok6q5GRZaBAtbyRG0mDpEEEQWTQNxSHgqV4L/NAY
LZd6WblLvOqDC+YWdcNb3ZeOBSuFpnsMvCNTh8lHGg4x9BS+GgK53AX1Xgf0RmVgUQLGP/6eCnJk
+neDJbqkKNWNFS/Kci2qdhLQc7XpGSXhirP/NxqU8kb+INZSFFe7JJfMVYn5PyFmtGEsXQg6B/Cq
RbRkqHQGrOlGsdb7sIJXjFx9qn6n0b8Z4gZUE2bC0CaHO6EfmVIjKFUrFRUmmdWVr3GWUPp223ru
/dOaZef6YQYm+DnLLeNpAUDja9nK8qqegOSJR7rq7yr5XRUqUmE3aheyADdZlGbVuvAdTVQk8O5B
jtGLJy16Sz3M2KnHmHu7z9Dt3YAh2AFcDR5rN3dTR5rajFIH7/5TGEnDepKzfp5KMxTAdfJbREQ7
LtYsRbOyWGXoCIsCFXLJpRr6QQsGervGjqL7p3Or5niqAO8e4RWcDtByry8BDQtjU6j4/MpbaUZG
muZFDxg2cpEGcrXIGkgQLLqLmy8zJIZ9DTdQnfTwBdDFvPh8n42lM4IN+S8JOsAWq9ovBxVSq48k
614AQHefwK2wAoUKBndWCzhMWi2wNicYE1nId3E9VCRQ+XZXCQWq8kURmQPXTww/+R1SXOvhNUFK
O4qhx1gSoGh2VWfq46oorPq5K+3Kd7hNmO2FjiEILAYpOfazTB541Ct3au5Jpi6X3npIubeMR2Oq
VKUVw2LOQnvLHlAgMMOtIcSfL/RC+VOPC7JWmsAeJ/VW1mDUSkYcIPSVLXafpdRYg5BzxBt7hn27
ddjzuaLBhUd4pWB8/Jpw502hJnl4JaFtJy2cNPMt7ATw6sAM49N9mVnica4fzJjqGKCi0c4xOha1
mYgAy9CqXQr0Oy3feNjdoKeO6EUk1zWisoK6W0XAdCEgheAl4LRVekVcHucSghy+3knS72aG2Ga0
Ui8c39XvU8eXiZHWxxJ+vx9CJB4OHon8Yx6SWGcc3oI8wtHh2BCBoFeMhoKYIToNaRJrBPWffXKA
LCiYyUuZiaRFhmYyANdGnEPvPknTWtGmwat3gaq4hQZclHPL5eZUdptEYdQF58OhhB4uHIQQKOCt
RLeh5yNezyIfNvCtIckBayMHeE283Ze6RSLYQzLnPWesFyqkqnJu8nUZRHycVx69dK2T1C/3aSxI
tq5f0KBCKg5777PWTxoAyvCmnkSbEs2tA9ZEjCFvB8VvqY/J0Igh48WyKNy6hpAXsRY0ixK+qpM9
dRzTBugjj1l26ntWznhR6PCalfDzyOTR25cSPccwXV43O758SAYPOZrBgkUaRNG+f4ALnKA+rKEs
O2cKpRtOspKXxn5odyEgHGypL7t13YQGy4nM3psSOPTV4M2Kyjc6oGiv1XBN4Bmt3O7GbDITI3nJ
A33fCYLTxw1R0/5xbNNHeco2SrhS442gv6jd+31Ob0UFbVdo75nRaPHuow09/CMqm6rUATvFy+wA
nQVOxInICou9RyoxTuzAR2keq03WyjCm6/vUby8U1JE4VLDUArkkWrubAmFhU+rdDgN3ZmdMJOFX
cO+kUBlPslszck2I8mdCp2ee72ndLo7cLHH6wukx2uPvOZV1p7P+Xt8pKu1wXKg2AqsYQfq1A6tD
r9Jrtet3TR+VMUC8k3LDS5luZwDONcMJCJaGkXomus8rUgy+4HB8na/un+utkcFHYJoGD168RlA3
vP6IUEjVqIEE79LJswYfCBLRQLhKZij8wvUhL4vuHigKioZ0AnrwvGxUesAx6r0dPdT+PCq5C4qM
QeZWRue3OwBAsTUCjx9l/oyLYKRG7STR4gqogkrJbwupnfYBh1knqUs+Gg2o3OrI166cjE9oRJcY
AQm9GBGJWsC0YjoHEHNoCtdoJoupm/Qh14SdAuCiUcYyrOlcJPvks4+seGtMj6MYEb4zvdZR4k3z
iB9ajd65+8rkp9hb82posjDYbs9dn8eYgbKIuURk/ucDuziQVMwUTBQH4i4c6sIeK77STkYWdaWp
BEqOwbwCFR2GSVwYVAK4HoB85oEJXDVdHu5aMemaZMI6I60jEkbPUgOLKDWdANSUyKVh5Ylmj1Nk
V+rfm2MUbbEzBKOHSIRhSu+aX1+IkrxOBGEnpRy24MWqsqvDpjzfV5qFU0UzEDq58HwAtimdKyqT
qkP/u49TzUJhzXdqxZEc43iklfDQ7gFFwDBKt1oKH4Z4EE1kM/YonQcro2nQNSy63WG6UgRknwos
rZ9JpVTpPhryUGdI8sKbBdUv4xsvDBX+m/JfXqGuEeW1sONVKy1NWcM2N1JIFuDzseDNOKQYwxn+
2sJf06RCET7ylKrXc+EbDKPoH1orV0oTGOT3727BRAAlFlKJXjyglOjitYTEJR4VyPQJOy2Vu8qc
lEZIzSSvMrxbkrjMTfTrYm+IXjST5QcTRtBSDtCN9z/i1skg9v7P8AgwIG5wnbG4TOcGrsNHcIK4
Qo5JtwZgnjlCVGlrZQqdvpVDhlou0ZxjcICyIX+Catw14wDKnwbA6wm7YdR3oxrsR1QASS4ZFVZ9
8DvfiBhMLp00ujVQ8NPQPgeIu2uCCSfVcgMsw12W9b+CAMOKQJsUU7RYAnbSzaLY5PKalHHFkN4F
ZYEXgPrDu6INhu7XFapArMIBNg9dgpytD33zkYupYTZR3Y0MJ75gCQDgASeO+R/0yNLo6EaaItDE
NgNgPPmPTYcx9ri0WxVYRIhN7svMbaQJr4b6KdIumCO4Ac2Ne66oOgDCYROAHHyUatU5IlfxjMNb
poJEMZo6ofd0X56vYP2zAAu0Q191SNKxaN246Fmd4ktXhNc7fghigcLgfKwXbqnvm7xPtEja6Uk6
7Xip/ZIDvzFLdFIyrMoypXlUGK23KI3MWnFBqYCmxVGcSDsvUX4OvfI0Ks2B67zf9y9nkQy8PoIP
hOjATLsmg3I0yqdJKqHRRgSAz+Abqzlb4hYlPzGScLMLuw4bsWcROMDAcsEasRvxngJe4WpfFYEJ
n2zQGGVK5Y+y4s20e5A4boV//5o1VORgNQRMLWkyzVqpaWLQohF/1w5v2ZQQA8NtIgs25lbsUIWG
xKEDE7lLjd4pzctJqAAgXAWIsowR9WJ8i9QhZhikRSLouEKhZV5loFMGKQ8ryPPgg4hct7xVljnK
fr1e6OG/IQRwcCi5gmoSPRJjtHGRZ0qpzuCapSlmKeIef8qaz7+9GVw/6qVYdQKzjrm/a6Hjp0qO
sORTxULUOuXt2tC60u1GhECkzUohevx7cpA7HrU4VEbwsL4m1zZeBUy3QNslWtWSTuue5EB31b+H
6kDfzX+Cj3laVKLITG3ZA4Q61HYBV+5mKgBh++v0jYFeT2TWsK0HTQk0vI+RpGqecL6265rwGY8W
D1U+7bNMdNYk3q17mAkBtfY7SQmjfX1kcoTyr6fHGoqK73XMnXOsOEplJxRYCYIlQgrq2fAMMrZN
0RtSq77lvSIAhLOaG6bfA6HXx1g7D2Rn1vXcp3Sz6rNHiybf8rgewGbZYvMu6YXVt0DD1Fm+9TZg
QaDyX56wAPL68IKmNPAgBSXJ2wt5dQAWU8HVB8Ev8UhlZEOXuYJRwKo9wHXTb/G+hBpPJc5PjMLA
zHwxcKoifMjTPNtmes1Q3AVDhOYy9FmgyxRtPjRnLYDb25TvETUEqMwTTvBfNHQ6/7qvr4tU5koZ
ekcQgdFT12EsKl4mliKQiaKiJJkkVisBwd9fuz7AxH+3beP4EFtSMl4WQuMXKQDiGy1JrMjA2E7C
8ZJZqsJg/wuOMAIC6BXMgaDX/loi8lAUsr5uENnJYWcCI7gD/oemMyoai+f2vfwZ5gEGfP77i5AB
sLuTrgcdoC6i1HjEhGXkqFmgW/d5uZFuIPfCaGOATeORQKQ7LLkeQHw+QI92beqTypMfsTDOqiW4
c01+kvKacXQ0Ph6qCLMMwFmj2RITVnQbACr3cZV0gniOibXfd+uS/Fyf16S0SEHeDoppupx1YvBI
ZwJuiM5pzYuj5CShMMQcRIN1Y1nhpvrauNvP+wdJqe4NDeq6BnSnREjGiGfr/QcjGKb7Jm9+mwrr
hEYLYy/Bbzv7YX301xHZmK5nM8jQiaMbMpQKdZzo1QYa7c8ve4Xk5DiQ9erXw46YB/fJtRjn9e2n
LwLIG2pUSNx4U1Vp86VsrVfBed/3j8f146+Vza0OjQnoL5MlBt/+9B7FOaS9EIMReZi4nI/R2gtO
tZ6s98Bcr9ekcG2Skc6WzOeIPH0ZawardB7jhlXKYEwyP8Z8NRMGVPOPCULeu0zuZj/0z9zdaLKn
/n/utsC9IpZzJoO7jqzHh18/Rsc0ubdP677EL98gunjnJfXIhqtUiISW+3aqVE48vzbW3qnJ8TGw
Hle/iF0QwfTI5mS9cA6D5iKXFzQpVW7RX+t5kSeeszU/rQ7j7k0nBzu36uPG7MnTE0+e3Jf7NOnW
8P9c3wVNSrXDpB8kA5m2sxWs0Z9qTkT+FDb5J4TF9a3TiTX+sWyvLghS+u71LQ59MsRzb/oyES3L
9czPiJEzmH/kRl4uiFDaHvlSP1etxLNs8g/e4/96aJR6a7maRXg0iOfCgjTGk92dh59jtHOTlfts
Vs+nxGSRpJ6kN/dE6bfUp1zYIDQ4j2aeILP/+ss0s722Prkb9FU4J6Y0Us7zhiCl17HRIskT+tLZ
Uj/drxeBkTSgsV3o36e72bRprGQ+hOBt9xypzRx/Vm+itQmIa7HE4Xt+6Y483IwbxD6vdBO0Gbsd
zX1K9sfj8bx+VNe/Hx6IaX98gOymJ9YnKxW67Hf+SCLdiRZwQS1xAihvXwdrH5jOev1Adjp5803T
/GRICQ2OeHOolAUR6rYeFB6XFuy21vt7bfpkIA/qedWMxHRPn/5P5tEyjBbdRFFVmHzoeBUMbh34
1e4psepVYKEMI3yNpN+68dNIfCtaMZ0CQ8np7pRKz6UEbffiuXFe9vvgYR+7juOT9aNsrXbaamcK
pmhVpvt5um8zGZpBD0v5QMjL4xSq+PMcEp+wOrSZl0hZF7QjVEk2u569NViOM5HH1QOxbXvz9MWM
VJbDrwv5pOyKpqehn/WQmO17fcJiwgfLt1xGjPAPSoAoEfknA5PPlM2fwkiIJCGWwNG7k1gThHL9
AF+6iUhhntzTSSL3r4ge+vo/RfhDkXIAGJIfhHGmuE3W791azkwEXt1+JO6JBarwD6HCH1rUfVVh
6w8C4EXPKXmx3gXr7DzCsvxaETOxn59Op0/GcX53yN5asz8EqTvzZCHzSzWCabZ+to/HCbDiFlbd
m+VAJrLG5h6yI4P9Eb5u3Cc/IF8BSU7z08OdHmICH8V42C+7pj+fQ3kKoy9kIa7BvxW7Y0/Sdfpk
sfY//YOc/pcIPfvdlJmXdg14zmO3+KFUDnGfN+5LS/43Zr5F+SKO1sVWa6YczCg/47PpmS1RGKEl
PQdCy+a3PF2QKOQK29fTQDq/WEc1sntrs7F64nY9YQjKcmwO4JL/0zsaVTJNsmAqMMl4loiCP6+9
jTeW0FsWw+8wb0e+fn10WdZEQQFCW+4pePJa2yOu/3QKebJlkPoHV/6HJ8qWFANg7sNoFv79Kxam
k9EEWzl55+339DnZ+udTgWDZNJPDm/kUMaZnvhMTd1SPzsT0rZ56fB3OqvfqvDvr87ctWxFi49n6
DH+HPyx5WfZzfzim7Eun+fWkzTRb80Xd1LJ12CBc4R62ny4zXKEaZm5kkzIt+diWUVxANrfb0dw7
HHGc9aojKxsPyA0eyvfNNMNy0Hsd+7Ivx8gANSvwiHBqXtwvFkcs0ZRmji+0DY0sQJzhZ46wemCz
n/vCz8UWA3iZzLIdTFpzrHRJK0f9dxBmzd47KjC4Tdhfhzuz3lAsf0rn78fGUwv1+5ZeR1Nd7d9/
kjN5+PH21lsfeIAzbonJFhVVAkMEMHTxLPQCQjwdb0MztBLTYsRV34XCO8olUVakNYIk478dyeu+
WL//5Aje+AjoiGaviE4+IvIcIGAYCUIGhtlfjOmQ1FeAgDBPeFEsKphOkyQ5l/BAqO3pZG0Zvz/7
wBvWLn6fYk3FEswUuOgIzA28QJDKbwj/Oa5ZN7WovhdkKOMowwZ7yszGC4JhbX+w58f1fZ1dfrhd
0KBCq04PvTo2wEpKGgdGYu+EpNvqoRWfo32wKqyB0ZnDpEgZwCH2PT9Ls/lyxFVjvRoEM9yDiReN
y3Ivy4HjBXeUAQzbRsNmvVQ6V05lzTc17KrEen5yT1+srOr3UO49oaACJ33y016WcZIt6FhOYKk7
G+p7YjHFED66SiHKvDzJKniKMBhxfvrqif+TIRQMwfuORC4tX5FpfZGCxMteNsvnjiSYqdYdpjWf
9eTOkX2bqgs6YlxiC7QPOuNq+6qu3tMNN5Ds4Lol69CWg6c/kkD3uBh6leaegtvZ7yM0wdqIKnpS
wuUy836sw6OMQ+JxJeBsQam0X62j4wzkMdv+SoiNCNfcvuTu/ctadh8XnFFWAhuJsGS0wCFKJCWv
SG+uHx8186EhD7s3NzF1k3ltc7b03rVRNiMup6Hx0LtxDl9UbjWYtuuejHP6A+18jJcfkznKWOSJ
70eY7Z+NBSJejYC79epRnqswtrmBxWB4rW9ghXu8URajzL1w5FQQxAq69+3+6KwbMh3qX6b7dTr9
i5NEswMKZuhPmcuo9Duo8wz08MkNwpkZ5tjRiHwKSqsTNxgo0H/cF5TvYt81a9fEqHimxxBBJ8Ql
tHr7ivQVEjvr1co4oWaCfxgeciETfU1slqEL1Ta4rgTo+EwMKU4y7bA/KrDWxD7U7VwSYpGbRe4e
b5THL2u56qYe5LCAvbFGU9yUBKjBlrbfYVjnrAx4w5gM/8yiSSm6L2djHIWVdEbHXprZOWbHe/4J
3bqMe7uNZq6PklLwIAvTZBDAm/WKlxFAXkK7Hp1NZj+57sQxw95b+3VNjtJuIeIMoW/B1vZ1z6sk
++B3ULT7PN36sGsalFpnVRf6PabgzmVvOa+BKT/wWBZlmvepLLj/azKUMo/VkOsAH5FQndjyQAGy
c5+k5niUW7MVEHCwpHCWsntSSIUAmh41KleDniUd99U55si0Rz6MaaUYkke/gsYJLbKV+H1F6e/q
mSVw87HcYYNukyoQYkxqiduJR/IKIYACI3L69dpZsp0GjxqDHkO+6fcPZxjiVMyntn8JPwKnf8hY
Rp1xLxJlHTo/rjGxCobG0+s2Osu9pXJO8lIgsbBlSPZCeHslc/Szh1NCLZ100HrZWxzZE2/dmXhi
PfWElTJfKL5dk6IMgxaIjap7ODh07kcNaR8C0GFlgxbyk9dUKHsQpLnc5DqovOxf25f30TbIVGxa
q1Lnh+OTbarkLSHkwL1t91vuuN9aZnlE3RiVn//VX9JoA2qYA958mAU/VEm7+g3gKwRWLrsPgyUx
lOWI+URvpxGOuTdRE+yjtWYC0ytTiWVaDPFn2EKJMhqtEPl143fIUZKtVXQEvea/4ieWaWIomTxb
/Qt/PNUAQOz7WSwVsrf0lUHe349nslphbXRAXhiGd5a8OxZEpkKNrPKCGLiG0vl18G2FVDvLID5Q
NGzl1AV7dt1DZtCjoo1azCsxADgYShLHoNzsUE3VTEt4MKyWlcBbKBBc6QM9WMeXYs0n80nCqXjv
CLlz4hzXKOv463C9Q28Q01uy/BgNyaq1XuOXPdizYI6Pe5Lu+7XJDH1ZIkKZE78uda+ZQKU1+006
EiS9mpQQ7llZwVKi0MAyy4xIg25qr8fRADY5pGQ6vuinEqWqlpkKWnj4XV8XFWpUQd54fV/PAf2r
NSHjNVjeah8H9n2RZx0eZTAmLGdsemO2kimZthnj11mm/mYsrQgqvuvARfqSq0TfhIVZ62sZs9SO
8WawfBjjYmgE5ayuRyD6f59ZZ/EvhiN+tiIR3dplFZxZok2D0EV6AhgjCaSsPYJbwXL4fe2Ub/Bk
rKTgQrb/ShJopNd2rEJ004OUip6BVxWIlfhzRJWrJmt/wz9VmT2sSqjvF/M5xDIadIN7mam1NBbw
JxLKHHtHtNHPFeJFlO4121i1HTFF8my2ZmFle4YxZvgXep2GmMVtnM6uLGlseTLPnJnoljKxXkPM
m6TMh+AhJG0r0BlnRQssPL8SBzlLhFgMjhZSbdc3SYUkQj2NqTQUEjp2XvYYoW4flcP0jmSbj9Ib
M+G2UOK7JkeZELHD5Fk5P8DQFLEvfupkDua2zCr3/NV3nCY9go/p/zTlFZDpzZdX7ehYot23NopR
k227jWLeN1gLmY5rrqi4oxLzMVbnJ/OLIiC+304F4Ve9CfQRGxNmJomI62qWziI7u/47XNJAvn4i
p8CMmg8TW5YKzzR5EltfvsOKjpcNMnDxMP+JOgDdLhznQ1T18YjguDWxOYA7ybXJCqqWeflDgwpz
OkNoR+xwnI3XdvhhI8VBvlh1lH9I2/whQsU2pZ5Ww+SByOvcBVqb69RE09EBHUebbOX+y/fLH3LU
W0mLe2CcjIgCtvvXfbo3a8t8QhqRcXSzMbiVgj9U5oDuIhxV1UxSJywAPr8UPAH8FctCzIdy7/cp
Y9Q1oh4LFX4/Ji97yRIOB7zBXGaH1rLK/mGDMkRl3g3eMHwLQP1hONN27+AfNJk2n4aZHcqQ9Dtz
dOHNdMf8ip4ZKrzsp/+QpwzTqKWeXLUg7xwddEDbmABmhAILncizlfhDgoprwqxUA1mZOXyFg0Yj
8vF8RtObv7LRBI+20s2XYX0xhGPZ4ALpZMbN+F7wdy0dXCz3AHme8CQKSLSLD8kb/1s+tuvMxj5g
7ylymf2LCyeJIRYsUZkh7AB2SbE5KKnhe93En0evnrCXS/Lf/LjBovmo4FHjm0Jxl+vG6IaGiGV0
GAU9IEb6yykrlOuxEwoD8so8FIlN95Smo09MUDhO5M9FfYoSn0iZrec/7svMwktpbiEBJAqGKOb9
pNdHq4XeyOd1KZ6H+KwKKgmBQ3mfwvfoD6V7IDEPBv1nWIxiQ1cwYSCWlYiwPiavyRpZ+3e/Mo8J
aoz+4bgWto+cucrc3Q+V9FZBwKnotLt6d7Cfu9UTQ5gWGQbGMTbJzbBXNBh+DCBnJWsLNA8HSBlI
paXULKyOpXhE4QFXAygLbHECMMj1oSYp5p39xkd015ivwC0NiKGRviBxT5Co3aCHfogs9eAxTnrB
iAL4bcbulSQNcOiUB/d10ZfbSgRZWSJ553YDUPKYEfosEdR1AkYQQNHAbsISXbrtCDNDiV/mBizA
sXzvfng7brP5Ar6/8mDdF5wltb+iRDmFWOn9qQhAqXK2GonOhh0LVmy525boZuXcp7b0HMCEiGJg
UcK8hoTecJ4npYwAAZYtJjHZl5ndiWTykRiR0CXz2JkyJi3q6cDtB5V0q2eUuCyGaC4VSdCxws8w
FTP+Fn2Boz8MlexxCJk34uHn4DYhCV0E6Bq/Stdm6GSmNR1ZMHALDSA6qGLBizBjaQL85VpaI4Vv
ppFP5bNUrSPDbXvV5AHuZ0aPxcpQd+1othpgB8j98156iOOsMf0FWcVsIj2LxvfAhdA8wTgjMW53
W3FdrgMi/jixbPl3nxElsPOY7wwvBUQbzLFf85dykZoNpQRC1jiaVvnBz/0F1UtCjuraR1MlR9KP
Dv8l7YXA/IFNyaUlbXiCdlLg0gkPLB+6FGlffRBlHiLByJqEE41zbfuHfeKEm9p8912OaIckId0h
svOAnFidifOv3jsGyjp4feApPqbUz0lIjMd4B0V6cu/f6UKMfcEYUKKvT1poAZyYAJv6PHZWFgBD
fjts5XWosKK5hTDrig4lsXpr1LXgg842Wrf2aJhd7xgHmdRn004yCwP9ZIO1xveZW3g3XxGl3FjU
yKnfYsT/DJqTDUCejrdy76MZ0EeqnO/TYojIDRhp5seKXBbqLLPipv+QrL4mkZOaikoOG8m01dfc
YqZp70uIylP2NugTLppSHKtVrTl7MA+Z6TNs+oIyYjkQBu6BmaUAaZ6eouTqmkvy3jPOkiWRbIVd
PoM1rSbTf+aOzbr7oazq5wgvT4Voyt6PsbDUiWPTR4FuPT0W7wmpGhInZ19ZsRAobrkHqCmPpTVA
PuLBPCVUfDP4KabzvfNUWmqNYdx0ncsGNrKgTThJHI0FZnsrT6CHbRJA75ihpVTqrTBkPBaTlLF3
fuXt8zkwUbl4ZTlrdb6ya6W/JkLZPhUtn0ZRgcjL6/G342x1c4tclyNYQkdSN1/tHWu7xxjCcY2Z
Vt8Njg9vm40dHD4Oh4O0SR/wGj8B/ZxsNqFjbjZP5gcrefNdzrv3ifO9XDz9/HDyVU/BJ1rosP/5
00D2vLNytDPvS3JeHTZompo2G8GcbBetAtgkwnJEs+LefADQLAzgGKBFkPa6U+grYlV5HqqBk4Nd
woo7uf1bMZLEzY/cG6uHZfFK/pCjEx4pQMbiqTK8s6wXZqS+KiUDnGEh/MSlX1CgJNkvJaDDdKBQ
Odk6rMl7SXi73JSmYQYH/60gw0tligzb/90cTR8j8E2w1BqwZTwO8/oew7LQhyzP5HkqNiclkc1j
SJxHskLf0Q7i9IyOGZbwLEzTIIZALDoDkgD75Lv6eik8deJFddjLZzwqBAsNpWjPKS3vePjoSW63
toZY7unjvnH+LtlSnF4RpTQXs+yeIDcgWlnQmppgLCn87VlrZ/+6/TSsz8/ctfrOLXOozSYzzZOK
tVEFOf29G7xmnlJu7HPuuKbEd8hIBDn5JrHCk3/yHtZkfM1s9Yf8kzvfZ33BRl5xTumqyOvKGJWt
fM5C8l5IRF0DhZkVBS/o4xURKlDxI7FOcgVELOP4rv5+BGTOsEIR7XSfl9tg5er06F6roM60oRI7
+ayvguPjg7ThPu8TYAknPW0yhoXm8QYoTEf+vUEiSLIwUbBeEdnaDZv+NSHmc8+wZgsTFGBLxaYH
AIcBGoGe2IvHFLC3yYjTw6g4Zhh8+1zvz4SbhwW3jyvNXJmK+cRvRxJm5OskrRlMLx7rBX0q08bJ
A/ZmK8OsHCkaEOcqjlOaZwQv+3VsPvyYZ6wPz0/BJrCRNWfc6UJy9Jp7SjURoWVhhH3k5+41/FA3
0MzBRcMljLr98GOXrw8AaghYbQhLpu/qzClFxFsffz2f+TyAajlHxT2vVQ5zcI+abaOpZPM1/pxP
3LcsZhVrUVsuzptSSWmsVaQzQBvtGD5KgS/J05pMJ9tOHz7kXYQUtGn8P9K+a7lxZNn2ixABb16r
YAiCRpRIuReEpG7Be4+vvwu6N86QEA6x99yJno6e6QglqiorK83Klf8GD3G7z7M7ismnrTJirBtC
GDPVzzB+lggI5puyps8LMTEkIQWHQafIqIAm6/ZZkbUgTD2Vw4ni+nxyjm3FZAciAgP1iEAfyBr6
aIHn41bglP+4elKywFNqboRAR9+/oxQIHXpU9UdZtwAx5SeflSIBsVrtWTStV+uc3IZrsYArANwP
scCX7HOTE+34wO/+KGfnFL9PTU9rBZElx+tmZ2c3VRmTTNF6SGyoo5vRprDaTf+SUe3xL9BDVo1K
08flUu4j7LJmn6SjYqtGbIiHFYO/fH2ulj67tHztS5yf4EMiIF72ZmuDbxqNIVaw2+2EbU62mQ5k
Efsf1GGXXKWbPZjd3AJT1TgpgujCeAaeDX0VmVUOcHjZzWm1/2rB478RNruqoiu0fVux0zrDhzY9
NxmVFFKyRiQf5WglXF3Int3q8eyK8ozAZHk+SRtpm8IOsk9v2wowx9NUFdXvm/21jZxzrYMMl/Ew
Ixu3Zo/wQiUtKmzo6Jn6ecAYsmLmF2DgN2ubE9GpJSYeCyWMnrovtmB5IcRCNxGa2dB2TFMj0JWV
Z20BcHErcWaGMj+KgqiGRAkFpHfTiuzNyg4uPpz/3AJ1ZneqsU7UuIOEXDelDWb0HgzjsEW4A89n
Ldm5/E5eCZtZm0CQSkFKcVytrm4rwlP9/OMfPKi6xVjxJjEZndHXZhwtOydXYmcmx9eSkOciiE2I
s9+jmQT+kGmrOiFfZNfpCPW2G8/8s1lrxlkzMerMxMQYHxUPGQQ/vzpwSUyTg4XJLoxBrK+dgahy
+8ToKY1pSNd0dTq3X9HC1ZpnJias46oTO4jOiP8gU46gYwGPyQ4wSePDoE9I9Z3UfxECXpua+cCN
ZFBD5LIhlJ1aqnC254Q+2pZrWgceqKoV1V1b4szUhH4Ua2IDU+M4ckdLFIinSvS/aY+4uYTzqRG1
VKqRD2L9s//mP/F/ZNRQmbeOOKc1Rf2BP945tDn1bq9xjMxGAvTF30nH6IDe6n3zXO44/dOe5juQ
x0e8j7sDj1b8g0zgzu8MxXoDj38wMX9En/9/OzxPm4Vex43NdF95gyM4ThJRa4euXd8QH++LWoAm
3W7yzA7VqcTJfYNNxg1lCPth2j0hJKBQ10tvoUfz9L12RX5XW29FzqxRC7xXzKYSYpbcjI/gl2Vt
4Bk2lNE1vXOewLvj6dobs6vWihA/SMl75zwzSGHoSWVcY7GYPKljUjqtGf3RRHKysQqXAN8L3PJU
DwJKFvfI0Z2nzRN9e3uBazLStwMgRvd3fwEufrsVM0OFMXOln7N4BeR9YXwyiFxszmoNiuxJQ/7c
F7bmAc4rIyqbV/5QYd+jbzCeGki4meDCsgOLSwj/9Ta1Kyo7JDP0Df1APhiG8v4HTLt7b/dnDpHs
R006hCIe1c+vaG2UwUKB6XYrZ1apEjKh8zqcbYhrS8DPZhw+jPsLWAkWMDHh1mvvxzro2RGWT/Ic
syARxmo8+BRtJQzKhgzpGgtBWP0YEqPQNixJLytXZ9qhXzsI9kOZRYEdDJXcrXzWbbwgxOCTs5Pu
pE/xC6xRKxIW3ZIrCTPHpxyEGpgASIj8E5/s2kYfGCox5Pn+Ti47kFdyZmYHjNKKL4zQRZai/mhY
Dy8vHJ3Al/BV1wL2ZdW4EjYzOEmNec5TuHWuNVLmR/W7TS4Y70z61KjOg9MAULvGPj5d3HsnNbM0
mjq0acVhH4Pv1wrjZ5htszYoajlWvlrWzHiUfli5XKKikkteJxqsib/i8XKZSJJWjmtN72ZODdvX
nlwN2EAnSPXREfVR1fVVL3VN92b2IeWjENNwlMldfEWvUc+S+LM3QI8R6N/dRgOZ0fMqHnFZpoKM
CkYBiuqctYINNTxFoi+hZ0uPjzCEeIi+OwdBzObPasF/ujy/leJ/hM0bt0qpZbIuCiVEFfpejzHg
Q1cJBXfFqqTFJxZzBP7fsuY9XIU6cLznBRKiCzQiaSR7XeVxXI44r2TMTMVQYoS1xLs/KYz31icA
T1g82YKcKLZW9G8BtADjfiVrZi6yEaNtBxeytM1eF4DLMnm7N5K3Q7PWKi4s39x/tm5mLAAJwYwq
noEFxCFNpan3474xcluvqHl+fHy0NJobO2v31uwOYLHYfn+DIXC1z2Q5Ar1a8cyA9Jrre24JxdTM
dOoid22zsXlnDUS4gPC73dmZEYkCsWlC18MFcFodTNEI0CaWjtRBPgi1oy19SunppK8RbS17Plfr
m5kUrmtjVxiwvufX/atiNvvxdLhM6kNXo6Ml6zXBfDArmxXBZz870bZpC8HtYulcbVEOzTDUCOkR
5jmwxVc4WnA2/zj6/edt+onzi44JHhihwCM3Ks6ZDTy2yMsyEaSzKGeYpRaQfg3GM3kzcwkYcwiU
IOpvIJifqYeUem6msNOaSM6RktAP7u/aG7bo7lwLmelG2/gxo7aZhP50or9XH9GBpa9O8r1/xXhn
Aakefdj9B/S3S2byWuxMNUQxk918nMTua90Ppsb/Cl3P7rkmlW6BDMqo6RZK+ef+oS1mSa7lzt4f
MWtGphuSyWgqWO8PWRI4JXfGBbx2a07JklJeC5u5q2ym1nWZ5NJ5bKhaHBJ3O374saXpa4wUizft
H0m/nNa6kloXwzixna/AQgsv0W7bXsA+uLaixTTdtaCZd9omkeQ3k6AIlSAwCJvIp4Pd13pAFwNv
SutcRtMP/N8vAXB8+PurJHooqrXYTAcWETARAuVNv/+ss1CsbuDs8cEA8DauELBCTKm/qpaCcrcC
GFfu+I9eSHR9bSd/mj7vLWxmscbQayQBs8jOyNW/7iWkql+ZDVuQUdPlL6pvnieu2mGLf60TOm0v
l60x0pc0Biibgt5m7XsWn/rrk51ZG0Eo+nYQ8D2oOpmJkVn9Y2tshG41LFg6UczEBW8TKkAYcTI7
0RJ8cE2fdBDEpGSvvfKgkzU91Aee1i77kuN3LWl2qGLLqFrYQNL4BPeZialCNLOFpQEMFOZ0SmQT
KNOKiVm69ddSZwer8UOi9EUvnUONDJGeWGyN1Nn4gHrPxIbFI/v7Z63eMv3MuTJhzoUKYLIEXvc5
0qnFqPS6HCTp/PrKgW4pA+CRcMQ3JU3PN0Wpu8SQkIk90WaTuOALHayVRa99wOxQMbwUbiIvSmfg
Md0PzB7mz+2G9amXfIgsBb42QyfBUFhCsCJ58QG7XvrskMOyZ5g+xtLTSi+eUaFl3zS62zVIPcPV
IIr1QlngIv3TuDYdfTHAvRY9O2kkZD059iE6/+KNvjyLvC0D6t64wMF1Ov+mvmkaZV0nAlo83mbo
KVvZ9SUFVyZUMQ6dw3DF2dpZLcXCR19BIhqkXsf9c/bonfyYXC7di4+65p/78hYI3zTEZv/Imy04
SdDP0SiQ54Q5/HOfo7LeEheNgPkL4MzIfw/mDrzM2k4Cc2lm+NaA1q+N8C862zRADnlR5DHKcfLC
bl8Fr2MjCeR9yjlG3xIrEl85daa0rafayrDpPk8ncSQA7qzds4W7fSN35j4kpeK76G5TEI6Dlxqk
Ga8FWlrPnyPu2qNoi+evFMy/2/F9W+83jP2trPaKrX3BzKcoMD1uSHl8gbeRXtCG/Ime1tPzq7h9
dartH88cNiuHvqTlU2eAgpl8mN+Enp3bvR5y8GokgImdu+ghOPM6CjqDk5hTGudUOb4lvd3Xsh+u
jpkxuxE4W+IQp4EXtwy0DNhuTCL06bHXgw3bGswlsT+2T+7haWsQ//mnvgTQACADNQirI/QQrHzK
9OjNPkXEuE70DKE3E2NCZp9SYYJlr3UVc1Y9M+oTIipn9bNkrDJ4kNCnxOXbTnjLRoVI3XeSmVFz
Cjs90HoSsDnJ+Y8i30thSUKYwBhMoJso3HUYIZceW5W2vc3EDeXVc8kc/NEoQPv7N1nDiy6F1ddL
+KmLXDlQQ54NdY5pnGfuqfoWapvXfFD+Ntre5Yz8xNiFS9vmfH/fltzEG6EzN3EYZa5Tk4I5M6xe
wncywz8MZ0jOCHfGpEQ9Um7Pni8ssCynNTTmUlh9I3z2FsV+ovixhhWnDcDGT1HM6t6DLDwOuZ4V
GBvMPPLpStp7Ad2NK/KPoswpIwpBLcRezZmzxNOiMl2VcjzGwv1tnU9QBgt/i9JuvlzypUhkFGET
i5BbewxWdFWcGecxZtD5xmPPBZ6GPP37eJxKk7nRMwbaSDGPYrNyyNM+3lwO3Ar0JakYGIop9r+o
zdRGZRm27N2zp1Jznx3yJ9EITUUhMeqFB4O2BhA9NDmuXMofjb0nd6ZcZa6Gks9DbsXZ9UvpYJAc
SOQrKmyQSNHPexYFtdgkVmVa51Q3Lc8K4T6Hvv0UG5oM8GZqxVR4uL8bvxPQP7uBbhtsBMiZ5mZS
YrNell3ePRfPWkDUKiLtJ4pPn0Wil9oTwzZEzld8n9+aPpM5M09qW7upLwoAWitfgqOdJLq9rFFe
/S4p3Qr5ldHMwB2Kzjv3jCRZssGjp5BXJ9db35AfIgvNNuqD4hoSBieDFsjEC4wi3zdoJPjxv9bw
6UsArcdEaUng8B+3L5FWDG3MpzKWK7go+B8/jxOhdFjpqYsOm63fr2ja7+z7TOBsf9lCKv2kldxz
X27qGmDr9k+zV/ajUR4OyRkm2wyQHeQ3K3J/+1m3cuezNtI2T13suHt2om/nNTpkJDEwLDZ6d82X
KJjAckAZTNGL9nB6ik9PpxVdXrzZ/2y0MrthapzFnFCp7jmTCFuRmiW1wZySB3g1MNj3hf3uH5kW
i35VzHHVZAwhnmWgGq/Ralb0mbMjWu4pfEh3rjGQ0ACmiYpb0IQDZ4qhGJ41oh/oLWmn+jx6uZ6+
73/Hbz9n9h0znxKzc9Us4xgXdAJWVGB4tcHvaKQHemB+h0ZdkG9HNu7L/N1IO5M502jVZziMC/aY
s44BlbrZ78z462wGETnbe9K9iwL5kM0N72yHl9NmExvKx8egf1zg5a55tpMqz40qJt4DXozpe4gn
Zq+H5hVe5Q7wdNA78uwhCTie26P/mhxEGm1Vq9t3HNnGRoVQUtxo2/o93JZ0W3BEX+tqW7Rq158y
y0QMQl8yboNPqeKNVL/0LJUEp3vyOBL26LZn7PuHwE1Lmy1dAzUnYpdp7Wh0uDUrudrVGD+EWw4/
pTnAjho9Bl2gJuWjQPTnvrBfEZuGMUN4LRVFxrhDDPW8lZWwSpJpMpRMqukAfrrUYVT0Qh208305
vxOdP4LQIYnRdgJOdSaoDsKmLJQQDgnRk8fmvY2QXpWP0vcHr8dGe9kg5a+skgn8ziLdip2DBttI
yZDyxFjPHCkz7KUYkl1hyiac9rURS0uGYxrbjYAMv/FwQG73Muo7LQszyGonbMep3ZjCprtE7+fJ
XhCAeTD6y3gSX7Ij6lWA1Xzi2nROQ9fwxUtP/82HCLcfkqmF0mQpPqSQiXgIta3sGjzt1VOjfNU0
aUjercw1+J09nPb5au2z6xrlA9uPEUQ+O/tez/+Y5vv73nGcTQ42u+qY4hbL9Dj8PVcFaS5Gcuam
rEDxhuc5XU/SLt4glNNEScBMZHQq3W4Ax2URCjASc449o8nBX+Ww3jGvMdTcbDRLjancH4I3radd
a1WauaLqk5H8dX/xhCBdCtAE+o9n0nNN9JumgxFViLtP0aMUUC/UO5MHp++fbJoJskZxvrhgHIGM
LmSeE35MylVQlYZMFGWNgum13LHF1rJZuuYD/Crv4sdLGpIcCD0xmlme72nuev3QNP6FVw8AGdAk
tIXolDOvsgjy29RkaGLIoANwvedUeFMdYaTY4CHfSrwjhcaouSve5uJ9Qz+5IqCzHJQEPybnatEY
W19mATAdl5E5+bXdFyexu/T9S4XsXk7VjPLFMz/URKheW14PR8VoRzI+h92HotAWPcqKl+nCSPL4
L9PRQAvomJmdvFcEHVPiy6Be8xcnz2GuGNNQcIyIFzFUdA6l8ZTcxRDt1rsIpuJiFkL8KipwGOuU
jA0RM6oKRlpahUcHhGjJQ+ytuBQ/Dun8A0CoIGHWOQ+CiDnmUKm7pIoLyb8kKWp4DyoY+HX4cand
fdSi3n2MYJ7Wq+cx33PFW52DKEMGs7zymWUU0JWwCHXJTMBSYKo1bYQptykaGfMxPhaXRKOcR1j5
UdRIYLSDwUpGopgYMstZ7k5TqWb2kS2/5CMdD4HduAQd6JymZ1tfNl10qP9xkYg413uXYuRQmBCB
IU2g+x8dZn+5f+5f0UVzpQmaqALSNGn1zLfyq8aVWFf2L0xI/WNBwleeqlufxroJRniKC6QbwCOm
5OEo6vEm0o38cRuZH8rHRrElvTa1TeetpncWHkkFtTKwmEwxG7hMZoY74X1R8QYRd2zcczkJRpo/
NApLpNLbFMW+3QcJZWKSPamZnjIbyX0qe9I+1jJtxLXb9duk4Ft4TCGEG4ws/twNHlDlSschDC41
OpNze+D0+AMnXPyVQnOIepJH59KjPKcz0nbygzpShS0ZUFLwAoOPTcbWJJpGBte+dMyad/jbGCHB
jH9wl+C3oBp9a2KTPCyirEuCi28zr76ZuQ9VuGG/K4TeB7cgOZqqMxIxX+PfJHoP2b0WolmA3fD/
NQhaw3eIUCG0V2MsmTDzl7O+l8u6K4NLPDxoT7g+0i65oMzQDCemCcDiY5Z/ZWTgR51VreJJaVfe
3YXIDEQzqLBw0zOHyWizjQiYZCw5nwkvBQAGLa1Gmik0+1u5L5nBDE5XgFFk15KyOcBdZcrHPjML
z+hUkn16x0jauwzcPrMKj+FjXVJpJQkxOXW39ub26yYdu7LQZe9XozB9XY12XZ+GAR4mmOBxr2WP
LkvaWr9/rxcCZAUvAioCAiYpT8wutwKLcmyGevSTS8jvcszD+GBdown1gnWyveuaMDHBmS03nED8
SxbSsSDeGoLhd4ITk7YxMhzEPCwqYNzcDXTTMmRbIUovjZVi2s2D+waIF6yr3r00dnxhvZVnZeGi
3sibqUAiY8i2G0Jeyn5reO6AnLy/q7/9mWlBInx3eFIyBojfbmqfpJziaWl6AXulh4HA393nf9Cd
NnlFM125kTLTFc5FV6XslemlVe3m1DuCWTvaFslqr9xkuugwzcrdmXRhLlDQVAVDEIBo4edJBeA9
akYQ/Ozilt+1b/b1c5vt7u/cQugILtErGdOiry5AFkyzcQvIyO3Xmids6MhnxmKdckBV6r6spVMS
EVzBXCuipGiz/XO1xOPrts4u8CWawUC2KwXveGVwz8xqJ+HSWV3Lml2zvC3CWBqr7KJ8dSXsDmEd
399F4TNTH+XXqqFVa8aZcX+BC3lWOJ7wb2V0/uNV+mGiuNrMsCmEVAuU/OJjpvwIB0J5jVK7ZUyM
HfaFXVvpSWSwD8J3EY8E+ew6OnvNhjl52o6R3gMuJDxHCm+jAo7VESnU+YTG6UZRXmvmuanssTLU
ym4DZFu2AzwTtOgN8BNDmjVP7lqu9Lf2IUeJx2u6VnCn5/FwngqtH3RdcfEDXZLes3QvNiuByG/r
CxHIISCDIPOIuCd39Gq/4rRyGVcbiwvYvknfP5WAGQSPbCdtBjs9yY/3j+d3yUFTQfAmyGCXgt+A
zMWtOKDhhIFlq+KCZGjbEIWjre2Xlt8cZLvSy0fuUUJjthZF8Df/yIXFrF22yQ7dXmh8AG6zhuwd
/JU57UUYJl3CBT3W2wNsB0o0D+l/IIc70u7dimoPzSYXV16c35xe06qvhM5Sk0rfsUBvQui+P/OX
T/MzfIpHPXY4MM5sazR2mAZVLJCcPEk2DdvN/U1fOmJtiiZw7zF3bH7p86p1Ba6ri4s06rlLul61
oh6oYk3T04+gplLF0vsSf5iYf+2yzGPRIADhwBt4e8yxJtRu0QyY0aQLvZmhrpimHOF4Q/0unhtQ
FRVEM1KGuqwepwYXmE1GOpGOj8DZkMAZZJqi8vZRhMjh8oMOzyxGq1GJoUE+LWM6erR66P+mOe0B
GWnsHOy3AW3Gfe9vymQjf/IVbZlNkRs5YpNV5qzfswcQSE6kc1iYApK2uRJxPR+oYyuVF18gbB3T
uHwJE+oVZhkNVOjeg8xi3WfNN6O3QXrsRV3snoS/KDJJEkj7aaqBwc0UVENLNiHKOxUA16XdAkbF
6yxCUZTClI3W677iNJyeaSb+p4R89v1D+mm+mx3SzSpmWskVcS6zklxe0NIeaLoCwJGyF8DKNe6q
7/ETaAmUgFwr/YtZ4N7bqNphaHKK5Q5UUTdVSKNxy7PWoA+yHtabLrW08SFmdyJjZLlZutR/lIRj
9qC8B49CbgTCi9dhoiQKy4PhHcWv2jWUbIcZie5LzzilJchbWTspCOr+FqFVJjoTPEeaVUXHiDNH
ZuNGJi/R8pAh5s4PQ5gbUVtQ0SejhUYJHz/F3zISCWUqQPyuKgy2NLmWDt2D/9n4eqHxSOXg10MH
7KsvrWzn797OmVJM7+GVJQ3qSpBLVSwv/Da098zrsbGSgsTIpVmsDvJOn8hwbcn4N8fIXkSvRmqV
VmCulf+l6djmxyqjaQDeJYhQuJ9o4Oo7ipbxQUymlhfh2H0rX9mhONS2b3IggfDOyc5MMWvmONDR
jA4eUfaSFR4wQRXp+UtMXijYLjGSiMUMMvQasvQZs3wvG8nizeAYrkSPCylIlbv+0llgNJSZEFWM
Ul5YpaJp9T21a8tP6aNk4VQj01+T99v7uZU3Sy8XeS8IpYed4Y6lWaFeM02sHUELouq+6dquyR3E
Y4zZxc2KBV4o09xInpcjhZSVE9gM6MYpevacVnoc38R9p9KqInLzNg42/I5MD6NtJkE1+Kf7V51f
ePWud1qYXfUukl2oP3Za2/A08GiPpDPQQK8ebgIJTNTkdMHOnJRKby6ttpmROYI9gVPuf8f/opsy
yGTRDAZivtkJSKiEdkkyfYdTfMinivZOqpejycuIPh1cF3aa9xjbeUqab/Ylf+gLvUCi5VD/YUOq
fSmbJEmItC2srDXCiLiEqYhWUAbMRo05aU107M4MZ3XjzqW1nujtweNJ8xmeWhiRbaS7ysqaFtx3
nK0iAFMANAWv/JSir+4b1w2xlihBdRk63e/hPH7LmUbVNN40/I5lCxoWzKFU/uuoGVLhQyGnoGpI
vsxOVGXbRAokF7osGm5Mmue+94ny7jte+ySvMbouVJsmaQrS1CqCZuXH9l2tsRB5QHKYsLr4yO5U
f/2aN+V6X2YvAAaJ+WYMv6Q2ILVgBZhY0NA05lc8isWre/UBs1xc6Dd+x2ZRdREjOwZIFG63XUe2
Wjn9ipVYSPvdrnVmleQxLX1BxVrZ7Z45hufRZD+OoA6SabKpp1Y2ZPzqqW2fvjSg8klsxGokpimt
jY+cFOZ3bG8wOQFPFfXMtahqISK4OYjZBULHoDAk4vRxkc3lmyQUidw/3r+lvwmj8JIpSC8iIEBv
yq9bKqcy0p6196PRYfVWSOdY2kjHJAL/qnKRB6doLCY3FTAJMUBM7IsaeVqj7t968CIOFhsc73/Q
QsZm+iAFMR0+BxWbKdN3rX6qFw+tjNNX8IQ3/qE3O/h98JpqzABldiNG+EgsVTWAeAjjPsRU+hNv
0zUA55IOIrQEK6OMewdm5duvAFpZzguphg6Cs78pTNd/HrMvtwLAwO1X4pQlWeijVRRlGhcsznOX
RR5FXSf79QV47PoLjgyDDDeShag/IPO9sr38gsegTshUgFQUOLWzGNBXqrbPxqK+CJ2jcq/qNwPO
YUUB+Q+JPEuQKqp6RlFFWz5aSa8sxYPctejZvebkPMmDNK8v5Rf3GQkCFQZdlGhWqyCPCmhFGlHP
nmTJ6g+VGNAUKIOsdNS1QHuhBAxE2NUWzC59lnYZhhpX9QWThe1z+CTBzL0p1pOKZPFR0fmVK7Zo
UK/lze5xK+ZeznKQ57JbDBuM+H2BGbN5iIrLqe5staFcRFiOKu1GOWvtijVd9Lw0Tphw9z8PyOzE
NWF0M6Zu6kuToKCSO7loiAV1+31eS0aphbTi0AZQEFc+r+ja9JPn3um15NmBD2kjcxVajC5h1ZEm
hVOsJDQZDY9FJfBvVOlj/ZEWX8nwVDUOr9ne8JLUtH+7/xm/GWCmUiA8ZAE2hWWFH4fpyqJEnN9L
sYINGOAEP4AFXdT5lBb7ISTaJX//Vg8nCTWcwOToRbITRzVCoyHVRrL5tSswrfjXjqDMJiITPLFW
Trfz6lP8KGiEIoNJb6P3Yd8WBtKM6pQZGToM0xw/mMyJRFvxafDKHdVOz/LN/c348f5+fQFYR5Eg
UPG6K7Mz4aex63yVVBfuNTOkhw4JwZqPicgabOAgTgHEqbKAF656c3DALWK5MUry4d8a0da2LFEH
C14xcHfve1TqqRJYgA+23en+Vy5ZROT0/ucjZzc0dwteCyVsU5mRoaABXtfEKXKUaT0Kr/G+sN+t
VZN+aDwmH4DKHscyc68kLsF806rEE0hBkCUTe0S/AAJNfXiNzoPtG0j9rdSrFm/GlciZHjRKGoG9
qqoudYRsIgJX3z2koR4qK8HAQgHxdm1TsHClcGUTZpg9/rM2DVQj+a5BW5ygI2tvoC/CBnPpTgDR
WWykoJS+v6+Lhzghen9a2kEMeSs6TuNWyZu2uqhb7th5MS1HSAmbY6ysPKDTY/xLp68kzQ6QG7tc
i31IqlMQyXcpI5leVbzcX85CGWfayn/WMzszTwi5VgSZ2gUptQvzKX+HxSYFhkPYySlhM9vfV+5K
MnHBAwRXvchxMqdJPOZy3G5h0wWeqLQS6Klr3whhG6P8TRJWdOQnIJ1t342UmUlo3F4NQJJVXbrt
QEWj+VtMXNi53mwKo9bjB88RPnsk5TjKmi0N8LtAO7s1WLtHH2x/iJ7WEPILqgOtAaHvVC1T0YN3
u26tlJC5DZnqEncvgYJR2+2pRVtqYAqIobu2/zfbfCVupj9d4MfFyLjVpUj/NhmGq6ifeRSsXIfF
sxTREDQdp4w5K7drggcejjVG814ajUbudyKgmyJaAwQvCeFUFS8LyyHBL82OMuf6hhnCsLl4ruGJ
mJhbg+x8ra1sUWEA+0E7F8ovvDp/Q5hSFhl4is2l1GO71zld/OuDg3REW2qJNklDtQOa2OoxshEy
+o9gGQe9IRWOgFYY4obXS/J9/24uIH8A8Ueen0WqAVXeeR5M61xVK7KsuXApKaziwn2yje4ZGq3M
GjkuhSIpjYZjkQWNhy7tHDReKaZInRaNYT0pnHjtoV/S4OsPmp22Eo1ak4ppc1G4x0CmWeww3TaI
Al0NiSd6BHA0pDPMRCW80G3HV96SMWzjWR5WTOPSA4ABRhra4lAAkX8FMj3Xl2rbls3FSVBoB3eY
3R7HjfI4HAd0QyO5HhsJaXd6vuX25cozvmCXb2RP2nr1+LhCobYRi1PpUVQfuX3dZytv96TPc9OF
kUkT0A3TSxRlZpOHUazyZGyai5AAaNbv69xxm01cPYiuuaJikxG4FqVNOBz0MKLGARQf/nC7mKDl
VKURve7idXr9CjgTIFkWgBUpyB/3aOQcdh7YaFTa6RsUFu8L/5V3Qv1BRN8GkElAkarKHLU69pk4
5nHRnrPQfh1xxepP9wiy726XrbwGc8X9kSSjSoihLMgBzad8tnHjZnHIN+cmJnyXbPOO3fshJon5
9SkcbCBnVzZ2riT/VyDICifYDJr3ZiZLDlg+rEu1OTM88sHoG2zFasW+L4qYcOMovQOTMwflYJR4
nEZa0J7jBJVe3kfzy39p3H8WgeZDwI8kDYXwWYgnaz6TJkHZnrlRNhntoRAi4nnFyjp+lR0mMYCQ
4GimPkdWE251sJEbrh0nMaUuW+VOtdStuu2e1a234fRUZwzFCDDTprA5qlmZnR8a29/wpIO9W1HI
+UMzfQnQciIroiwG1u/ZgrlRrUY4S+0ZhZZgg4hKBR0BSRiMS3J8dsPu+MxuPjOnQvXjvxetasjL
YIgFEjP4jtkmsHGollrUn2VUEgJj2GeYDh8emsdIfJKqs9jYLb+X+QcpNcIDmPZW5M9NDlauAluF
9KiARxyzi2bitdwvwqzoz0Hg04IB7lG9oBpViXalrESuwnSetzZnkiWgsQM4DuBDZ+etdiLTeV4D
WQpL8LRq4Uls9yKKdQx6mmHPUf1S2kQPEcHJipWIPm3rP25lyEJJhvLFr7ZR/txVToxed8GJOCtL
DTckeU1lbgsY7hNXb+XM4CKgHQtx7e35bTJvP392UlLpdkypYKtqxebRA8sRVPy8x0j7jiOiCSTW
aPz+b7SDA6hWBJgCCjpTzMAX3cj32/4cqXpdbSpDaJzcabe8aOQvGfc0gCdJs9voIL01QAf+G+mY
MoPgGp6INndc0etfK+xY9+emfBT7hpboPx5cgutMXMAeBY7w+SZVS+RhbCY0uIxm3TOn9ivfMW3s
rd5o6IXGkwgrAW9TnOmoDMQMAsuePbN5xNCcFxP4mkO6YgSm6ONGChAcAFqD8Z9FnwiqkLc3och4
ZujRkn2O1YgI8X4YzI594ELj/qb+6tXFbYMc1OB/5MCK38qBGrlRgL8+90ft/3D2Zb2NI0uzv4gA
1yL5SlI7ZVu27Hb7hXAv5l7Ftbj8+hvlc/EdiSJE9MHMYIBpjJK1ZWVlRka8sMqp9/2udlEOPge+
JTlV6PB97vs/u91wiPaxsuDbb27Eb/MmLl4AqUTK9No8NzmU9RjMG37YH+NuVcQ/uYJyoiIAuePC
aG/Kh9+j1RHFwr8aOhCc1+aGlvR4jcCcUpxLZWuW25qucg06TIkT16bbjMU2gohynRfHpG0/47L+
hP6VmwybcsnNz64wcJOEYCPhIT+ZeW1MKVPEt/QVyIv7bDMmx0p6SrXFUYtJnO4lwCM1oqLPDu59
MsmjUeoonMbK2ahX+nCiZ526lvScP6uivh/hDVMNXtg+9pLiAMTkpWm+ELLPLTMakYCdUZGrAJ3A
9bwTKyjMrsiUc9Z9jfamyU5qC5My2Oezs1HKC2HPTVZSrDPm1UJTCHQGyM01xgaa9oEpg2gQfCjO
2wEKNh+Pj7vzjoOa2v/RegB7Oy8Rmii3p7f7R2puXS9tT2Y712rVDiNxcvuHtn6rDiVA/824uW/l
Bp/3PUTLAKwNwZ2oMV1PaZvkcdeYVDkfMTawQ+obvHMgb+esmbsB2f9mk4IhendWnHQ1OmCze9VW
+PtTdN0PztcihdDNw/U/H4QYCqw+WOopOoqbQZKVJJDPHgelMnPPH8eP9/dj6o5uu+42pZc9VJvD
9uXl4eEEtq0f9+fjpvAgzMOHQZXUtiB9eNM12wGM3Ke1cjbrVf2ag64hI5WrIf+e0BJyh5qjIoI8
8fFnbtK9/bRgfu6MmUDk4VIEWdsNB1c+8BChZaWcNaQ0M8C7q20VZcArnWz+0Xc5GpVfe9VYNQbE
ClNP685lLpTQ7n+G8BnTky64Y1V4N00HMOB6U5hoS0ojvVfOKlmzbFV2qGp/Fm9quubda4xg5r65
75L81B6g+HBiaKFENW/iw6rWsOoiVZQzYQ+pAhXUzdjbuI0foA/fdOgAGI2tlnl9sLYDry5ekzcd
inck3fTkrOUOCX1iuD3Eh5JxJXMX+nB59QvYrmzH+uNYU2fIV8WS8N9NzUhsFQSXWCx4JLzf1etZ
GvoGzB4Vjg5iheh9PMQoiulbBQxbL19gQrw/RzMbw0QlELhkof57Q6AC3FuaSdCkPWvvQKaDg/rv
/d+fWfKr358swUjCkmpxAw71P0h/GOjV3fGDZWy2983cROaihvrfYUzjERullYQPGMYH3iDe4LUL
53dhmqbAmtwcwrKU8PuKF3j2Ufl5//NvCnVY86vvn6x5YwxcJhy/L/ghTfzTPeh7vnOi2GULtmYu
gCtTk4eFrXWFWdgwFRx/xSvjmJzuj2VpqkSAepH5KeLA0Abx++pXtEatfrHPZsmA+PMLA/GQtq0h
tlTqoB/NGX0L7UZe66Pv/kvwDiyzwi1s4m/K1guLYxDRDtg1HfJDNVTebOdRcfACAzjkN7B0q2Hd
P2y/lkBUM0HJ1TqJLX9hFC2KWpXnGCbEK4grfW6t5z/3V2ruUoKPQXoJ6UG8mKZvzFQiddoL8ayj
fKQvisv23GmfEojIHbqFqtfMAb0yNdkVSRz3pk4HSLn9TA/mSo8d9bBEtLpkY7IxbI5sRaTBhly6
tetED+3ShIkLanKhWHhd4UGAzhe8ySdnJ8pMuZEyRWw9IOpcgAY2oKgdnCU7N69n0UJ2YWcyW1CC
UHUJ1+g5RNla/9yFO22TPgFC+7DE8iB+6d6IJnMmpUVQ0RgjAht/sPAUnV2Pi1FMYkA8kAyWJvjt
vHaAje38xXzQ0jxNzojOjKqohZ7SGbquz4CO62sNfQX0eekwzniAqwURh/XiMBLA2qsxgqFD+Lz+
lbraqvMWgqOZ835lQnzChYnQQLdCIoHbn+yP4SHw+KrbyQvX5Izvv7QxBVglYEclCagQz/Fzu8ne
bG9JlnPWAEJsUA0hxjanYa6ZhGoAYBXCCUfxQgCf73uspZ+fPJChWVQwPcfP11/JE9uMA6TR71uY
i76APfvvCCY3sRUoahPAAYiGfeZgVz33zt+9vXnZZgsLvjSYiTMxB0Z5j0zn2TOQPWlddl4Yyuzp
gMAsKo/oB7lJ0mRpHvFWAZ89OFyZEzt/a09d1HWbuY1F8vv/jEyWpKFDybMORiKvWNn/nEYUjvDi
1yerIZulUQ4tfp3hpay6a9DtGBCpWoqCbwr8iL+u7EzWIkxintYU/O4eVIFPb3RnrJWt0i2SIc/6
kYvxTBx7N2odnBbGI2KXHIrw52LjLSz7rNu9sDFx6VgPmcUJxvL2hrQ8kB+IV6Dl3YSO6p9OpyWo
6g22bzp3Yp9fOC6bxE3Q43Y/x9vd0Xx2X1+gkXR4f/D816/7Q5t1kRcjm7h7NhZVF6c2QstTttZ3
/ggOt6XhLM3exNPrUcoSq8Fokl3txP7+63R/DHOh/tVWm/j5AW3JkNHF8hwP4QPdnc/PDfgenAUz
8xvNBvkZqCFV4PCvF2VMLVo1hiGUSSm6I/+iMeaVLbHszRlRDJTVcMmDVW6KruNgGUksFoFY17U2
w0rBywgsAE61EEfMOcpLM9NDU6DDbGihiGBt4i3e6ptwAXg8t68uDUxOTFCHptSMMAAUzFf5qr7/
TvbD0rGc88aXRibHJGBdM/QyjMgZ9BhrRzuxHXlU9qFXb9n/cM9f2poclKQE1xHpYUvdKH6wZbul
cH5+SVADNFELA/Ji4vXBewRW5x76HqONPlJH3yUjYqKFkzK3vUB8YSCDiAyO/d2ed+FYGsKTtAo0
DS+gd82rftADsjFu4SInCi92gCzq2/9iETkXC9hzpN+n+f5RDoeGQVbhHDvs6IR71m/6PX9wt0Ae
ngzvj7Ru3f5xabVuNDCEBwVTz/+ZnWyNgQVJICWWBi0Kz5Cd5IWi9Q3sdt7XCfxuX1/oPMRf9dYC
NtUAp9lSdPudjZ2+Ai4/YLJfZGiicpPhAzDT4xpX4Ntb46VHc+U8PT0/Kw8vX9EqWn1t/9yfb1Vc
3zd2BUQFXbOi62RysikPulwuEnEdwjJ6K/NXAs7cAtTM+wd3pWC5g3OCeh0wxM7iqOdec98glf9v
fXLsDa7GSaPC+tsbrB/WSuoGO7ILNz/3aJN7Aedt7NHNEsBtNta4NDtZbahaKA2pYTYALZj1h+4h
WCoUXO7P7ezhuZjayZL2caHLYQUrMvEeBQtp7+AZqUQLQexsDuFyNJP70qybVso47NR7cCIy59g9
t0cj84CtOv1Z8KH63OV8aWxyq6VN2khGBmP6USTKuszRtsGT/fwLDGMf3Sr5EXgI10XHd48R80NO
npgiOJgLNy4g4tQ40hP9CwrQ0Hv52r9+vqLUsHDxGiJUvNnTqL+iDIwCj0EmrrEJOmKkVvefEO/9
PduZSFKZjrURfKD9VizFebfTnwYFEHTZTfOV8/t3CrJyyABX22LVAG5Ze8nKwvbfb/98iYRWuKbu
V7H5+vqz6PPmnQ+S/4A0GEB0TEE4mhpmbMiRBKpX6qnwe4jhnNkmWkc/qt263tROuAt+043m7uNH
8Ct6zEPL9u7+Zr3BYX97wIuPmOyipM9ZOmb4CO0x8zU0s2Yv+TF9tY8lrIXr6FA+LVErCt9ys04A
KaDmiG43PJGuI6SyMyutKEekdAteuIIYykUgVSwcw9lwT1M0GTEY5KhAB3htpugshia+EspR72h+
3Y27Tgc8wwO4arWw82YD8UtTE8eidpJGcpPpZ0DUxp3xg+4iVyk39seXmQCEqTqg2fmy1qFHFqiP
5uKnS8MTX8MtELJqY6GfKz9e4fS5BA0DSw7tFggHBS5cUirAabYMLNTkjVbVSQzskTmei7p0jOFH
0rwMyabUjc2PPgM0WakcnS6VrGaGhnYh1L8BwMO/p9Bd2utDwhsunw+2sao3wW/QBrHHJYbumZvo
ysrEr2V6U3AV77ZzYnyFn1Lrcqi8jOus/zP8aUBXYUaLVabbqxenXfSigLXYMFRzcuLSnGemhufo
uYDcSJBpa3t8qyPU2tFuF1K34NULwNa17gbGa6SuF8777YCvrU8GXDRl25dc6c4y90Z0P5SNtg5Y
7BT6rmh0l5jbKlUPoGRasHt7gcCuZYDKTAMbo6xPAo4uG1prsBhgScM643vJrJ2RjUBtFis9fYiG
r8peJyHow/qDYUCzwzafAeXdNMwN+J+mXbjPZkIBfA5IAEVHMXCs33fJRYSrh6FqpnbVn83ftX4a
q1M5bpn0wb8IB+3CC+7QdrtEDznjJq6NTuYg1hH3KjqgWZLcrCylXlWtw3u/NCFOmWyH4V1qQBO0
s1j3i3lD8tgpoCWUYmekn4N+bOjrwpqIC/HaEV9/z8RDyiXvYuz+/jyW3kAPZoqLka0IRbPnKVSe
BkdNmLeIk/qOLW/NgqQG9AlIMU1bL8esY6XCu/4s79XQNfVns+43oWps6uIjsX5q5rok+UOSgZP/
xUY/Ys+ORb1Lx53Gj1rm5uVTr3ROE521YUP0RysuF0IrMe57HzhZJx6hpa2WgQBMOu29sKVoE7fR
QaLquHAabxqBgYzFNvzvVExWwEyHSAKdZ38Oq7c0eDHB94wsKPrw02ItkbOJ5sHB0wB7whTk+6p0
1eAo1c+JcqqyF0Vdy+HPhT0x551MwPjQMIFiOBrWrm9NIx4LSwuV/mxnsdWvaF6kbqin+qc9WOOa
GuXfBtjwx8oog5Ws9AcpAUoSZezPLrPyhSSk8EUX64A2B/Dmi44KEMlB6u4bZXB5SKM6qitWNX6W
rY1y+zGkm2Bbow9GX8X/mBP+toV+ReBmAEQCpHg6bghN9kPQtH4qS06m2K5NbTdf6+GwsLnE5pkM
Cv4PkBAQkIoMzuQyDfoaTSmK2vpNy99Ca8jXti1pC0bsmakD5y3BDGLmRNvx9TK2gk4gbOvRrwwm
cZdoQ4auA8r1X1mQFY1nJBLVHnqI/GWHBL0rz7YWWfYm5SQzjyxgaGOxKs0aHd2GtBtuo5780ZrC
KFaBYcYflpEoZxbICmiGertBz37d6g9a16WtV0pK+ZxXFN2tTcHsN9ZH2hcbWPnbaNTxEUDi9ExT
tTplzSCtsjCAuoluasULV3uuOa3GMuYVY9s9J0ObP6InCYyOiWlL7YprXflbpSz9lQ9BfE6CKKOO
QQt2CtJRz9xiNMhRK+QyWg0cJANuWcXRe5SqMmpsHJVktNF3w1oda25vgIjLQKTKWRqfdUYjBjil
PRwrvZL0dRSr0h64HO0XCRIZnMWs0WTwscbZiefSSB9oLEGEZpSHsFlFSCqCoSAH2XAox+n7aHL2
0Zm1uUvkcniHH0xBsZG0lLkaraxPmmRZuapzxsHbCeR/vMqg1fUSliqX0ZqKnjcvN5QycZuG4mrO
oqbOnbJVySuIHPt2VdOEAd+KxrnPKGZGum37Ad0CQQsKXi4nZQ7O1rJhnl3jwbtKy8QOHLApdT9j
GrJx12LuiGPwDrovQx/mS9jN6WNRnCV0uQrdTYhVg3xR+JiLcxurSVSrXd/5IEqmvasMnNXItJIu
Wsuj3WVeAKfx3FYM7GB5ZscvDWvMGBOiQRGXtwxLoZQ2h3bHoOSfQZEBO2SmIJNUIZACTKYCckfM
iqETTy2IxVcZ2HZTtyBxDqBbajZHKzWROIoH0Ay4gWYKGiNcRkew2uWrqhjL320wVqVnK2PzVypC
mnqUWzG4ZDswCQpkdnRAeyMccpzn0lZps7xdo4m/6jeNXQGhqGVZTx3gN83nvu5k2ZMGIwSBej8O
0AQ36nAsHBDlmWioryprWIj6xeGduBA0FiG7LHpjQCs3cSHJwIuIkqHzO1K4TbchWrTm5V8pWwIb
T3MMYiVBgYKEnAL6RF2bPlEtCYWyVg5730pC5XmUSO/Ydk3WIIeScTeUAOO2fZM4JbXwyAYvktcG
prRm5lCindEGx6leJkvNADMeFFwCBvLeYOxD8DYJYXutT0mj572vITvtaiYk/DJCvu5fhJN4FSPH
yxTTixZQtB+Bpet6D/dtW7M21kefmMYaUqhuZDb7tibIfgx/IdG74LDnzIm+CkSjxDbVKYZ9HAnX
2RjKPgMy+LENdEjmFNi8eTXwJ5aPpqtBgH51f4y3+whXkChT4CWC5qPpJZFZtdnVvTT6cZHYK6Nt
8y3u23aP65x5DA0xC48AcYde71thD0uGNySEPczJvuV1z7CokexHSWy6YagXR5tLHFVYLi087Cav
x+/lQweHLMNFo1NGnoRwZocEXaUmsi8bwbAzCP1UG6vb9DGoF/RgHB8oURo3U6RyfX9OZ46MoEFH
NyhueJE9Fw+wC+cnS9ApY6o2+n1funaprmSLb7vWPqEr3B108F32Z94A/artYlZDE2yE9FYRLIHB
ppllMQOCeheVJlT9keedfAdiztrmDVV80PPLLmcIrxyzIxxyGRQUCFAOBCl/RVy4ShDEjzEyMQlH
c2Tcpvhf+tDJO/63jE3dbZWGHvJWlo6yPI6vTVejATvKKw/FiGxHq97e0jIqXlCQbpyBDsGa5kn5
YIWsebk/ubcnH2MSFFCajaAG7YeTuS1itajVVva1fngo1PJHU2j6v29Sgm1qY9rwPEGh5dpGMcQV
pGfG3h/DpjmqUJTysJ/jX6ba2tv7w7k9D0B+IRegAP+JrMq0xyLXeMwirVB9lpa6YxvNsK3zMXf1
vukXzsOcKeTBkEwDfxZujOnMUcKSHtGDj2QK6dw62AB6fH80tyEnpkxUU9ARLNDWE7cMubxIvHU0
v5Lj8qA2Ndo1uUGeKZDvB0QEwPe2BGSYPQldexygG3/f/vRNjx0vPgCtceJvMBlNkmGVnVWGhqqV
r/RrI+0GJ7Ch95D+knTds4dVDVIbfQT/i9ytechcOuz+lw8ATTuSmkhuQuL8eutYuaXZOREzoOde
24crSNq6mVzuTX18U+TXUil31NT8RLIe5a52eFwvePSZZUbohecb7JtCIPz6C8oW9geuwO2xnL9W
is72iZlZOqguAmTp7o93ZsFFdIBWOXFctO90x4Wn6zQzaRK9kf1c1iqGEH2E6hfX9bWZ1t1bJ8XB
qlZ5uqYm6kvaiNTCffu31xfacjUNcYSQzAHK/HqwVtRLAXaTDM5hxT4YQ8xX2OU1YlqSfVAq/WOX
rthf6jehj4ISpQX2hmt7gSLJY2kbsh/ThGxNhdJ9GFjZ2gpV/pSlQf4gBR3yEcwslxLMYijXNyfm
F/Os6kjECs7Qa9NqFlidxTHUTI3cgNmnIRnemKD6bDv0KNmniEXnOkFvub6Uubu9SYVpy8JzUlxo
05sUZBhRb4H9yy9lKoIC5ON+ssTXSeoAzuzG9eb+qk6zzWKarwyKPX6xrbQYmuV6C4N22TlS+TO1
0nWt5Y/QUXRAzLaPo3hPS1Dqd6ayYHvm+ICJhmB9EYvhQaBemx7TTIuIVKo+ya3cU9NQQZWI59jV
Rrpg6vYq03VTJ+i+FmV2ZB2uTQ1oZAV0nqr+GtInC8HkNK0kpvDyx6d3WFygnw0vftXvGcMj3KF9
u7coOY5B9keO64cGbYlSWu6KMn7uxmil/uo6/iOxa7BESasgRS+QDJh18qWWoJLtyNP9JZ45uDpC
d0RlIujEFXg9dmsgZpH0jeobGnpnCXPj8iOhnZuC6ui+JeHyJ+fmytJkL7VjmAe0gyUzWhUSqH5Q
hoyyw+t9K0vjmZxOgL4IRAE71U9T7sn82JBmHRi7wl7SlJo1hJwhPDxKMiCZv544sOPZdR9Uqk9r
+6GrPpKmWFudga7IBdD4nCFcoFD2AKsJ+gMn4YKR9D3aoy3Vz5LMo+STFWSrad1KSs2FvTp3DvC0
xFsOlVvguidO1Q5McO3ooeYbSUO3oZm/Io5YIuieCQ0gtYPxgI4AjGTQBbueOAWAeyXMUsXX6iB0
O6vtdnWmhKNTEbWFMLoxrghkk7aVJURWIG28GhCGgj/Wbl5t3eQL03s7aJS0hCdHrRr35jSObSJJ
51GVyn5dq6PD67HeoAiVeve35a03gzQxhBXwugMVPIgVrwedpiZuTyykn/NkN5Lg2DTtLiQLkeXt
/YAAFq5Sg3gDshJT9ptmyKVUjkbFT1WwmkHuuCwMZPHGA7TIPsEpdtKWCERvNyfKZpDLA8U9BBbg
P6/Hlet2Z3Pkr32d0vGkgH7dS2lA9hZpR1/qyBK/z8xqoTqvIbBDDRSjnJw6CQkfi40VwrpGpYeI
EWi5kAg90feX69YMQVkMb3EhqQNkziScSSoUkGO5132W6xA30tN607Hw388bgGMI0wF1RWUV++J6
8jKpSnlUw0qk58Az9cjosDa3Fk717daDFcGrCR8laE0m5200cxr0jab7Vh+UPp6O4AZC0Hoq63oJ
rHbr4rGNYU0IaqGdZhqV1bkyxkmWGL5UNMnGKHLcWDKVt3mmahuUkIe3SGqXbu+58YnOPdyzyLKD
MOt6FtFCHOSUNYYfVzq6J6M2SaB0iwyz7ug1C41/3hpogQejM3w+nCQeN9fmGB3aYuxKwx/z0nAt
Prbrtm6WSGHmBiWEUvAURb7ghrHFLlI+lugv8M2QOmx8tFMwnCTqgleaWy+83kGugaOkqtNW+1wH
A6ba5MSPrRgiAlzPdiTTuq0VsGhrNygGgMAoXN0/WzNDQ2OBIONERclAJ/BkAnXSc7vVDT8lBfes
KEKVOe0KZ1DsZsHUTPwKlISgm8ToBIXIZLG0wUgrPbANv7TMbMPyQTqACYdsiVK1fmtW4Y5mUbsd
JKK5eqcmh7wflEXMhjhh15EPlERlUIXpSGSCnWxyAuOehzIPKPFtmeJV0O8bPVzp9CfJwJynOEwB
wzJB5cLR8hdz8dEwN9+4z0GaBAoD5B3En1/E8EVly2EwyoYfpSaaeOuo9/QIqmSIvYuF+Z41hbc2
aoUgmMUb5dpU2Eum1LYW8S2C5vqDodV995QMcQaldYn32kJN8tZLQ84FCXEdtElEN6dYmDzLolKH
EIEvMSgxV5lZ/y36QF54HdwOSlhBdGCgVoiYZRJR1iOR4F1l4quVVX2q3NbWmYZylxOn9RIWYnZE
iPNUcKfAhU6JzpkJYF8mgR/SbqIOXKNa3UGAEXq0+sKlMGsIpBYo5oLJCywM1yullJZBa46VwmVN
37LAzLeQii8WKCWmzCV4/IjbTZCTfaM7rAkMsE5Q8GEkDnwjtNm7XeS2A7Jx6bHqKr5vO0M+hP2o
7GkvDasEvPPrNJHzTZ3n7XOpZDs9STJXTgPIKidlsLEkrn/IgD/+SIqheDSjjni8atI/JkqLC25+
ZtWhoom2UCwFiM+meohmV+HpH9eBb+Zh4LIQ6VSSGy9GtgiJv80n4HB+6wkCLom8wiTqbs0eFVhD
DfwG1xd0Y+Qoeie4q0FJSqX4d8lIeYZ8agl1GcIjKE2mHXvjqaEsDXmKPxSrhQAV4TB2BEri02IO
y1Tw5yWR5QdWknhFIvfnSorsxrPCdF0mZrDlUN/20hxhXQVmo1UzBA9xblePXdSlxyy13vQq0Q4Z
HP/CM3VmORC+IB5Djy427FRxTVZabjdtaPlWS4YzCVGWZHlYnEYkWxaOxu2liNccVB6h3gsiIzTx
XR+NphVZLlqkx87OXZL/1tAzVLXodYWG4r+KXmHKbXQeg6II1H1AR06ZJActrFuDmfmRWQ/Erhxl
BI/Vx79euKLkgOwgsujwU9NkMIaC6loKOvORojKb98ofHSxqLgmRs7pv6eY1gHZg1CfRCoFzAx6F
iavUUptqUciyY4DL9DFLY5F6jUw3C4xkj6PD1/ftiev76mIVQBQQLGHBUB2EL7teqkhodbeorh9p
LusvA9IsHtdbdMNH3d8xaAygU5rRUyLNflblni5Yv3ltwToCdyS64R9QnZiMti2DRqsazo48DfVj
QkGFVKh9v6mj5m8qRfEji+TKjexUebk/7JsdKgwj0BXIINwV09qd1uZaOOY2OwI9aI+OpoVQ8ZKC
IASPOVhH+nU+NtXfpOiHfz2FMAwHhUwz3nqo+0xcVQxRDE6VqDi2IwXOBBHlCtspdqysaxZu3dvQ
TdgCiytgivDAgB1dr21iUJC6aeB4Msou8GhV2H7TI0xTmKI8jZEcfVkA3O+Dpgc6zQxj9Umxe7q9
P9NTmCBiCnyFUGNAEVEo7YmluAieOiuMAGUoiuOoVORFlwBbkY1eoBdMqP2qUOFKuoGuZZB8vuRG
a3RODKKx08CazBntlOwB1TfXTWD/UsORrkcbNAmkghZY2hSf97/1xkV+fyoqDii8INE29d5FzA27
iKvimAaJvsogSk0RZW8Kamm/7lu6CR5gCX4Y1UzgBlFzn7yOUfZJFSIBBzfaSuyVhIPfVu7zBT8s
js/14RanS/TuAaoqyoDXUx9bdVDGpNRQAQ2a1Cs5VZH9rUh+amo56VxCG6Pf3R/Z7RyCAQJ8VCKA
FWmNie/HW3zIcKqJX+pjOL7QMoXQDAW+qHwsegYtr381p6MsLGNn4Tzfkn4ZrdaNTZtZftq1AFqZ
qNpaR7BCy4YTy1FY/zNaQ8DPcKKEQh9usWmuq9CrupQGy/RDNYX2WSBbCV9TkHeGC5H57TyCtEew
LIHRRWB6J4cXW2asUhpbfg+In4t2iyh2ABVLX7ogMpaIpW+347WxyS2ADF5kUFA7+S3wPQ5eVOA4
7RPrn709nm4A8SElBPQNwMHX29GqWTTmXDL9uOTqRhsrSDtjF3En1gEY7zooOxCjQQ9rpZF0AWR0
6/ARhiLjhcoPggWE1Ne26yAZqs6IbH+0eq/gwSHuY6AD6vPIlU0pne/vypn5BDcY6NFAuI4m3Wmu
MmwG1iWIEP22zAbTGQw5k9zGIqm9EC7c7BKwX+GNAxpVgDBFyuh6WLpVKniDFMyXSbqNTdzXaqtI
K1tdqpstGZrc1KS0tIAaDAJ8hEP64ot1J7OIF+6Km2nDaPBClA3wTaIs8N0Dc3FVBMFQR3HQM8CG
mmSdMHamcpsvZHhnjXzDrZA4R2Oz+PMLI1UkZVJgQUqw5TGAjEbYxg9ySCldcL6zdsBf+x9BeGiv
X9sx7AwpI9tifh/Gwa7LIcWDuvISa/B0X+NWx55GGANQF/oQpjW+qMktQU9mHMjgFmg8bNvECZJV
ZQ6bPvxH1w5bgOmBeE0VnO3A9l+PqCODaRRGYBwy+clqerf0zKbx7p+cm3Dh2wgRBT8bCRDASK6N
DNkgMhU2OcgJkYBhjZK3UTfpG8eTaF8Odvje4K26H4HR24TaGLuWVus/5JaEJ9JX0OKTLOpUeljv
aZFVbp/rvxmzNejmJXpIFgKGafwqPhZdF3icf9PxT5+4eN8FiTVScgjfzGK1NjbKih/5z/tTMu2s
AwAEtSlkGqDIioIE8rPXU1Jo41BZeWYdAO7L3UCnDP2XtuSi5lNtUBHsPTpU0FnoS8tLrDh9IDVa
EKSG0BApwTbYM9UqV4HJogezroOjKcXsXMmsec5yq/C6oZM24xgFiVfVoew1jWK3DhlawaNpAt/t
RAoQvQueaxqbYFBgMDQBLQPmE3nTiUMBuDof+5FYBz0b8DDcKGq9k9qPFPmN+9O3ZGgSfxbyAFxH
bVoHPh4AbYDequbk8WPK3/4HO7hGkSFEVhtFzetVGlXaNLEOO6YxONJIVjaNPwq9XPWjub5vaubQ
43n4X1MT1zKQlsl5ZFmHxm6fgpy8meW6GY6NITuq2i34yyVjk4WSTNCkqWASPKQYVugdpep52yyx
Zcwtko0LEWQDeCkgTXU9eWrWxhoH6hss0yN1Oy2nu5pV1tYa2gfdHJSFtZr6ZrH5AP8w0S8vOiqn
JOgy16JAYTDXVXbvpIS2XqXGdGHnTVuD8IKAFBACOMVEXxyoLSZbIkXOK7HNMvI7NS6gQWSEATRz
oob/qENuQsjG7NTPuquFLx2yqHf7Gu0zrtyrzeCmzG7PrSXTyKtCUHg7yKtroeYMLNU1RwuH8Rcn
eXYiFCLZK5rqaoDwKdSU33JRQS9DHtqqszwUffCcjdWwXKqK3Tg/oqAkhm5fuCSBDJ0crFzT+9FI
DOkACH/5yk2HbKFAJiVQf1qYyJuXLCYSES6I0kX/h4l0xfX2KGqSUMtqQx9Uls26fCgd+ks0v+aP
xdL9c7M1AOZF4VJFqgyP7xs4tjK0cWAqfejbCTA53DoB0b/VK8isylRyGuWDl1B30RJUxvIfI/5T
guOut3w1SEvYzZuTd/0p5mTUOdI1Cou70G+kfQ49U7UtNxnYbzvIfUl0848+5dsYOqQgGw8I2rRe
2zVsMKJmCP04+xFr0ooPXzw6Z1Ad4f37fVPTWBKracqicGViNUVTz/VqSk2qAY4+hr6SlJ4a7Hv0
OQzRAhfLjUdBRyqyHrhe8P4VIeW1EdtgXJWZGftVbh3b4C1Q0k0XgUC4XXhZ3MCTMBxYwljQegvf
ZU0cJLftIIggkePrinQwTNatNLwzmlJjL12Jpr60Z/0qU4xwTUIlfeojq14PEfjOu8jiG/TjqCe5
A2ydKQitS0QuTwHC+seWas+Mo3EUAOVukWV+Znogto74F01bYglEXvAiCtYD9I7EXZz4EVpv9J0S
+r2xQ703f7L3SuoZn/WfIPDWwYn+xTffX3/x25dpCRiEbbyg4X+xONNsKqFBVCsoTPgtRLuhH8z8
8QR6BTvZ9B2EdO4buwHLXFu7oSweYkDYSw3WyuRPFJa7uBg8ddQ3cDNr00Yn0nDgIPqnP+BLM3Nc
GOuseRSH0QkgFLiQj7me6BLtP9UgG4mv5NzRSwZQWoDypcEdtCo5pdzjWjCeDONnWP1oa92LEiD0
7k/BjB+xLz9hchSYkqZGahDM9/AZJm/m0ID/3OON7GpLSKuZO0FwRQGRgTqfeOZfjzbqTR3cWhht
MGy78qsPQG7KP3J0Oarhq5G2C2+s210M1iDMrKgAIHL4bt262MUd1ZqsUtvIV2KfW8StLDCtABNu
5L/uT+HMDQRLKp4//4+069qNGwm2X0SAObwyTuBoFEZWeCEk2yKbObPJr7+H2gvvTA/vEN67C3sX
EKBid1dXVzh1CtAuQPXZsEQPSCjG8KD93lVAIFcdUrOyIhUjzpoVhb22jsiazbMQAGnB28pmbQeu
5PVCliJktMS54wITUZ6zNSEsnQRcE0iBFZ5zMUjSsSXZWGgmVBBD4g8O9YOdaj2qshPanF3ba3Pb
lw7pXBTjJ8Rpjt7QFKKq4jfHWeFDbuzbeiUSu2pUmRcEQDFopET4XBJbc1LjsSFF3hBf9KpH6ZV3
0I1n1pr7UH2mdKZreb6tEUvHdC6P8ViTalTEuIO8QmistLTTCKWncS29eW0qL1fF3KdEGRvMsIMU
MjnEcYFxEpz6wfi9Omfl2u0Bvh5hJiyyhgQu64BzWihpgaoQ9KK8aFJ2z4eFV2jRo14nbjkZFskb
q5ZfjRBcAnpbH6eR+6rQh8p1m9v7umAwEUEhMERoDVgCln9pQiq40aWWZbGvHYWj+kP/pdo/C5vf
YIAn/r0tbEk1z2XNh3xmPyY6lsYMt/KbfFeKaGjSPuuqMwe6xhG1pC24z/AQEHAg2J3t5pmglFRR
lepD7KtcbOUYadcpYBaKV3yeq/LzfAnQKoGEP6ayzpHHpZgZDhDmzRT7KDg/xPfqDpjQ7DF7xEgA
H/N67SIB1/ymW7FYS7s4TzVBOwHS/kh5XkqN5IKLJlmO/ZDvTEwbMtHubCJH08srrtai1ZrxfvPk
A3DgsE6qhjhegJoS/1Vx1dGc9gOGd6dOs0UAtOIPL+rhuSzm1SynmAopB1kDiC8N870xX+AlgJSw
tYaVB3rp8p2LYhzipgZxGrLDxG8cxflPvxzAKVSUgcDB63V5OrzQi1EYoMehiVuwWGWDOTtm9t9f
JGBy/whhVoDoUFAnWsOdxCRstWyPpVSYifEQ1mvk3It7hSy+ZiBMQ+aNUTYRhCOGkXSxH2sZWGa4
+Mhz4OO6vZzF5x7gKzgVGJqFND4jhVZFWdcp7uso9tSrIwHPpDEpdg2AMMoT+s+Rk3jUTJXUaXNq
OMFgrA3su/ba4CMD4geqCFxlxDCX54ZwnqqoH8IOEiWyOUPf12hDdyJe+hqbUrGpjNji9rKXrJQB
64EOYfDoAUlzKTKY5JoGyXyRY8NDsmbaIPhNrBistisbvGAy4N0A5gA8H3qx2TK4WvJdNeRh4gvK
V4H9g0sgJbU1N9L+9ZIuBDEHGUZdV8oxF/uKmDrAqO+CQfFBiOHcFrPwTs+xJtpfwDIyt0Be7lyI
Lv0+I0nik8GonDLIw8EcJ+NTjTFUEsVIjL8GI7TZ5voQost/WIVALRzdxQcwRzdxpEZwUyR+I/Cv
Isd7Ha8c05HbBLw6mFSX72JVeqnCajPOM8tQ4gR+Mq7APxOD0pWmGcaaApls396Wpa9Cjg1mB2Vu
9O4yX5UXwOKB3SHxoxojFmjspNOjViorGcolZUK5DVVnpPWQJGJi2SqWog4YtnntzaGqPiLpKIhk
YyBR8/fLwTw0pKKAzITBZq4kQR6K8EaK5Ui1I8hoD9Y+m+qvSzog5D+XwhrsTtKGoMkSv3NUYCCi
/FlofhfosX6+vZpZJy/D8HmYDWYCGsDWAj/FrGaQeiMe6in1OdHIrbovC4Skg3NbyJIGnAthFjMq
bSmHBZ/6UQpiVzE3/8P91pCuQyoMPeBwfy4vXhbWmOeslHgOmlcx/RGLmzr+ur2EJfVCJQoxJjhk
QaPAxC9ClQUglKggIrzLgkeabLvAVrPtbSlLpwEQLB4bgAowtYfZqKoLlJoqsIgS6Kl/o3mtsRQF
fc4rhncpTgIw9l85zEtdN2XBDUKU+OVrCm+Qi8wAA4+DPjD5sLXqiveCLN2lZWVOo59q0V0uyCv3
del1vfgG5tCKJu1Kjcc3IAmW/0LVSv2tv5X7Wrejwokebm/swjs6TxCY25iBl0d+7lJDEBWSRhni
xC84fyTZkaaYXNlshgRUtOVaa9aCuiOBilQBpnPjEWWR+V1N5FCLhQQjsyezVb9CDHdKNWXlUi1o
JFp4gJ5FzR8ZNIHRyJ6roiGoR5yh/sljOikXuuChwSGu4VkXl4NkMLrDgFi7GnwVh3pXNVTEM93V
pliE1jTtxnwN87ig+nMRde5+mvsoJWY5Q5WTJtY0mFVdhTaGFt/U/2HHcPSoWQO7IwNdf6kE6dDE
YduoiV/VP8n00PdgIgMrYFI/3Va2pZNBYx7apqFqcNyYpwhDMTA4TjGwFPjB0hCBJyi0pNQDVdfK
RV46GhiKGbuJgA/0GJcrQqEHg0K7MPUVDCTu5BcDTD1a/PeR3WwqZhzvTHTCYtyTvuqDrG8gRCVm
qDtGeBSiQ5WuoUsW3CeUkmYk11xMAsKWWQy6SmiTQU6TBCYhiVPXZJuoFcav+n0R7qJO36ERwrt9
WEshHuShswVqgRf9qnss6+pxGgQ8Tr74gI6BzuS9/KiDXcXufvUJIHkrh3adHp3xE/8KZNSj5GM0
WCWzwJPopDb3PDm5I628JEtCZnQa0HAIktBWeLmZiTLxWdaPqT8J9wnF4HqxBN7P/SWXLyv7N3sI
jAeh4FVE/hA4f+R7mVsVg7Qf0EUpRbOKmTk6xuW4mMqr/Zh+Y8TduFazWLpb59IYjc/5suKQN4Uy
9iFQ5Z9yCL5JvrHWk6Pzb7q1rtlgnWVrpiIUIoWTsYPdftLSDX3H05gPTqtaRWL1yZ7EblPaXbVL
3NtbOpu6W5LnW38muVQlKaOGiK6mQxn51Gl+NZ2pf/7/hDC3rQ+niYQajo023nv8kbxNoCV9vC1j
yTyhERqhM5x/QFZYGXwddcaYZn7Txr8KNN80E7qZ1Mb+/4lhng6u4Wk0clnml42yyfNoO6XjuybH
a27T0nLgAn6D1RFlsIYQULdAyqck8wd0QZsd2mvcZAjnQoOylk1beg3xfgDkNPMqwjW/VAGgRgCA
EvLMN6RYtYQAjboqZl7f3reFuwTIPSIy4EiRGGI9CBrWhjFMsBHILVuRAiKBRrRQGgUmbkXSd+jL
qDQ6gWH0BBTvUaRhrq2mV3ra6TT1427XNZGptHdi+lIVXlcCefGT73cj+czCD5SeK0GxxnbNvVhc
60zig2TOzKPDeNZxUBcSHaDuBb/RELSVxB0CYoVrztK3Tl+tFDUVuH8ArqFn8vLkogbcjviT+eBe
dGVrsj+zHYY+mRLy1rmjWAnKK7ePcXlzz0QyyjIl4ZjIA8lQ9ehdfjc4vEPMqDXvhV21pV5uKSsS
Fy6CymvoHjcQDAHzMWvvmYEShEIxeh6mMUgzrwAfGKpTXHR/e1kLVhD8LPJMHjefF8s81Kkl+j7a
IPUxwA6tu96UClYtPbTBD65ZSZkvPJZwa8HcIaP/BDxPjMFtwcxcKQluWw7yG7PPwhiUgHHmZaNM
t2WHeDJDD+aBoAPzP+zkPL157jmYEwrMM41kjShm+MfXZL/vf3d+3P89gATtZsCro8YPUwLitMvD
kvqgKKMwivyu/SwBw+cVtEJ2uwytqwYK0bcPbUEzkJEFcAT4t7m9jLnn4DBrVG4aiT9FpZVXuyaU
MXB7JZhbuMvwDuFCA8CLcJzNy4LkMxMTRUY9TH7Ips7mlS/VQE3j79Ejc5/Xv3IYtSBaBMdQRjlM
Ux7VQLM77iMuHgHqXrGOC5oOG4+622waoYOMQ6gLCq1BW0t8UJ46OgIGmygCSvMCnM8seZ/6Ulg5
psUd/CMRmOFLnZAbQSrRd0D8UkstGeG/GD/m4FhVMU7oPyjEmSTWHKZlnAt5gJJiEwBKNfBYoPpB
O20lSFlUvDM5jA00uorOlIHEzypU8KTYVjKEkWvEIPNdYYw7HBmkZ2RAB5GgY+4S+teCRNFzgChq
hXqGkGx6aVgLU5eFAJmIZh2gEtnDSYZG4YcY2SxUYSc1/AKj9q/bh7Jg77CMfyUwh9KHYdKlAiQk
fOOk8gcYfK2a1zaccABvgY3QzrotcGlJiIRRlf8O8VmChM6I0QKsQiBKvccczAj8WP+4LeJaAaT5
tQWQaYZoYPMuVRqcPwEVMthwrtStIkrMtv2ka7WR642bhYAabmYDBjadEdI3WjJ1yJP7RRm4qaHc
xdIzUeV9ROkxylrQtWib28u6vqmA9uOBQC0Xxgg29XJZdcDJBjDcmY8mbbPHQ0TvQ/3Ux39tEC7F
MNdH7oy05boi89FBAH5lrbubyjt1DSW3thjmdSBl0EZ1XuKdVZ00VYhJGmQYsyo1a+P37X27tqlY
0FxYQvVOQ5mYWZBocKke80MGRNAxIOWPFtw2JW2wLGBoI9W+LW1JL0A1gAT6PL4MjQmXpxTwHYdC
ATzpKEZlnyA5xtEfldxaVd1+od9pPSlzpe7z7UXJDN7s3KTIsudxodZSfio7X07j2m4A0bTB1FVs
pI6ucQUtiILvAOYG4BbgwLNhggZsVTFGQu8nJMCoJJq+UkxmdSdN6bzb23hlJvCkAxYxU3zMrUw8
8xDWgSpyVdX3PkqqNqeVdpSupEXm33BhwC8lsNiILEjVpi6xFtxWzuw6vnMgsXanPGk3AO/FFsfX
oisrjWHThArPtxd4nWya5eOJR90UwFdM67hUlEgvhBxOaO/3P2XxQba2goaRSDkwnmDOtGqrWVnv
lWJ+y0PCBDEXijtsn5OeFWpS6VgvbazidwQ0FHjoO3viVp75q+vGyGHW1VdBhJZPEXKoGyqVqYmn
0K6lO3G1KL+ojdq/K2KumtTJsRgYWBE0vvoBYtkt+W1gzlXtEOv5i7cTd+XM1pY2//ws2AlDEmGY
DgQepp/3kY0ZiyuP45VVnPcO7N/IfKJqjCfsUgA89rAZKuzd9LMg1mQVou3cVrs1CYwxLEpkHLNZ
Cxp1n4LWNGgUUJuCIfnnbTnXkSizFMbAo3u7EytFwvUij3Fjk/pels124we9WaYmZkO8UMweVzD6
8P8peLYsZ4dUKlU4pSEEK0fRKDGmdnCjynoZXInfKLu3+qM0V/Z0UQ/PTm3++ZnEqa0SIRJwai3/
I5EOcvgjlVZoX9ZEMKpeBIQfSSxjN6X7nn4O+qGQ3lc27ip7y5wYo93ALU5ZNitfEmU2aL+MyJJf
y8ZM7PbRyL1AXDEUSyYejIhoSIf/jJiUWRNY0mMJ3Ku9zxNq8gEeY2ltStrStp2LYJbURGinjkMy
+CI1h626JyuP/doSZpt7dvIYxpBDBpbQxu9ie4z7x5UzWRPAPIORJHBNJUeDHyD7UG7ROFBFd9LH
cOoP+h2/fybH2Eofbgtd2TSW4j1tQ0BntXDw07yyC6GyCuAT87XZbotSwLcBosM526LPPz/bupKA
eyDNcTQBtUQTQIB6xZYuvXcgmfojgFEvkOgMadMmg5//AnbDipVTk3l979TEk9dKEYvWDiEa5oLo
KPaBHOZyNVGeBiKYhAZ/FN75mYbcRYbKjEyMWNUt+R2HtLK6Je/lj8C5R5oR2Ce0rbVZoFVKFk8s
7bMFS8uA0TLIkK2o+fJW/u/qIOzqWeqSQY+LAYnM8cswTfr1sYLkXNAGECEhxkU/Btxj1kfXO21A
Mxt0rqwf8viURocxPt1W64VFXIhgHqSiKEstAdmpLwpvRfoL17Uqjg36/++FYuXazqrFuJYXouZb
fabbYlei6xgjXvwsbZDo+JD0N4oJIsJaDLosB8VelGK/Z1xcypmN29BLuENQAWPQrVxHIg+TYWRj
TQMWPB+s6F9JjKGbGTCEUcNlaovYSjCvR845J5EsLqCmurJ7CzYPpNE6UioYomkAy3O5qpAfxVEv
0wEY987M5ckckP26rQuLG4fZPd9hNPgMGeOjCNLUJiUUeuB3WRW6oEw0ZXUj02xzW9DSviFhjYoy
umBQl2c0Qa+oMshpR9H035mEbtPyRc/f5vya0P29f4/0OMrz8/yIGQdyuW1pEQ+ESAUFTr4/NZyZ
C05ZWcCbJH8NTQKR3rkkZlEYmxcOvNxQHxMPwEQlxZHV1flaIH2NCprFAGqAP6gcwjG+XBDonkJN
IZgg2EpW6fNOUHg8t6GqOaVetS3WunOX7MO5OEbtBh0jTjmKo4qkZK/+4sTQJuOLGDqC4AFl/Jd0
Loj3LhbHnNaIvKRBEyxO6WM7K3gzw9Tmv+Q+BEgNBT28SsALA0iDdo7LHYwNjuZxM9ETkF2YJ6jk
8lYP1bXCBbNxV1KYty9PopRIKWbqKa/x4IFKZRBAs/iIoXrc8Hr7OrENDawstntOjWsp4xrISjif
y970DKRk7+q7mPsEVbW2N6NkE98V9Ekc7xDZrlW7WLTcP/JRjAWJFSL3q+JlRPRKAucbPaE/HMxy
dtY7JjjmlG18QNev7v64vd5vHNLZS3Ilj7lquZprBIdMT7KXtk/KZPcYpOliYnOOWl7uDZvxE382
xB3xN7dNPVt1bn/C9xjCW5/A2Mp+zjk1Csb66Pxbqh9bNPkUee8U8aZBy2q819B4MQjk2CWtXRdv
avsxArQ35VsUDC292CfR76JyVAwbpPu2bOGdPE65lzTKnc5h3qE+WCV337TVtlWF3SAP1rhSD1hW
GiCWdGT9gT9grX3QqmrXRRo9YboEbwXe/G+9xWBY/DeyaO1S0Yt29u19Yyz/PycHSN43Sy1KOoz1
KkcDPZYiR08UMDfZLosKBZ1wlIk5gMnZDrRxAucbmtZvi13WmDO5jBmjVdiqcqLSUyMiuu9tkg+u
Av9ADu5R4EnkxB24F6H0wv7QGdshBAGYYRLRVAfFjtTXLAHqVxksgkmc+b5Y+Tq2YeefXdFQyQUr
poqgj3FbUx3Dt6YeR1HLsamSX2l5h/xeqqPqtAVHkTZwZr0LVosOLGvqP3Jn5p05lQjILhMIppyM
JtQQp6FEvRurYH8B04gaYIC7ntuBMZphmGLsncMF+xo5A+FQlidkLQRwQEwdMbNJ2msYlq7ej8Wu
BLPy7UNb2hZEQQCdIa0KphDW5enVIVeDUu9ONb3LMLqoJI/QVSoTK+lzzAk8haU5jP7aePQFHUWL
lgQ+QLS1gDaI3RWtyjEljetPE/+jEQpvUr2mqFyaZ440/F3AMp8AZIG4DDwlKO2wQAHDyNDqIOv9
SabHUo7MfviRcK4qIiu/R6+M/LiypUw24x95M34UcBbwzrH0pr3M5cokSP1pTLriidJQdErIRYu3
bPFoE3KkFINsCA7zSQwHbZfmmF95+xsWHkaQ9AIABCZNBDbsUOhSTlOxJkZ/etQjERlm2eTRRMn9
SqfaSte6ar8LjoydBgQYmCTYOB5UksxTkU5Gx+WZOpwSdczvJlnhHlOt5TC9MAlVUKi0xY520Hip
rEc7bMG2nKPun49G55BxEn1u0jFkUZVGawxAsgX3uHQ7Ldatrq26fUf0Z8yNlGxNHFVr0sD43Qdl
blUGjBmG3LaOhNGftdCUHtdFgssNmPspj61sdmDvdmV+RCq46STYG0WqphUTv6TIsHmgAkENBIBe
RpFpxFchyRKkRdL8BfzrDzL3qQ0PfXXXSM+3D5XN238rFgDDQBygvohRY4znlurtAG6WYjjJgWPI
W8wq3RoC5m1FpVkOXz1IB4EGexmbwco0DqjitTI6Cyv63w+AW4zxuigGsijLsu/CSeOq4VTJbkB1
r6sidx4BWxY2yA/39bTNyS5DJV+Vf/LdU9GB4LhSQRfzmsfh/e3dWFJxFXzOmFWJqQ4IAy89TCWf
lF5WyuHEBe9V93M0jklp1qqpFXerDjqT8vhn3Sg8oRYO4DYQ1ZeyQDaWDVHeDSexjT8BwzQTTYUP
Ro7qz54rLUwA7sQVNNDyYZ/JZF7TsKZiWYj9cJIC7qeke3HgFSWe0HBXpI0HeIs9dmDTEagZ5JMt
tqtouXkDr241+liMudTMg0X6ctFT2YLNUmiHUybv5Xhbdb6SHpLuiGm9rUOoVaBLpy73QgwTOtn5
YVpjYlo84bMPYK5W3WWVPM7aJkWco6SZSZXcDe5lkId3oBbTcnnFx19b8fxBZ8kTPOFqHKs45ngU
7qjQbKvM8JVuLf+4+ObiAv/ZWSZs4QaMUDNi7OzINRshqWweUXmpbglHTYyxQ7ZmnvcWubFiZop3
+9r8H3r1RzibYw2oqA2jjEW2qXtQVat0kG3XX53p+anZrDhdyyeIyYh46ueRDYwOc0GNJHsDWVr2
VvGbNnnKge8cH6Xgh7EianlTZ+JBaZaGuPPy8EgUUpHw9XAa8t8DOahgqg4Qvec22teQCysC96to
v/7LZqITC3zVMzn+lfdUtDnf9rikHd4uHXQ7roJwqcSsZYszzF7Z6F277dpN9Pu24G+q4qvLeSaY
eQowr0pPC2XA5ZzAwPcIqsrniQfcpIQNhB2M5vnFRWzyBMPsQozJ2A7DoWz1jQHnbmhjC2NJt7F8
iqr7in8Sgw70xx5yXRRJtU7szUTe6P1KRDnbi1ufzHgJTTW0tCuwV+AWSrc6MmzhsGm5tZ7Fpa1B
Wg0slzOnJtw9xm5FdCi6CcMqTrFxUNzIyTtLakoz+xEonhpivLWdghcAzMPpZ/Ns1CcuR+PDFJiF
EdyL3AERvFocQGS2q4E9uaeTN0gbivj+9gkuXA3gd3g0AYFjHdEI85XoRI6Ekpt3w8umHQ0eFGmL
Iej2KB8rZY3hcFkYBhOAbhivJduHEZCJJlym4B7mIEDehNKAyQSmmvzk0YOf9/GK97lw0ljbv+IY
+wbIuAAqd3k4GWbtB56rjf9p8/4IYAEUMVUUzBrnh1OZNlbFq86Yf4S70FMm9LgNa8T0s2Iyinu+
nG/Lc/YsVFw5yM2I5ewVs1/Zqm/cyq1fzphIuZTaJO/xy8X4KQAQTtQa5FvkbR5Wdi23dtMeudbU
2q2OmxJQHkRNMpA89bEO6p1I2kMyrqWo2fTn7O5gweizAzoPvUhsOy74l8UQ/WvQTb64N7SgvIvG
dJ4g34qapQ9j8tYLym8499pOiZs6N5Uu/0vg9T/fgD5JfADQr5gFdWnOe7nsjEiCypbVQyQ+opaO
0eBqGFqyuL19E5dexJnc5Y8oxs+IK1oYtaTidlTasco37WuFfOhIGp/nduRnrdjxIQAPS7A2BX5R
sRA5fGcHUNxiLKKUBEFdCxwEd4VucsaAWcU0btdUbMGtmcPeP2Lmn5/pb0PzMh71YDjx40Yno9s3
+8KiZW12b2Hn1d2x2+uTCWqidAT5ZP4hrGzwd/PalY6ffQBzlm0pxHWqREgGb6nbnzB+g5iJ03mN
1d4fFVdy3zlzsg8xb472XZ9uWot6rYUootg8rJz1fJZXnyLL6DbX59QDS9sSBmPWoZqEhFx6RzGn
HBgUHmSitZ3Wr3Hswf8zG/mxem2b1pQmK5jujO6xtbrg7faHsISc/+j32YcwIUWVFMWUkQJpoWNf
mK/Yf+GxyTathuEEXobJoilO5FGLrR5xqzj4U/Io1G47WU3S2W3lggEkOUboUM3/kk7qny9D9h4B
3pxoZom8G7jAhk4IPUl98UqM6tfY7qPs4/b6F88B/VgzpTwYo9ngQpfaURFinENOBQ5ZXZAnBzyx
1Tp3iqAF4+UafnDxrs2FROCm8eCydy1HxWPIupieQPYR76RmSj7GKM5X+skXr9qZFOaqUUMKUk2o
sHdJJ/sYWhzuSymK3EJpjafbO/g9SuhKlVFagbNjYMQ5S5Gid3xekxZbCH+qd1t33Ime6KFp/plz
I698hba49Kcdb/ld44zjsfBC/yXZjq7x3rnhtnQ6V/AGN/+KPhTNarot/u6dJ+Km1ppDsOScGwjU
/3wrYwHAzwpEQQkLEIuRWYwmFZAVCA6Y+ZOIoqlXmyB8bA//JRN3IZax7AH4OIjaQpW58kD49yJ4
6qWtnh8VwMCy+1KAlbl9KIvnf7ZOJoIsEl1IIj2lJ60n466gtHaKrq+3qk7Wuq6XkjFYHFJY83RG
3FNmcTVYnrOQ1PRUOMOudUUvvxds7qf6NJ8uaPF91c29ZnN7gYv39kwos8Ceo3NbQg77yQ3BHhPB
iFXWhezXTaSYUSGFJgDA2oq7t/xCn0llHMoMbHp6HmGp4lA4dKO0E6DNx3qDeWp1fgDzkRggq+tw
2ZrVWD7PP3vMBpVCB08zQGX7xCvtUUTcgAKTzg0rxvD/uB7/imEfgxST4rq2RKHLQJr/PjF0q+d3
JDBF7Vf41ueRqQlP3JrvuVSaQNpfnLkk0TqtsIDxLBAToQON3onwmzAzLA0505ZgYi6xYYy3Cp2s
NnABT/bqPLSBQLJl4b7J34zmo9K23EfIfYl0D841S5XXQpal0tnFxzHqLdRcnycSrlIWOGHsNd1D
G5902R6HbYbWAAvDywtbSfZxp5stKI6Mv0/sXshnNJ0jBuZbczj6Mg8t4mSFn2hOW9aWVq7V/xfj
Jby7EkbUgYGJHRrHSXnfyzVejUB+FceN2r2pHNh2vNtX9/847n/FMO5moIb5NIMnTjHnyqBpQClE
1p/a7IhWH6dCsxJcHhFQEd1OoWsKFEIHXK2A/5FpG744Uq40U7IXkt4SibByx9f2gHk5CSdXuti3
9ASOOEtOIisPXIUrHrpVAsRlw3m23cxjRINC6wW+w6uQFG5M/MS4q6r4rTTujXiTh+V+4t+k6THj
d3G7CbrOBu/ljtP9ylgDrC8tGnQFeDDmUZRX03yJHrVUKUaYF62iHzLpZzkytWmpCn6fZcraLs9K
y/oM5wIlJhRoDTmOKoAIwrtGvZf41gQRbkdcUuwyca1csPRWoLTIg9R5ZklkGUj0sZVEWgS4wR9h
8dlEWx504V2lecPnbc1eEoQaO5I9ooGWYLbrKuCUQZ+ZzE60quyphBHjuueyHjZTQY66vGatF+p7
QDkhqYnxe/N8KcYyjAni86BHaXQqNC/pngeaYUhbb+ndTjL2RinsJPJl5H/Z1frtl5+LZR7BUGil
RIm08UTAENLsSPWarHE+LKnHmQi2Rj4pdCxyDjMZ++Z16I91TTFvzyWpbOrJqU7WXtelc0PWVAAK
AYgMcABcaiNHgkriCm48tRHSOAnCPu1B7Db60G0iVAr/VknQeA/qN9g/FLsxae9SWKjXNI4iTMGU
AVip3V78kN4L0dSSlXfj+k5fymGvmJ7EKQkhhzN2rfY+aa8lekEfby/mOpq5FMKY8rZPMYAxBjIG
SIfKEuWA33HFyLu3pSwE7hCD4Wlz9QfZVDa9jWGHI98DKn9SqGBR/RPeDxXBSetMnB02GC3Sb4tX
kfzixh+ZstfGXyMyCGXE2QpQA5Ucb6L2Z0R+y4A2jLtcLzeivBULO8RLM3QDJk2sbMu1/l5+L7P3
QIsTRRuAOsuK+3F6aDeN3asmWlnUcAU1vCaJOYAMQBW0y0BSrW0jfZsolZOEL+jLs/iYB1pjBbO3
gK3ByvBAIB2G/lJ0aV9qLxbFRQk1sLIkPUh9tGlKp+6fqETNauiecrAF6e7Q8OaQTCZAJbHMW2iw
NUngtfy26y0h/4hz8BEOKCltxbUm9Ws/WYWZR/0DHGA6ysPM5w09aFJpI46ogwiBo9fVaCYl+IX7
JP69opML92t+UjQg4cANfcVrJRWC3gDmI57kGk80tQT0ehWONj4ZyiNG3ZTVsVcjM+Ge6lBBF6Sp
FA8l99ACZkS+YmUfR/HPTP+loe8NM7u7Vwyh5LrQLdoVBVn5THZOSCiUMGGBLJ56ORFdUNI6rVaR
HRKuyX00tmvtIN+cBpcvO94/AFxmKtO52MaEEKBgS7MEWNbTvjCRTqvMo2p9fn7K1ue9//Ly8vb2
dnf3sXtGis38GszU+vXXxwL5yOOgv2/m2WFbQctIVQfQtCqnyAfOwlQ96iouGJEOoUe8di95gSs9
Zt60UbeCUxxVh/e02Ex38fMqbff1+zxPIdNm/nWM3bhqXSdGqKspZp6dFAATTLfFwKkQ5FbcW7NZ
gygupMpR1sR7AgaSGSrMTp4RolgjdaepJ34XvRnutAGpy13uqOAIv73Bwvy8swc80+2AXhI9K1dp
uZGXYmnsDPVUmMfRAjO49XoMzd+yWdn3/tsuMgfzx22R39iVK5FokwKHzOy/saRkGlojSnCRqyd7
f6jvT0f33T3YqTVaBjE/3e0RrdPmyTVhVh6b+81mY212juOZMRZvP+xX3tWFgBBbffY1jP8TTSib
80WpnjSTOEVvN88A8pFTvLGsyqe7FNmk3Rq0aU2oxFSVodEYREuxBQg4f1jv42eVOtKL5E93mGjW
/2gxSfopfFrZ9/mZurHvLICTJzFC8KjCvtsH+/1wdI/H3HaPkcWZ75X5OW+6m2HanFls6zsb+/4U
m9aHaBbHzYNy35mbFUVg58rA9Zy3HsQwiFKMmRvv8vWp81QNR9qop+DQPR7c2k+J67+IruF46Pux
hN8PwHd+jTttDZ64qPRngmcre1a6wBQgpIdFCJ4EW7SKg/FU916VIP53W+n19rYvZJmwShBEffdF
y2gJuhRGQd9REL7FDcvMye+N52ECecc9DQ/Bi0as+DHC4LGVrb12gQENxognMEKhzQBziC5lgoiY
GwgN9VOJE1Wc59IrNivLun6bL0XMrszZHuYEk5SHINBOvCfvALh1Ypc4nNWbLy+opm3kzSoUY00i
c1MBROikNOS0E7V7e7DCDXdX75Nn4VG0CxcKuskPwYp5/K5KMHcGRK4AehoYMQzOBUZFVaEaxTBt
sEpw5Pf7yDKcyvqMbPCVW6mJ8r9buLn5WHnVrvKaA9AQ7rwHmReavPuY2mQT29S8V7zajJ34ASzZ
ZmLOX9/h/0qP2KnJWS+AL1rDXtmmB27bWqEbWNG2Ak/+E+fqKyta1IyzBTHaqGZ1Rjit1k526YYP
z8VxrY/vu0DAbBkQ6TroGUEQOk+kvVQMDWX6Nus17dTasiXtg3vusXRjFzvmTJvkPbKnTbhrPOGl
cWtT3xdutI/M1mu9BIcYPIrYB5B7b4K7Yf1dXTCBqNUgegG2coHuIdZ7kusp0U+YMud0znu91dzJ
Fx0zPKXECl5u35GF1BiwEWfimDsCcVk65bF+6hz0pwOa72oO8kCm4XwUNnFjL3LgU5uafVsu27w5
G9YLucxNCYMmkmsJy1Q9fdduiztiUrMHjcBLte29/i5wbgtcsKffaGsDQyvASsL2bk41BnHHKdVP
gRfb0qbd42BdflOt2Jw1MYwzKmFoGLKmEAM3cEO34YPh/Q9p17UjN7Jkv4gAvXnNJFnedHexjV6I
lrpF7z2/fg81u1dVWdwiZhfC3JkLARVMFxkZceKccJ1T7ePxaGbAE9BmAXj8f4bDPDtiSDxrRdfp
l/d0gwYcO3oCIvbZO6j7cdVAIUPDFYmk5oewZHj6YfbogHkOuulopQJfKzNAFaF8FiuDfqn3xVb9
VLexWVqyqa2Gl+iXcn48zGnzscYgvYDshQzMr8ay7/ChWwhd6xsXqbACmcBDoYjmoT1gSZ9jLppF
9vmvJWY+vVryIYYXGhfDtzqq+MC17ivJjJoX1eoEKi6EdJMLux+YCnULsAvBbU/b6OpmqtC6Uo9J
alzSffiivojmkuTZ/Mz9xwBb7YeQoDC4kwH1wK2BDH/29rwtL2z2+VnDQwNaWQpYAtn0PUAphtaq
hXGRD/xnsRW/yt8gMrPEZ3HhTTlrCVHCBM5BkyqSWLcT1iSu3Gh1Z1xAn1E8h780yKfZKGaC3Xn8
1Ba23axzurbG5DjqSG0DxW0MpOcmuBiaZLIn70k4lDvtyEe0/AHpSTEhSy/8mYtvCoX+M0jmJg/R
wOyKAswaJ/AavMhfwnezxH4856CubTCXq5HlmhBErYGA1m9J94mOsFP5O7PrBfKMmVqDjjscvT94
jaLxiIUdCIELFaYkdS9mVJH43Dkb8TyYVKHVXrC2wSl2HvuKmUQRDALAJSAXgyZjlkUy5tuU02sY
5LcaKVY+nqTKrsH96aMqDJ55ItoJMAAShWApbXbdz0UWlNm5vfoCZm6hPexBzApfUJpo6HoimuXb
0s9qpW7ejqIJco+P2AlXS+KK974EOIipeAZMCZibZOahNuhlIoAMyr1o/Gi74qYohe34m6s7+/EE
z9mBWjrmFkyJk0TC7REs1aKqmrziLryRbxGH/ipGT1uD8q21crHnFwKE6dduPKSM5IKALAZeCGCj
YpvHBimCzEceiZeYgxOOujI1M6gzWKLUSAvxpny3bkjDg7IO5SioZ00I2tuRiT7gMcMoKRduPArF
ls93erjJDaKhE83l3lz3K4CSSXjgATPxXsb+rGREER1EaVSTVv0X7302a819yWM6OgIq2Pj3d/mZ
ZWtDf+lKyqPnydsNPRTHXNv1zKYyazQvqJBOAv9fQpq3KCZ1a6kFAvMENTCnj3aSt4DQubsSMEpc
oYgrJ2HDuztHhjxLkk4vytTXXauoBgidakgjhiBOsOIgLNa+mHtW0Qzuws6Zs6zLE/M/NGhAdjzt
rKvbTlZ6sANypXpRew593T345T1JzDdVj0kOFCNZaVWUPinGsFTon1vaqUMJiVmESii2MPdGx5WF
BwUFFfAb4CQEwrnQ2Ii2SupIAskPiW832RZE6Wp4GL1tqJ9SI6KFcOA7ygtrn6MjyJJ/GsNuHO2q
JJ56FhqgMfMforeOdEsCVXNlc9lr/DsoDkntoodz1cQfXkJbhTQR1Xfie7pV5CdeH+0gJG5nl/pe
wn89Ppz3cfyfHQxWMwWpPzQXMgNVZXCW1iPScZCyPeP9VAJ7DC7Jpsi9dV7Vg1m2sWhGpdRuCqV6
qmMVXF1D8eKpSWOKgqtTxXDNLkl/J9MIoReT0VpKtICIUiKRAnx4pE21fvP4u+8BIBPWzgAyDfEs
hsDGk5Ivduro6bEjVXq8AcVfchQ5dePH0DcIAGBveyjmSW5vGznOGkLi3FaS8N+KW8NdaYoCmWI8
BqdMMuvc2gxA+bAc3UseQsqhFrKnEEdWLjsCChNSYCUjtT772msgLHif++QLTOt4uYNqHKIYPBsL
yq4qFXzJe06SrdyOSutOsFt+1dVm4HT1FnBMxf2WF7uspg1x62BhFmOGbA7ewQoryaJGmcRHVeo5
YWPoFs+hXNS5vGsNWeuvqkCAKG9bVevRd+Wt6HOtjb4S0oRjbuoQbreMrqiXwsm7t4UMRhXRUKDt
Cn0QRP2Mn2hr8K6HleeUkYxMW1hRlY8UOoll26WUDXYDSKEZ1YW+Mjx+hCZaldp1EIYbfRCXEAr3
SQJ8DcjmUVaHcA1cB3PfeSEf5KDY8BzhRfdpEh2G3zyIuUaKhtIQ7yzZ7DorDSzJPQmyVXk2oDmZ
XBA+OcXZL3Evov87XyfQ24pJiOrY19CulHCbKZYm7BTJNIxXzfFkqnFL8ziFp8zSTslK9Obgngax
9XTfXfnbRIE4Q5Z02FGvrkp8D+9daZ88NdqxkA1S1e9Z9z3swnGVqOOCH/qTob2zjdcnKlT4XzCJ
3NoepE6EtkHuOaJ+hPNwTe954ACNI36+bXQqtutIPteKzbumaJaf8RP/3L3K1tCbSrgTqGbJIpHO
yiXRzc41W84ywL+/5HTuL3ws7dVHshdSUyiaX2SeA7pE48RVq16yJG3rHRTUDeuTYMk76Mq/S95a
e+Lg9UtToLyysEx/CkPMVIEZAadwArFO+I3bqZLQGdo1iu45VRdZ2dNQvKaF1XsrN6Oq+11z+zZf
Fc1HOoZEkvf+8KvkTVVYacAF9QoR0hVyDK0FfUQoaxM+t+LWlLnVOKA14RjHVuieIZQhlxYXrRuD
CLGlPElfqJC6L8ZzHW5KUEnUSO5y37L65IOCoBEOzXasPzSD9JB5DTbBSzRAjiXd1soShvMP7fmj
wTN5BJlLWjmBUJOjHirVRrMjqfrnwDsYLY22QfhWFCRdJ9EbWppwaaM5/yM9h9k6UszR33u1rSpv
Ym8OX6q38bhnGcjwbKsNZgOPbVQn1Y2JVD7D25C0d9CGPkzdIzTozppqg89e++HKG6114mhTpCeg
DP1Jg3yvarY8HtJ8FwNXGpCW23g6zVE4zl7T0sw1q+h35SrQnvJ3NKk8vglnbnAUmlQA9BGiIbei
MAnxQatqj+dUz6kjWy0osPGFtwETfmsCrBUTMVjpNR0OWY12NQvtbxVN0c+1VXWqDgd5SdRj7lq6
+ZwpqLtyInEKMaOucj1nOCQy2n7tKjI7FNF9nmT+az1QWbZkPjJ1cYlOY+Z03lhm3FcTi/2YyJzn
cClJkhg8Rzk1Ko0oqg1mpTJNCDrOF2b//smP2BjRP5z9xCEMeqrb4aK9W5LL0vOdmj9yuHnCsT/4
nk6qHHiKdKJJtKJqIGBO2goImlsdx9EfNoa+SGt3987Cl0j/NCJN+TW25ToJc7GQG8l3Ml3pQNIX
GEelEftV0WoC7YYq3VdarF8yoTt7NV/vUsPrzSwZQArmC+J7pjYGHfg4MsVCyL5yzl2Cet8/7fGF
ECaFyoAIEjzQ793OFfqRtCCp/MBpXGldBqFpaCUFlL3SVnll+01rVdwmDVsoyT2H3Gtc7o3SjjTA
lX8+PjP3RUoUu8G8hbAQC6drKuPI1VyWBjXJIkddRYA0CW+aPRzgrCKZiu5GVNYlET+iE6iCnMeW
7wFCk2Wo+Uq4YQFhVJhYpQUWQ6wMP3bU4pgadumBk2edRWfNdST1V6gdkoq4aLfgj7VqVXplpi7/
nouXHowBfjpJaWQAmr53PJDVsUv1PNjCFLQAayopX74Orhh/4QF4l15iPnkKG65OtCDHMoe4K3JE
NZGcHm7IDruqAoonhoRIGaZU7jN/4a6d2c0owiESgb4GkrhsdoJLgfEN+DJ2SkAi9tUSuc201Zhr
5ObnmWskELsSOHX8vDActeG1+9KkbX5sdbqU2P9TE7q1hCwE+nUARkLuGzmm29nTysTNJD+KnSEe
t154kIetUGoHt9kXTjHKVpd95MO6pYgtTE52L4/3230CFOkdIFzA5QLRQQHK7LfmE5GTG9d3facU
JhqssCPRgI5Pu40PaRmSpFzxS70r9/vl1iRzuOIBXFFCa/jOJCYSiQ2JJQENWB/jqHxzSDI9HuE0
AGZ+kdzVUPMCWRAo9ZgD1SdZD6ZKLXAkv4tNvxkrwmc85Totoo8t3Rf1MZeQhQSyz5DgNdjIPisq
rxe0MHSydDeoT147gvYHvWbiNzI6yif4SuPUKmwhJN1e1U9GbY8H8POQpiKpuIuWKrj3ABd8D3gj
kUIH+/QkXHi7tlqdh6HIxaFTc4duopcQacI9K0+uzY0kTzfJSUdJciDVWXIM9Vz2ay9Hmg+ycunC
1NzXlaZPkZE+AFx0IkhnzlPO90mZgSvLKeWvPL+05VPFnaUEklC+5QVEddHUHzpKb0qoFctbF3J9
CC/FRoQypfV4mea23+QwgL9E7QeXze2sRFnRdwKUOJxGkhAOGU26KqWwBi43G9ehVsQmgoSl98uc
UZAzgdMHa4GbhTGqRJUvJH4QObGv62u5rfhN13wIdbsDCmnEEy80Fl5MMxmQP/wJWHkIjE9cEbfj
HAoX4hwDZnWUf8nDZtAEaDLgvSFXJHnpEYxXgSU0lr4EC547cAp4e9CCz0/ZMSbMErsmD/EIDx1N
bceDAIaTKEGvS12OC75rulfYk62BgEpAggUkfmyzjdR0/KDpfoQEB+SPpADOa+GSmXPO4rWJaVmv
rjYXvhld/mHk+JVABD0izYi4/UsCdOGVTz8GiUBTqor2YU/6hdLU3I65Ns0EQ6onGQiHisjRc0UD
NUvP0TAWAEnKNTx3tUwH7VSSrP792dDwwkfvkgrEIxuBjb4vjLxRRU49hGiYvbhSYfqSR8M+x3lM
lrbo/S07iSPJCHgU4IRwkzPTm7WRP2YYI9pVBTvrdBEq6n2xHYXxGaLnk5KDFpkeYtW10ORAhoVo
1ZX9JjBrrgQVgj6mVgSMvd1U6pcWDhKorbhgl4ziYkv75KDuNhvKTUh0o70LDD63n1qDGCNPRgHL
kewaBWlXtOoRXTpW0IMbt2hN5atVtMTXM7v/MEXgVYeCGTIfjAfnM2WQ5EGJHCOpTFB5Q/f8hRtp
kl6Q65ZKu8ELvdd3FW+i55f3lqKg6aiyg0YP3VQbNUCqwbLN1Lwr5qOYxw6ftcGBy3S0UOtxfA5l
34lAY39KRyi4Kbqb0CHvPv71XkT+AnU3IDShLv8nRr86e4rkRXmf17EDaiJ02+4kxewKS05ByfLj
saX71nFswWtTjKsEsyoEoKQqdsQDei4371ps16711rwHFAQCVmyjCXObR1SD1F9yCqHftfZO6mI1
+j6mBeJXhzODFOUkaM0cecjxSmMUxImD9HRlZqIAxrEIEtP//gK8McM46ELP4iTsosRJxhBdyltw
TfniDuwx/VKuc+YddTMiNrgVC8/nGx2mpBdxNWZEe9M/IJ6sQwWG1hZSYIHddwS1r5eFFRXvdy6w
ygABIhKblJSZeAM8/mFbBnniAG5mIeH+OTjVIbS/w1NF7NDUAS7pzOqs7iD+OuxwfywFXzOX080H
TB94vXsHNQBMMU2ckk8NMqhGbHnRkNqPxzmTTcEEX42TiSs8OQNyP88SJzdV99x0JqjjRKj1ggvT
5sR1dRHLrZquF6zO3E03VhlnqOpVCcUTDE47fZW/EoLaVGTK7z1FJnhTUmlLreHn02OjM3cFbIIK
G9R0ePD9SbRcTSjviR44DOrE4SK8KEGN+hOXBpQsmjaiQRtwq6YTeyqn2RKgdCb1PD3HgakBsAw5
VVb3HRUcD4WiJnZisPOdwrrPBVzFntxQL+cEgLGUYtRfptzbq8dHQ036OCuVfZ5ldUaDIUpefS9s
vyLOqNovvPeqAanotuFAyWHopY/2kQJMsqUg56XJh6o2HjxlBI9IUFa5imJEZ/ziIB2s2H2UyRlS
ioZiCXHv/5T6wAvMpg/L6AAh7z6lWariRpCVOu3Mx9M/e5QnEjDc0rgAUVS63dBi1ipKkRexg0xC
zbWmXhHBAz2C+6QZtNsrKFjrNArABtVR9Peis/XxB4gzlxFU2v5+AHOkZZlPQ4hi4aEcrhuFB4S0
CSBNHW0rqLFLNALj7C+wU/a2DngpSiO2XxFlxzVgWK5/l9y7/4pZjuvn2sOMB8RIXgr1gGrL/+Ez
AXUGPSqY55HBYZx4h8bXIQ/HGOxh38Envw73nC+DlLe0g8ZsO1stSasTPJJo4TW0VN4595gAid1S
o4xpj+A82riuhTJlJNIy2rT9pgxw45NCI/ySjsI9tRduPhnlc2B8gdbEy+x2VRskyLmxF2InG9aF
umuKiES+jfyghF7mUPpuusCqkdtvQ4G00fsABnp3G0CBJUL7DwqYxUaXXo2Bqh262d6G8HkAvCEx
y4Ij3VLRfc4D4A2Fhzze89PT7fZbOb8MuiE0YgdV/db0GjU3i2RwiYEpt1BOVUkcJ9m6LLkldqyZ
J82EFARv0tSQA4WbW8vQVnKLSJUxSyrvrateqgA0GMajkhT5wuU8FwOg8AjpEUTf4CxjQuJcKzyl
HAM4dEmQwWfdDFZoZK8o82z5qFgql8zeHwhqoeINjD7+MIeKQ3wZNOBxcfgEbU6CYYcNqUGLVV/U
wUY9IHiLRnPwl66tyVkwgaV0bZa5HV3dD9ywaBKnUIlanDXl0PA73cYB5aJd3q+GcuFhc4/iwkYH
eS8yyyi6AkDGLGGvFJXgQ7LPGVrkIIAsglrWTxFg9Yo04huKIfrZRzQUWtxgthXVbB43KUD9Bris
x9/CsHXlhU+a82fAy4DmVgN0BhXq203FFwIXNByH2Mg32i14aAEdqZUXkauUA0So/Z2QFR7luSSg
DRC7C8/LufSABBdl4OGF0ji4sm7NR5rrg9M8Sh2IEhE1fNcGVPfkNadtJWmV9vUq9p5KvbKCJam3
2WgbRkV50oFA7pHxkLKQAEXUwnKnkL54qvjUNCAM4oZW1Ca05DNaqW9tvUcvP/ESW1EruEa8BXML
bfajgEKeD5FO8Iod++BVj03epWDhe+zGZ44hdFoRgiM1iJwVewy5oVZCIRFSB0rVlJM2XtWCE+Ng
LOFrZupDQDDhxW1M6UkVIJHbZSiKRtXzSEqdeF++cJuEVBTiWeT5WXj+VRJxictxLid4Y4/Zdd2Y
tnXpw15GDr4t/56aNp6/x+M52qvkLYeeuVNBLXHx9p458Td2mYsmTYVKH0MxddpfeAdE8i71P1Nt
pWQ5KDOg4lTqxFUO4Oji+5eK27n4nNyMI6tH61Czy3IrixeQpDPn7+aLpi1wFVByo6y6eHamDork
U5dAbrZ8gl3fE8H/rvpFspBZe4Cq8eCnRFMnyy40DHGgVTnsDT3aJ9dItpJNtvJfeqw5kPWUJzQ/
TF0yVltQuu6I+ZXs3Iq8Pt7Zf5ASjO+dYpP/fAdz/JIWLce+gR2wAw0JMYiEgjABnSv23XfzsarM
fQpIa062zkv38+lpKf06lwq+sc9c41XaSoVQTPNOAGcFB2G5x6slC1f9NnMxfB+PwsB88n4+Hvdc
pePaLss8FAwNWCYCjLuhg0LQZI9HNo1dyFusTGnz2NjMA+nGFnutyl0Q6z7GqGu7FiywYX12h9fe
+14ExsyliG5MMVdpokdyNkgYlnRK0F6DTAw6g9td1eFpS0r5GP7oAFE8uEsZ7XnP9XcfsYUVxfMQ
VPg40YOwzgrSZJQ/8K/8uI2+gcwZI5MD7UpmFS+iupCvmXXOV5YZH4bt03XxiNnlpSdVAJQutHsI
zy0Gx7M+a0plg+QVwAmWTaPsVE5WPWA6FW43YR4VOxHQ7AAG/A0H3WFtqu1EdvkpvvFKQ3ndNsIj
8pMJioRGucRePm2Z+2P792MYd5U2Quz3AtY5zA+tb/V413AUqgtog4+B29klJreUF5vfxX9NTn9/
5SGnRy/IZTDPkrIXQrsGL6r8DlyxsEglwh5OVITA9n+lD8Usadn3nTFIdb8XyyMgNSrFo7I98skB
jziutbiFPhnWCd3ZY66jzhXUrlMgEJVZLZrqw1PmIHdhuqQmAroPffKVmP7BWD92C8wV8N9WgQkF
fw+SCeyRKQUA6Kq67PdDsQvcEkTByIUVH2VBJPdLj2258RfiGGYJJ4sauo/ANj8hQBFy3y7hWJRR
3KQddLfM4pCTz+1Sz+O0MFfb8s4Ac5tUktpyXND3+046ZIpPSvffz9nNCJjrQkLSmZcbjECNequL
QtrkBOwDkSKRWNRwX+Rebj5eJua5x47pz2a92vc9aEiihoNJoYAWn3LAwwBiHAsrwzruOyvMHTF4
sWvkMlTDgAK0pXfJrn/ule3wXlsuspHZ2+Mxsdf+f5vDgwMinUjos6qWNaiPE7nDju+of4a01way
lkQmyqqylZVsBsiSViuQK+6PYw+JNg69qAmai78ef8bcQcdy/s9nGOyzI0TTl55DzHwfhZt28Mgo
qbRAu0LbqCQKTd5riDZSiVcXwp5pH97v07922dmO+TLyWgw/3uSXznI/mn3+zC/sVfZOZCbZ4JnL
GAQr4ZgYUNPTK1Dkm0JDxC6YFNx/FM27FGQWD4RlZvyUI4UMSAOh4NVFSymE+e37d6jMk8IFUy8I
zzHUy5kukQgubCOkjW4dipulJViu8eOeKBMO2sUgYzFV/1BjqCFHK8Txo2a6yXPhW6A5GlO7gpZK
QWIglaHs3azaws5adyNHOR3HFboXauNYQXPj8T6b93vIoqGANIlTMbcl8OntUBs4wg2/qgBjQ9u1
gdqi5QrW/88Q42BLNdRLEKXhFNvQu9psm/WSsNP/sqn+joVxsVwPzZLIx5GpwdgQ4tQKtkYE0/9s
QWn4ZELzmz4e0/whRa4ExTdo4wE/crvIuuA1shvy/T4QAFGE+kJZlyRuvxsANjS0U7vHsLabYAmy
wMR1/5yeK7OMqx9BiaEkPuay518MLyPxmye7hPOWTunsAfmPnbvUh2+oOl/KsCMZn3q8is9cuxoc
tBNOO9j/aL0flZm3EhlrEf8O6FJX8EwYgBwmjwAAySgAv5jUi5grXog+GXiJgEfPDmd1+W9ocNgj
COnFoLW53uHczcKaTqf+zgFeGWUcYNx0NQBQMAqt5iedA0rQR49WtgWWQVF2Hsj2xFdZizc8zquf
4lWULcRcLDzqn+WFe0fySkP/A1tCF6BJ1YmjANevJOlKqi+NFFm1W/0QClvmW6vRhk3RFUitmj6o
61JI4UTCS4tmKdHPNpEHNaQfmnFoYnebeAvXA5sOu/u4ac9c3fldCUU58NzBr6mKrbiJWRtnt1lJ
vemWhw5T8iwMmxyC94+XZTpJd6syccHBKSNSYx+laZIl7thNZl2Pjt6qlmiceIeSMz7HXrF0nfuX
eb9/BnplkdkH0uCL5djAovLCrS/uWdj2W/FcmMYmWAg55h3XlSn2NkyC2C96mKoSS7Avrqmayupo
QfR1FR/3S0wM817ryhxz76VFkIaAPfd7TjCHkULRU91zv7nEzJ9SupTOYcHKd/PIXIS+bkQB2u37
fZ4qm3Fs1l4BhK1IlL0Kcgv/UMkC/upVQjozRQbAgxgiijkjrqNS+r/Eq1P/I0izDChvM0uqQkEs
yz0Rn9KsxPagiJdcWtg29/tURScdRHl0vIbRyMa45qzKe8nLhGH/DmiEBY+4FFjc+0QYQKUeOVD8
B+qtt+dvHCopGHIY0Lz0wpW0Agkd8hmBbBVFBuXoDzFvF2LR2TFNWmfwwWgOY/tkXDAx1iPqOHvp
vQN+K6SQLTg3E7zj8Rn/0192e8gxpCtDzPqIfA3JvAGGcLpFWv9EilFaD6+SKZBgq1m9FWwq+7u0
IIFWoBHBNM7dz5cljaz50aIzD4U+XCZ/KkFXDg4NAWqvlJhgUaUeLam848wl0MP9BY6BQhly6gXG
77G8DYZbVKkaq8M+0akLxQ+9sITQrBYJh2fHcmWHOXsRpPHGUlaGfXjhVZKWKy4h5VvJPzVithAL
sdV/nPPbMTEXAyfEQV7z2rDv7YjoVm2D22cFsdytTocjGUExZUx/aGmBHYVGqxz+bZuSbUkndht3
MQK/D15uv4eJbIvIyCIh0fE9eCrFoe2qFRT6FkY9bwQUkwgYQLLAYkeLvo0lr4MRVbZrlHmHEatY
L7itGYc9DeWvFSZ2NgD9y1UOVuTwLdWeu1UKYWHEQLH0o/MsQ0uo1CsLI7t/GKB7EGLPoPzDUcA5
uPUzsq8P0OKBTS2yQ+NXF660+pgb1EAz8uNjP7NJUV6bSJSnaUSF59bSICSylFdFv3cjUl5cUDPu
3FO5Nc6PzcwsFSjW1IkWGu96aMXfmqkFfTCiKhr3echjzppTbuzHoLAeW5mJj5C0AvZjumNghL0A
mryu+24Mx72WnbLncp9jVEm+lhoCGGAPwngQnMf4fwtm75drYhYAAQU2oaDelcM1BIxalGJ0+oEj
p3RT27yVWSMeQZz13diSTwfQfiwlte6X7tbq9PdXvhKdP2OXK7BayQoVs10KTE1PFenihSGtg/XC
IKfA5PZ+uDXH7BR5agtRapgbI9v1D3IJ/pny0nZb9zmKV43GWbJkcRPLsg85w/bn/888u4O8SIV+
Yp2M+/qX7nRAHGWoAtvQDCpXng1CiQAB+FL1YGFdWXLVukDvR5am4z4Ncirz74X6NrzzyAV13e/H
w5u3BHlXdFwDO6Iz/lKumhi3BYdt0ryEnMO7P/zyt+R+Z0sMODMJPSzjpEkOfAE26x9R36tdoxtt
E+SDP+7DRjOLMLCiIiC4cDkkEqvWLjKauzFaj/eDwD3lP9q6WuA0Fu7v3+kLIEslKhNGmUXEjzHA
ukMdj3t/k1m1b2b+Gli10nJf/Gdj69IX8Bo/+d/R2+Mpvo/dJrNTzwsg/+BbYKZYTPiaNzzs3wFo
DhV4ipUwQg+B1HVMC20rPj82N3Nv3NqblvxqosWkqZNShy8a+AM3vlSfGUX+FE3MgU7ycYN8ycKl
MT+xmFCw0wMHdMfbCoqIJNPyDByWNggLrEN5Auhw+rORiUu+QhRvvYXbcdYHXZlknILeSH3ldfm4
56mwAxHaVtloZCkTwcJisFcwlX+tsGyspeZFrT/CSmOlJ5FeRuLTcX16/tmSDw/d6Xin03gFxj5T
ogvh9+xmvTLN3MQaeknriIcLqMeCBjJq0GMJUpATul8X9sv9FXk7SJHZL4ZaC0oGSzIIO0XPVJPR
VEY74i9Z/A5apdxXQP29EnmP5rmwwUuBDtWmbhYc7RSV3rn5qwFP18DVti2rVK96A5vIcD8C42fU
L5yLWU939fuT/avf10d0Mfl+Ma1lkj/r7mssncTCjOSlt+9MJgedKYCo4x+wGOPdeWspLRW3ikvs
mt4GpcvruO5Jvq7XsanZp5RIW4HCEdjgp0FzzNui9bnr8to6M4+d11QtF8K6ulVsVA9oQiGpcCjX
mhXQnuIDqEtLUz6E4BSVd0ixk4VUFoui+XNsACWb4kg8WlWD8UCgHxMyr8JU13ZlcSdgTi3PVszK
yjfigNws4JC1RpByFmMbeqAZXUx2zLkH8NWhrQ4iNyhNM5OA8tdQtX477rPXuqHRc3lJz+Kn1prp
sXsTd+j2hfQYtEl33WmpT1udXYAr28xG05RYT2W+GfeFVZABGOByU577jfsbTJ9PSLvIJnBEK49+
fuT0VcErqKFfIPu0nNXRcXQSUIM+x+TTox+rS0U2oDoiHHBP1ufeo721P5ZH0VZovXpxup36vBRT
zvmd65mbvMXVMWnGWBOzBDMHVvV9vUv2EONYcDjT/mdPOuCiwKuDzxIPSCZ+zKs0HuJqhO/24oOS
+Qkojyp9zfF8DOThyB2SDj2fUlq1NFNBsKFlxSYpmxDlIU+yH3/MnNdBbxxeIECXobuEuZxrvhWG
IhDHfVD80vxTGi9413uvg0GCdRUgCaBWeTbmiAHwc2Vf0fe1TAEia/YpiMMfD2GmWg/gvwiCRmx3
ZJ/YACMQKznWutDd607xyoP9DhBBGts95W1xM5gqAQtfbHVvj83OuDmYBfcf8O6CMHG23+4UxQf1
XyWW7t7OfWt8SwqyaX/KF4RUEMld5WTYyG+A+4NyBlQq3LlfeNnNXM6wryKywgGHm2Hps7nEk7oG
5F/7nRFTdSu+csfoR/rVE3Fj/DAOnZldinMNIthqrVDpzB+X2nbvnQyYCEDFL+s8UNcSC1kDgsl1
c1F1914CQg5oIAxnhTsjQYaEZicuPDH/pClvT82tNebUCHUuGJmiuahQZ4Q7BZ8cmWh0xFVnKXbw
DLZHO1qpZk+QFiSXZ9X0yPn4BtTiUaDJudv0Fm+KdrviAQoYLQjRmI/3w/1JgtYzUmfo8QZiF4DN
2+1g+GOkZZHn7v20IDIalpfEVtgeC1wrtxaYDQdiwtite87YyyvOVt6rVebkVuW0b4ZTHrOXdCWc
/aXs5Ew0fWuUuczdBE2uIEx399VzvRvByzxaKY1ISpdgFTOeAukQULKBAAtyoeylqXe5n/Q63j+Q
lYdq1TGxpOhJFiJ4+scLNXdwDR76nTCGdRL/hPNXLt7N6q6GGji3T8BKdPDP7UbaxS/ZIeeJvOE3
7to/DnvFkXfeyT1y+yXmTHagqChOjeVooTVAu4MG4tuNIiRq2xe5xO05pOi84CvNWxJDo7OUKpoV
C4OdM4YgAFk6jBWpbMaYyw+imo2hd6irTXrG7bJOvJHoKRp3xwUqBdYdTOO6NsXslHooSzSDRt5B
ct0NVO3Qo19wdlEhUedB0y5EloD3lp4o7OOSNcoEOv3g5aDmwfjKy0kPzeCgbiJ4W2zRn493zV1Q
948leXL3qFECoXu7bEhFSimklrAfIGa6F2lux2ZoljukdGMELdBXtUqS2cnJOC+JgN4dQtb2tMpX
O1atGjls0A2wN6A/1HgXdVx13do7BJs+/+2N4JQMvh4Pd3ZeEb4DdY56Dpqvby0OmehqFYd5FeqV
qJhFzxP+Pcw8ornPw0YL/m3I/GeEcJqoeMOH4lq5tZdFnRiPETbPGMQvcZ+ZRZsSofKQVttIjp+8
iIHjuVM3c5Gdwvgp1vL/ouzLduNGmmafiAD35ZZLL5Jarc2SrBvCluwqsjaySFax+PR/9Jybsfxh
hAMMPDM2LJK1ZkZmRFQTFNsvIlrgHw2/wq0r/3sI/oorPr3TZxEZHqwa9hwYg4KWABjP7dVyYt+c
xSnBbtQNCBG3y/FidFt+2YD4v/YStCdQrkOAdMFU/xwOOlu5UDZAGg7tlKf+fXhpvw/nZZ9VBNYr
W7SbaOndRN/czjt+5cHyWRIMtxee/K+Hf5r7wI6Lywc8fIQTgGjW6/ksfqSVqtipu0loheDcXZvG
f7z17gyYXF8R/z+H4Hh+HKIT4CIzUCA+/hSCqxjH4wIr5xORe7GcJ3q/tndh8BVt66vHfNrQkbQu
GBc8Zvptrrbqi9Pwczjwz0dA+hb0/AtZ+58s6V9b1k+CTiJAwsGbm+9tp49kYV8Aev/AL/8OiS7P
iBIomaKEAPWuz/QsCp8T5NmGniBFuR92+dVWi6vplBxOXpN+TCcFRuNVUW+n4R4asOcWKM3hgHID
ilT8VKCm//+/Yf54n083AJc5+CrQcT1N+tnkb6gDlgoSedAs+56P39xUY/Fo2Abrj+mGLaWB1qr4
lgDb+e/3+B+b54/X+HQn5EWXeV2IYeGQ3S3Q2l5E97EHVf2riO375Iun/VW/xSwkKLDArefiEoW0
/8+9qgUFK0+t3YkqmESxKniZZelcCQ1fuAdsAk3DQxOf1waAw2937dd0LBWoG9Xhvz/7ryLM/3sR
wLuQ4AT88k/c868lZzPuIpra7lSsj2FSyujWEtjndmtJD+wM8POUfJUC/MPG+rQEE4RQUAK/9MED
8/nz44MVDLK1cB2Ex26y3biCxL/T2VUf77r7VR6iYheP4J7DROSD7ERJ8xvkQyr/Yg7+Atcvn/7v
17jsxn99ugcvNkvSrTtF5IcNpmpAv2g7ncVdC7Gz9XoZnsKhHuATBlq2l7z898D/j7sSzM9LDzVU
w1Fj+3RerppCi4Jk/YmlLznkaluIxwZtyd4UHNc6+PPJ4UsVnb/iOvQl4GgBJTcEQvsXXQjORuPA
+LieRKkAkECztprKtAobc5dW2yt+++3n3XdXQ0G42soXXbIaXjLATwb0MWyIVn7940i0VVuFhuLD
Uha1RWJU1T6C+2tSDwDKIEQFT57/HqvPYCtS5RypOuqeAKZSiGT/OVHbULBlQQvsyQxPnUdK+Dsn
9IuN8NfRe3kGIvwLIx8qTp8ZhJxSQ1pl1tOSDaWFeCMDbfW/PyP4TFPMLh8CbM8vQBmN8B2fJn2Z
PcsLSt3JVW+na1Mfqlddb++QkzgA9Qyrn2v50pVvAiP4GjfleSdrKPKjr7c6P52hi1qWx7en4ztc
VOqXiwHN4/19VNZXN6b6/luUV3YXl2l5B2gICSyvDpemmttgj//U9W9T/fi9NAy2f7yy1e/0HIOS
FeF/P8wuwd+t9O4xL9cqL9mRl7cA2ZIzIPr9TbR/sfV3WX674WWzVP89Jn9tg08j8imEy7WPTlRH
MCL7bXpKvNp/XyWWpg+NkmMhv8ADossA/3Hy/Pm4z3VJzyi7xBked316O/lVzcpnVR5PH2/H/cOp
Pp2PusE/N83V1Y/9zS+9fz3U//29//gO/9cbfMqtRLf2wgZ4g/RtrvVNWh3fzrtfu91dUzc488vH
xpT7tNyXzaG5vameDzdNWd6VV+X+R51XXy3J/3Ui/GtBfnYsTV0ck2zD27BybF6z6ktp1i/m97PW
u6Fp1xcWD5hhboF+BVxyv5df3nu6NGBhSiz649ZM1/GZd/dgiPq1fIWd+X+P+d8x+adZ/3TQT3kO
jfARL6GGOx/Nueh1Di8EuhIxOnyU6YfXXivoN4AkStD7g9Ixk+AGfxXcfTXYn0JUadqWyBivsXuW
2NSn17Mq/eqalSeouVRPJTZfhTXwuts9zLj/b/bN3dX+5vElqqrrb/fYgR9fTf/fNzEk1SHljnID
gGXwxsM/T9bWmMINHYQZRYj+mOM0fZuUrMe3Tr5AVV1NfS38GwiCSHeybeVP6LafQOYvQUQo+q+s
yD/bo16OR5hYXvTU0XkIcdtPeyPzst4m3sZPrx5c3er5SK5l7d3y81rLvExg/gbDgzrY60N+xADN
eyjatjgsa+he1+Pud3+av8mv2v7/xxiFyCoQp0FzF03G/0Cq/w4TRk9OgaTTqZMKTcxg0J9wGbG6
HVp/X4Tt3IQJGfeBW+cGinTzeyzD4ghNYnHLMs5r7iTdyTzsGlk4sbeT8k5+lpJm6/yv2CJ/35R4
1xgK+Rd4FWjVp5W+hvGWqbCfToP6vkQwVhaP/foV4fvvQ/TyEMzURcg2Rary56IZs4KOpsBD0gtq
+wSi/QZRmrxMv9IKg3jA5Wf9eVyivoA1kUZofL2sjz+ftapQjZH21idENdA84WjR22BNAnf1eCHB
DxKb/n2jK/cr2PqAkup58y/nYC27BzWphd+qE/JGW+il1h3MZ960HINb57zut+IsvXjP2gKpcQTu
Ix8QjttCtecNUN+zlnaARpdNIEtitEEXpdGeIYcIRZW99UKy7oNlk08UgmlJ1ad0hfVEy9Fok8Ba
ce82rKWyXZUXHHli+MtobA4V7EivIGTbeP4Y1z5/1mqk0XGA9OxSQboRAsVhxrdnf5ymCeJgo1Bu
uEmGCeJEJQTt/P43jbKWgOOXtzC0QovpZLedihOpjt1SCLfrWG5DUJ6Xpf/pFi9BMBdFeq77xGyI
JDoHsZ2UzJvTpWNRB+mYgcUQ3klpOtZ86vrkNla5EsepkCDEBUMHlbw2WiAElSZ8ayu39ei+ZGaK
/MZcPMOqaGS52IdbunQHvArabzyi5o+ZYPWgSzlWvEJ1F5Lt3EdLXJ7hB0P9JZ1fVN6u2NTJ3KXX
sfWgZy4gqXEEy3l9GDnT4OmrZLihPJ1NbYZgul+FT162Xsw/dSxCv1IQ1T2FPStmdDFBMmnMwmLc
976vvJK7eLZ14ExSJ4pB04kMUw8B/SFnkB9crP61QuwrqJNMaV7DH2rEBRW5vt+5LmItcj8/OQ6z
CH+NMBzx9jKWHurP0oOGicrXbSezy3Sv0ZIlZc7FTCF95s1kDxMI8dRmPvhIYZcQSDP1VHv1DLL+
BsSW2biaC+mL5kLpOPHposxtNRvOUlL+mMxc8ZKAV97thB7audwc1/eq7YL+eoMVIb5poPO+s0Mb
VMrzQ3fIxmK+tqvvLg7wAfnFUtV5x0hBbfLY6TmcdgrMk750yk8+eqUzGIdYxYsm9CIelXoF7VlH
0MuoqEna9bDALnkp9Tj5QV3EjL4rkS/vRWRASOq9aQY3O1lBp1Eyn5+9KTDQDEw3zBch8wJT8zTU
kD/INyMaPkAgt05jUwCpjpn+xliY+XBpKaCB74mpi2pdpAQGXwYIITSzAlc5Z6AR0lOf/k5Ak4Rk
iXbJfuhpEFSRlyk80kcjVN5hNnYqAOOhXrocnfLRFizuysLt2Ttl4Mbmp8kDb60JZKeAYCRbHFao
xJgfq9XF09r66b3FMN4v/lzsuUQvcwUx8PXDQBgRvmkdIPIq8DfU4jo1R89b3PXfhAc5cZKktC3D
tQCWtRiC71ctlliZrUv64gubYUZhe/gL3AiJHElD0JH0Hbb+jNuPldEMLhG69+cJ/kstVL2gWjIU
vMwmrsAZWi17DhY2swpYtf65ynU9Bp5wHcRLEnotM1qMzZAbUlQXrtphVQVUnjCKyuINHMMC8UVY
LvmQvXpjJPUh6BdugMP27VZvraCNP+rLDa8S7+T6AOADJFXHb8OQiOXG5CHHaLHOu7jphOKDz3aE
ZMyy4EW7LeV5NSci6KDp0YWwp1U+5JxmOMI9obNjREGkBXkAQpsJcjUw2pOPRLcWghSWFvjoNBVo
Rmx18C0DfdHVgCDSnzqbEfdtk4JpCfU79iQ7sf4Y7Mgo2Ll9BncSeplUXnSoSWb9AFErC9GRyyLD
gVCEs77yWrBQSiZTHFhzyBPZbNnmR4cePM2fCwycMhC/Wj9pomAk3Q0aYCcIILkWtRvkg7a0fsQC
eAU4TISxhU2bIOhdAsuhwiJPjrd5qHwIKr6mwaxiyKIvypSFdn7RyJWEUB7spvx+6SVizJ6R5ShT
2j9TMWbePlukeClk5OljXkxqv/nrMuwh06aCEnPisR1XoshPlBZdfw+HFxLW3iSgZI1CjL1eF9Jf
8CFQuUrNU36atlGl+2315sdiYN4tIGHGHy2UfiAO5i8qQKdgfDEhighodjj1X1GQtq6Mgm3+OS1Z
MTeACLofK9pSH53qp6gMTZ7cQx11HqtcZvppmzmqItGwJkkFVnEE/lImfLPPETRuDS8WIModWRdx
jON2gu5OTga59zqemrIno3rSDIX3Q5AuXrqfEtee1wA3TZUyg4/2YpH9XCc5svOWjGauBAfH4NFP
NKoVcdSOw2mdhvw0pLA5wkmUKVpHioessvk4L3VoE+KuYR1HYR/sB7AEmlwkZSPJXKCY3uLtqwDr
c6hSdDBhGPueQ81whcUyIg3Ya8G3NtmuBR3hRhDrOIdEeTiToQpCoMgVjfT0HY3Q2YPqLP2OnM32
uKADSAInRbfqm8m243JgwlvvGZo0+93Y+YiBeFIoVHU25zW+v8AeA5pbFjLoNA+xx1meHEMyD7BO
Cnu/eAZVZPPKnMCHpk6kXkyZe/P2RhIfg9BioKHP5tn4R2QGL6ok2P9wQhxEuKMSOG7ZBn67HpNR
w4kE5cGuQ4S+OPIIGL5gtVgm6OYZCi0iHAoq5VfEMZLdm67AKhqEn82VGXwD4bFLd3aN8zxBk5Of
UQm2HhZ31RbT8JyT1Iem+rR6aJHmZO738TzEsvGJJr/XhK1DI/okO6Oh6IKcRJllNbcen8sptSM2
aIdusboFGKprz6pwgdFz5vkwZo7wlP1CRvQ7hB5CmlVrOl9hLvyzl/auvZ6CRdADHCU8sl/bwqR7
E6j5Kety2VemHSZ/N6aCjdek67xrryXDh+wT/uASA5OemXK0FaRkWLqmILOFFtio4ulYbHEsbpTn
LuoIREIVAjIAgD5VFJpgB7l1c8/j2ZBHFbFRn/NhouQpmefwm5hVDo1r1M6m63QOncFt7iD2BJbd
6HfPcl59oLlxizITIg8cN/M6OgunG0SplZu3GY0d87C8KIiF/94MHyRkY+LQHtAF25ESgXsR7Np5
5Ij1EIOik0dEhiJLVqnZLSzo4G4D6c9GZWM+gHo82+RAQiiiPmyyCGmdD6NErsag6/HYrm1Aat+1
kGr3M2Vr4rc8vslMtvX1Ni0D2W9UK3SAQgSxOCKhQRIcrMzIHx4pMvLYYg+J0vPQFlbbJbc+IiyG
+AnRQp5Z96iYMuGtxFup2mRr9DJjdbyFbRoMu3bDL5bORNyrDilmWaCd9zUKvJVWEQg1D5NHtvdk
9nPawM9N3AtUDq+UyZGrmI6zR9ImPWQ/F+E/RGuOIvDl0kVYycP8A4ACfUOhy7kH0bKc7KQgI8KH
RSd051O5DRVdAgp5/EGRvuqkGWmpEDGc4MS1vsfc5Hlpu2ks4M/VtWi2SzXmUOMSi0q48MX405CI
DwpHgXEn1KJ/C67ab2NmgqkZcTTyKuqSHJ7FOfh6qDZp0jWtyCJamk2gzOukgcaYjvyp6vqM3Pbo
NkLg4o/hHe6QlJcsd/K7cghzyqkwSCpcZ7GPVrZBOl8QjHKZ244WyD+4cb+COevvA9ZuIPvN4r3A
qXZxRTQ4GOGFCDkThBrFSyiTFFGHl8oF1ILInYpuoshd/GgTTdjjNhhmWtwvayaehzVo90yGqOh4
RbJnm5+/EKhx3xhPmntYvLVtxeMWZmGR0cFbQX0gN3QZe0zHnMfQFE1idoC7WoYJVUtK9xnxx7mh
47LKq3DxB9N0CUzaytXfoECCOn8c11M8a3uLIUL83eUasDqHChuqTePgXZEEiXGTrGx8bsMFIDjN
EeaXG4cJQenRFXy6aQ7ztZlXVmQN04oivRuhPYVgpI27OlmUr2okM5tE6L6hUARAHSwuntGBVl6f
FeMvZzOMeTQRCp3MvhP93vTFNOPYwvVzQvql9F73iTgmRHfsEHkmDuvQ18N0n6E3U2Bj4s7i+5h4
pq/B94bSS8YjXkl/geCLiQGl+OQSaYQRR4zmr3B8rGAQn+WlCnLYauLuTF8XKZOXaO6RcAyxhWev
l/cj+mNmY2+9RReitCljCWoAaLVDv79ZdeUUrAdLRYatSXBSw+hZo+AOI51EAn63MIoo0zBarkkC
xrVIBL6qiK26CZdOFIisgvxq7JYVnZIpGm3LLfeGrWR+saLY2GWvJOyg2jVJt6DxdnVQ9U9iWZzX
SMVDyUeSojC1JCwt40kwmEXyi2InKiPuvSUZ96E+W/C+pnNqFNgeg7xXjHkffr5kwNgKIyCBOGsu
K2jTQbzYYD2pqug6aJUlOr6fuJ3zJp50NpWjR1ZSahFmJ48WSVe5GIWSEqRt1EfGuUMkatHG/luj
dAMdiNjE1yP+DGZ3JuFncMyQtouIiV8mtOw2YJTIJh80tmSfyryrOKImUvGORRl04LMEHIpe4p2S
2Lg736e93vkhDhqcKGP2hJVHH42lObA6nxKvDgoObWcuQ31eV0V0wzcwkiFLhQHAz1D2TpDY7xsy
sg4plMnhrLOFjFd+OkhbpXaRt0uK4gIJeoiiInDbCNLY1UAm3FgfHp7gIrzMEe8fIKufAmfqEA77
isHLT1yMQmBP54+wd8JugGldHGCwRDiwX73QAYyzE4JjkJq8cE2RbvTdLdP2MHc2dnXUAuLAX+n7
a4yshsZtkKpbkSBpxahn3qMLefwjUJHyG1/3KXiWAYvSOkTPASkDmOU947ReRc1Iz+ZDm1GX1jky
u+85b2Mf/m6pOItuW9Om8Dj97pCtAhZakjkpxwHhEJR8eX4GMVdCkYA7nLqh9rriwSZLpPZxxyik
F9PEXxq7JB389XAEHwQqqeis14oHZRjn5HsQx0ZeIZlQAULCBbhll3tIV9FYucHMoOWjajIXkKAh
UcoOg+1d1kDei76P3Ig7BTyaHsKRReNhFNM4PA4F4bisF39SlTUSTSR8FILAt0rqbpfTbY7rXDFh
jnMg9Cs0k3PcjFMCcWYhhq26XKFZGW/+gDQYTsC0IiIegsPG15Ht4QU8R7uAIt7NO+jiVgqiMRsu
jyiAw7QXBOeU9Di5V+lPZx0GCsE180Lse7hFQc1OeSG9UTrQy3WiFySMoAiiPoIG2QKxPgD8A2jH
dINOSrBcTsoQLNmBxhBMprOIhjLFEgTUvvYthiuMB1NPdI3zSnfIA2pgw8/4ceseZBsgTpQky8uW
K7VW86gVkjEPpcqz8PwJCMwMOKosVrA7rqIkWDtEVLPOaxhpZOB0YSWEVaBjEsC/AryEMst6eBkQ
pM8jTqgplNdpH7Z+rXzLb6NCFEOJ5Ain3ebLOKpsROK+ijKCfnc2EZU1rdoYNFaEHNGfCeORAEdf
FzU26Nn2KK1CLCkvpJbSRa03VhNPUUMAwo7CfY705Je/Ke/7NiZzsEsRXc+4NFkcwSgZ7PZSpstc
nAdKihZgP8vOgya2AEy4BhLRJcNnwEUJiiRKkzA/8CgRb0Uwbs+hFzowPoy3/g7FtiKXiZYAYuUx
1Krz1rUPxehhxduQ4f7LIoJrfEFHwYvX5wb5RcIAfxWArEbsZOl2Q44jGsn7cjn1NvAsd8inBzSH
8XhKTwsEvqCF7ngGg5Cwwxm7wPI9b3jvwSGEumyZKtuvfl71LfQ/Krqm8/dokpDJoz3RcYn0GmgP
tcv2I7dL9CFdlAK+kUn4aEY3QZhsQmwEudMYm1llVEWQllcMd2gRiXfD0kJW6SXCBzioBQ7wiUSX
dgy1yGqeA7ABeMFxjtkOyVMrnOch7zIZGD4hU+fWunxrcn8dSA1zkSg6B2u7zhXDcfCLD6zwSxP7
6qS0jAANdmp6CYOEQy7W3+ZTno+qq50CTlN2FKqup4KxlB7SzEzBLnQ2Cne9Z1APpkxIbLKgjcwO
tR4LLZLkov3GQu2T2jNB1B8Mzva7Ium5V4ddCoAJUFLWVeOWqO6cOK/vrm3US1JOQQAFFW3hbgTr
qryLKzcu83tE52CoE0AreVOEaAithkB0ObQ14/BnDqIr5mZjo4FAu47DZovIpCujQ/uSm8zcCtjV
4haAtP5ShWTUb97iFYhepyWBirfkMPSUtIetkw2G9NUmFwhyRSfkURWessdB+XSsBhdEqvHkkhwK
oDmuFqAFBKUkIjhkCxKQpii46PbSCZGXKP0UOEuJl9+OswcDpJEiqlKlWXE01PAXjMAPdbiwPQd8
ZiGaP4yCcUDGVqXZvp+h6ln1CKzy0rh81YD7VQSCDqhP8Cjp47ytAkF8gMsCldVdMWogwyPyMgq7
R+gVQl3aYzWaOQUwPU3j6ykeM30g5JJajGzFFmtxRaDZHYAm+uUyoecqGNdsrBcZrm89VpmCRzln
CHqHvAOuVdChtibsr7wlFR6aZbwIIAwGEaLtDDcgwqx4uIYLDKCcFWDpLYTV4WteIGs7aHjGT7Co
XH0L7Fuom5kuPl4hWdBQABEJyPNsqnvPaY4zkDj/GaAOc3UAMUwETBKkT4Qyo4LRJeiWM2z7ELUB
KZrz30FXQITdU2by9+GQ4WrtHVr9a4h4+PKAQESoKsAafTeYLkQFLqbZPnPAhV+XSLc/EJE5WtF+
7eDuOYxDOB3UGsDKPRt94V31gRztbjP4V4lKEmpwebSMIdR9gE1d9G5ywEJucVmN7v5c7xI5pY9s
DNiVJTwFzXiIxwTulODIPhOzsuHe44YEfmk3vwvLvC/g/bIyNFCP6+ocSlZLC9NdoCoV8JUoKX2u
zFZr1kLSNgNE/Oq6FRGSUr19gC13+5rQLXkf236Tr0wizLybcIUkTyEubXfcWhbQO7zlCm8wf0pw
tUGnLrz2kzZs36zSGyZMjsNNMFhhKllwoirsLwNxsygbYdcDpZDvGsQpLIZY5k+jzUEXaH0jEJz4
aysf3cAsjjUhoLKL0MiR3FZ8VgLiCfmUQs6y9fNYnW28TupIwlkFELpS6SgfufMCzMVg0u7M+r73
6gRhLmZaq+6Bc9WhCwvZkvngsp9zAOQoFiDNR5OHSG90JGEV1NLNF7u2pV5R4d6zUBdZTEKWq7n3
shAHtqRe7SFatVeQBwm+AR2fT2OGBG7PEEXArkybPjm5zeqfhOfagRAu4/k24j5UEiLqBBBsZItI
vQuVo0qPnySOghkzHuZ0XXm9TNlqrgyqVTimL/oSiNyC5SQm7YbnyaW8A/KgUtB3gcCD+TkN8YGv
iy8Os1HoTy6TfJ3bPRp7WdCMfZtDxw9iCRQONRumazGe/x2xbtqXfc58KH3kIkE9KIi2yzvBgb2y
gw+JFaEsXm8RaXYNwG6aGkSmCYTQ5ZJOZRxodHd5ISCPis0mHR40ciTedDnO0RrePO24g0Q2affg
h0Tf4gxRCoYt77y6m7l7o3A0RQy5DG1rmg09ZLCXtYb3x7mYYnm9BvmS1rSHW16dsll0L3bDkXjs
W4Q3LTA+F9CgxDUxJ78iP/XRVbcF6XEm8ZyWhYry72D5Bq/Cmwb30c0ka9+B1K3ZPa7XCEmIk5fO
RC0QJNEAhlKxUhlqVx1HFCuB1CC0p95himMFoEtTBX3TFtAWqgJoVnQrwDEdF9sBJ5X2q62Aq8hv
bdQmrr2ECrujQybPMDMf0RbnbRGiND1tUBSkOuRVNw5ye2CIQ569HgFe5dKUP6GIjlIOFFuV866K
rjD5y8BDKCGNG2KJDcJY/Og2TE815L4YajL5KtunwqrkXNigg5bIwKafQRel6Mh1lrNygJFXesih
a3zO7NSnpZvmoEl7eA23YSfDZmgR8jWREtv1qnydlqQt0B4Zw9nxI6TMz05GjYsPLApAGILUdE0r
HDgThQa80fohUeGKOocSPgiWPUOwS5iIAUmvuQDCOecUqUgIVoWRYjuGY94/0YvIdcO9FO2fi4Hd
xrgo92AQXXdHtDQAXpC4G9NyGBQyItr64TMGM79DhrGe2GzTN1NgskoVU7PPuq3NyywV0/ctKeao
FAlHyEXHNCJYBdmIJv2hmwGQWp3eB8AxBfCCNAPrYxzztQQI4OBqYFPviQFy90p0cbY47iXMByC8
SJA+F4ODXwWqGLHG2yiwUTLc0dhFY+iaDKf1k3WD/KEB3931ZkYc5vlaVTHMKo8dB/bUDA6ZXhWw
Ge/UxVyP8A80/m8pgmgu42EMXjn11A8SMm8pB7OKhxgBVlwvSLrXZgq1vrdQH4GfF/zyXhYuEaoN
uUyajboRro2XABP1i5Q903RDUi5SilJPGtL2mXF4BXTyAtTPSLybFU0PHWLZsbc1XU1na8N4WmA/
xPqxQA0aGNXcOXQSAkiR1USH4tVRdFYeOYL/2w0kwkfSGdTw2mCEO1NrjTtzTwOCDhw1P0ibIdyn
HUfjRgDk7GqSPUt3NpD9sZ0s9IFBkNqgUQEoE/OIRB5r1IuLA0pACQKaXqR3DhjAMy6H6B19PqgM
5aiGo8bWbvGT1+N2R8a0DM8RBhJa8AJ3eulpAVOGRHbhj3SZ8tuJjwMqGME4ssrLZ4NDLAr181z4
7X0QQ38hn7fiyeUt81HaMRCjDjoNoJ8vHIjd2gX6HrS2pG9wOiIqEYQkL0toabcfM8i+0zjxYceD
OtTNaiUMuDzmYKK7FjOqMyruja5SRIDHtYiFgthlMX+QDDWQEuCn+JaSQAIIA2j4ACkIaRu0/k9F
xZTzIWsX0CmqEo4gGjmEaTHT1EVXGSTf+nJcO/NOfQkeJS5lALVBYkd7QAxpYoD0KGVXYMsLFM2G
eO13w9T6d2M7+llpV+BcVa5WzO8S+3be6wF2PXBhBydotaFALdnw9Rszbf/bDsUoKyLnDFWkfk6f
pCdVBIm2SD2j2g9P6sIiB67kxHO1x1eHt4TG3VZOtiv2fYSIATWIFsRn0XUPetzC6TiyGYsqhteR
QpII1TdscqcOw9jDLhoWLeyRjtMmYLFZrLJJFohEVX7k8vetj0A8W0RrH9AgwO4EXvO8kMRiRUyX
qgaS4vlVebO6ATBAPpyhE1JHRG0/5jHaToKFgHByl16J4MJdMXORPEaUJmBsSJ7+lusWFo3pl1Q+
rhFKbViDbjguM5aV9uPwBbnFBTI3GXrMDJHqelwonwC4hRPiIT88Uu7arJmixKETLWX0R8HX+R7O
dPjUGdmy2wGfXNtqtdH6w4ullDu36OEVXRKIenKSdGmNsNKDdjjwgCsbOkhqWkug8S/9Dv45TDg7
7HqEvI8ZjbbxO1pOFzjY6ERNYh956KGtROaNO28lerxepgKV5vT/ODqv5Uh1LQw/EVUio9vOzmls
j31DTdpkAQIkwdOfr8/d7D1TdjcorPWnFa7XVVaPZrskNiijC3xFUEKXi667WQbDpDGXOCZ5lLO3
BZe6ld1nzVaLQGp1HP4Gi539d0y1of6itixQV1hSfOC/w/IUeHXv7zm4/S8AeJWcZzdV4tj2duYB
apd4tFH8asD8FHHZsvgkNyCBnuNngS6AcrDKh/E23qhkDwGM8FeioMYPOWeUOKq2iZBMQO8jJaf7
qC70ZbndZ87m8rRtM8lMUQM8dZa13474y9YRkCK1/b9MQkCBvNXzR0pTlrHaEx6kQbjY7NkQ8582
y7oOcfiGnUku1vNvR2p7fQq7BRB819WjelcFJM2fjL9O74ZKeNVeD0wZPTKxLVugI4ouPGwMj/Oq
3Qr1kR70xg+850yL5N2QTzWDwMDPOU/y9Dlek+i/ZVxFfpwzf/B3xVql3xnjLsAixCJgg2HiT0lc
e/ZSl/hEkEPTkCJmEkQgr1NkmKup5x7IgFmm3nSMreOQdR7w5Al7cjIdWXagAnDVETq6bVUY6o3H
RlWr1z2HfVNVT1Pcg40moCcoISLUNbfUrREBYVWfE9haRSiIcq7cbt/GUaX2oQ5WKtcxi9+ELzeG
Tw0rrWQ8jQ28fZeOlmZPlkBpoWjaEzIYXPJrhOQI1jNVUHVL5r83gX/lOVoydm7cavN012cm8Tm3
ZTzv21LS/CxU9NnOS4FIrYTj3QPHZ7/Zxw7RyLDMMJJunooDKSXZ+h40mhs/6+zsHZFODfWtrkTN
wtxKaDGDjCI5moSudc+Bmi64pIo1PJCbXvGA1rrrD00XhO6psJMPw6vh57ajF0z1dlyGbi2fnS4S
Uo0mGKjnOET4V3KemnR5tqBp9qDifitv+8F0zZNORCnOJmoDeyO1Ba7vplp4z0iqXHmpklamtJtO
PWRTX8wU4Z409TsAXmNodAbdv4Z6rcQK4xMN1Q8/jxt5k/UppMvSenHMEwZm/izKwR/Pyu/A6OUm
7I+Q9izZlaTsX8N3y6k9uFXa9SzzPgW/qz3c5703uL9oxYDDGCCcmhMyP2bggVaG/alptmw65Stk
ax+t9rcJvWU5+V6u+oPqs9XtvU0zeMNGPQK9lc8FwUJ399yVZikuhgBX7idlc3eH8G5mpEQGM7sv
YwMcIYCgQC47q+R+uQ5f3FN/WHxIXYBPrps3ENls1sPwWnQlSD0Xrd2OfhPjmxgreRUWCZus52bM
5i+6nOIldQV8SJBWU7Cf0DGMIB/Ebx3nRpkHDc+/nTpvLApCFCgsftYmnXHoVUOWn3jJCOFUC/vL
3LShmA+DHXqJqiLYJNCHysd7WTN3ecd4KFsfK9ezmLo5dIjK9Ni7ny1SRSbH6WAyHxvfsn+ZcpR5
xyXuwvLVLLDnP4vMayJEaDkB3rHft9Tcru3Mk8Y28DAyoGn+9IPNDOQtJSO7zXD57vOxIjy28Cei
bIeCbFK5yxkMV711HQzNPo+wFwADQ+4CapVb/rCqPoIuStOm3MFjJOoGraSLbtWEzPYIYF2507BI
vKBmkM4/UaFmyREQR2Ex4JXnN2tV6CcPEqu/rNhZ6rdFAmZ9iGwog1vF1VP+XVSazXf+im15V6ci
dpfVNsm936dzeS5y1217Va4+KaUJQpSH3LV4tFFVklW1bBvoXOllG/02pEL17ok0nJjYkPbycZZe
tnxFQ1izuqLCBrcbdQ6Br3mk9V7zZbvDNtsaOhLByEIuVOtzazV5mt2TrpTK8+LgFy9tO8sGrDSh
mtvPE/vnDBM8LbuwCyL/RIxlvR7HMM4lq2xOEWTEU1TeqsyyKi0iK3cee5Gof/4otgq9VojQbR6k
7ODEpt5571nUdPGxXry8PqPScM3Bi40/PHEqt89D53MN9n462OeWrycvSrs2/1CMazSvgnx3PjrX
Vf7Q2Jzy1nWm+ON7+LLv/SblZE7AqL072EPGFLTgvYQ0DKVf/7UuCRj6MPWhPhauj2BPweHzm7oC
GECxsTkYKQ5u1x43Z1uf+WNZPP/woHTmK20D30e9maFJBKTOy5uFeZh/QCKs8naIbsL1oPSaJzsD
h9feLDABsMmy08HJU9Kzp1jERLCvQZ0Vt4nXz8E5Zsryj1Tl1Xbx1jooz8bAf+8mHeV/mqRAnrPg
Om9hSbi2+x1YDMAukheaDfrjBZtV6g3LAWYcNb5n5oTrQ3JZI07TwVVKMqXzxesXT9+xzREyZFsX
Nb9VSz+2W4PRj49WmiA5RGaJgYn8YEiITXOqvkv61NzJsaYFXGePWKY52iLHKMSaaS+C8ezVyVsb
BCNh3EfRPphiFL/cklyrYlhpC3ROLT02sLDnHu2x23UUPXonTDZ7h04pQq+XPChhtgF9oDEQaOGw
kVCfx1qNSf3V9LP4VtFoRjAHjQ4P3YXUO23T9AuGOGJyVdb7b/RHZBytYx1x9NXTWD1CmnT27BRU
z02twutenoVj79edS6CtEsc1raNk3I+N1syn3ISYadxwgN96hRewCLYYcDuIm3rbDdG1v9JLEK7o
VpSf3SgMAOvF2/oaSrYrKMi8KA6vFcREL4r9OpYHlSOboA1sM+KIlq1g/OQwTf91PZPsiqSuk2MH
t/Ky9QlojVyUwAacp9sHJwdOo5E+9CWUkKHnMZ/cu/VKDP6yV9MrgP7wJLOxymmBpvWtItDDnqtR
6e3U0txvqAnH8J9iNcU7YB4qm8oP1wjKdEsgFxProy6S2fxf7E1rdCmSxefLk/nRgA6tFbkdaez9
gkSZK1R3Q/I6rTBt+0XWutvnakZRpgthHsjIMKSvUKH4F3+VkqzCeV0Zmenm8lNUMviiOxseTYfG
e7dYKZq9QW3sXzS0218viOoB4XjS6b1gunZxgHed8BSm9fhAyHGBsaqsEfmsEAfvKULA/pKuaIR+
a+DuBWlgyrJFP95Vt8AU0UjyZWfEbnF9hqqsYM0f0YzZmQowYME1ehSgC1Pi/qWm3RgsyGRX7zQX
BlWFY7T8dkZJJu4Nu6c5KBlbSljeBcxTHFK86qkKzgSASqQBKuuCowrB1g4Lkl3umShcq0suet0D
PzSzOqu+IvuP7YqzOk3mGkgnK8XNFmYe92Yatoa4hiy+E0KiU9QDg0i4C7i0UBi4sjglS50FexNQ
dLDBJjUcZxEgR3QJBC4t1lU/mASLw5rWo1uCVbD+yuSOnAWem5WGh9pIuMvU1eaxRCmugOKoIAjD
qknC0EDL9khpXF88Kf3hAQpd/pDw/+0xjRYPnfzUJfF+8dotvKmRo7pbmAN2g7chqz52laUWsOGo
0LHWwEL7pCpGBgcOqXvPEvqjPSgns2lt0sLhN5PU1VEnXeTvxWYELF+3jK+6ZpzmLk4z9WWTeEBS
u5o8uQRLxmfWbnoM5yb7F/e194YkJ302uUZrMEyo/W75MOBfrg7adj8k1qA2HzOynGgD1j9zOsbq
p9ODGHapWoNp1yR1ET9DVoQlQXqd1wXQLEXkBzctHB3LDnLZR4WP1vioxRRv72UGfLsDgaqIpJ5D
Uk6baFja05Rs8aPP25H7PtbVeH/V0vwCEu/afbeN1bQPVV+85rWmou9YWbcQJaz9MKanPKlqmt5K
hvQw9WWFTDzPc+GBdk4i/8l5v2UnStAtP3T5ADSnJ3b4Pt1UIx5UGq6XcJsKtLbrrCi1qxl4mW/e
eD/TdNN0nk2FacbYMMq/Z5igy3WIRIxQgyW8nmPRTWj8dePePC+a173JgDy+1Rxq+pVhJICPHFvP
J32fkxgoo1lfunxVaLwSzfyJdMBXcgr9QLvbjiPuBzxM9kfHqBtv2mxavkc0FOVhjCN2V4C+2F4q
nXZYpNNpNS89Y4oYLVWuU/mZRra0J56t4hicQ+/DTGOaHOuCc3g/tnPsbm1f5DpF2xGF9xY3h0GM
pUMsjlWcyh0owmZOaZPL5GSqpr/CMo38Tgc/+62WwA2ogFX4w+v09DMaPaZbMoRprY8qyZd1v1Rb
9jINTc19y0mjT21S+x4G9oKMKQQcA/Ssypowf0SQWU2H2WRElVF2xOMbbEpCxl5PIbpPbUKkvBgG
EO157cT3EpnyuZ7KkPFZ4QrU2La0a4+B3BgrPRSVQw1jvZF0cTVnweHq9BhBMJz+CKwKxj36kPyH
ZTDWgAC2qgquBA6yI51xd9elc8alFhWg0NRVGDCAk9tPJYb5L/Vz4x76RoPZpNYs2dHTQV/eVLyF
f3M8NM13JLCDgElx8hzMYkErQq25QuXA7OHDFBflfEzKqWh+8QJLpNl0qMvBYYEn/ZbbuDskYdT8
Grgen4QV7hsNbhPvsy1GvzT6Jp722ySSX4sLx/g0c3JWNIbJ6L37zdUlB/XMLa36XK6/QzwMT82A
1uy31rXzbiZU0eKAXq8a72pyBbe3rYDK3FdJDaoAywsefMRE07U3oMn59JcyKBKnOUtccNs4p4Yn
z9eac81tNtyZ0MKPxFqHPkoHP2/Cu3mNp/yAQHBJyMeZTfQaDy4i1qPmELhs3AsM3yhshRZvCEx5
1ttkm1MZTWN7iaeiS28NV7R3A0YMAcpUWHj4xI9m/8DtWIpTEcTw4wXNGJhHVsyv1STp1kUcjR+2
HJJ1NyQZjK+PZuotkXPlH7gMW0JTA2ztSCtK6NC5y0YO9y0ZHoeVEeuUUzoyJyTYPp86X5HFM4XD
IbDbQg4NyHCjzqP2+uie5ZgWRzfTx+8LHyB8N+K0iM6cg9uy7/DPehcpfFR8M6owHm8zMDpdWO+b
EIfxrdWzXl7k1IbRsbci/51MKE6qNm7zg1V5+bdwUR7uijmsqgeXrh6ADJas8j4gEvk3yIb8bfqU
FrhxIs5eW7p9gdQERVtzbqDLkBjDFC5vOf4npBhlN1F+xrFjL25pLk5TNa/ljY2R/3JOidIehA7H
9dTaKcvvhcgDbi6bBcMz41FK5q3r6arfq5N0yr4jj16BRdqun7afG//s+xrBe5YP0r83yQb749S2
hg95hADm5KfBRqHh+4FJh6PCZDEuKHxaBG6gYMoN5Tmu1nhA0ND7A3hAFKekO9bbym/yEBmrTkbe
g+8DyxbsXj/GhgwRPfzooBzVqQMQ2PbjlAecDbJr/lasN/SUcKcp7Y8/L8fOU43HPXcdwlSL2oa/
0iacMAPJ0OJeY8b7RH7FVG7gz9Ri1hr9e4AH+yfXSGEiDAg2fPXcqopyN3hZC4wxrPpHU89CUoR7
gdffzaJpOKLaYvjUmN4gj4zov7bBmR9arEv4Kl3BKKh+WNTPQHdLtDfdbMUuZkxs8pPJAgPK0Qo1
7y4oXccC3OwIlFhTTAV76+I1O4UZQRh4ddKtP7l1cndBpGl/kKlt5ZMFqfJpmSsQmoUU4v5PNGwA
x3PWzwxWx70RdsfJZtvHWsrsucOspKmXgzp9EMCVHcOe87m4N0FZZ0dUXFXzEAmtihcXqi3UlE+y
6lAyUF6tCCh7l72sSJzNO8S4/zUJGKIjGR5eeyxntC4c02XKRQu+YHeFWsgNUX5c/iBtrjEX46Oy
huZxrnsK8+Dqt8FzZ2kAmZVxzFuPWyNvy/oPxLoA3kM0sMjnRBMW99ZmBEbuWYncL8irs695qrsf
TQrHg5Om64Bl6V/909TIhNWUl3OwRwg730P90r1OfdQ9on++WqvdFNhd4K/xl07F1j3Df1I9OYKW
i0PqT903uFXILQYXifZniXucEz7Au0lqpiLHW5XgmVBXgbOofJvdo0eAamuXdEIdRRPW7oumaiT3
8gD3n8f87X/Av0Vxk4Ai9acqQapE1YHQnlNs9scDxk+/e8iZe+kfKypeRDBZaxBFtiLs7FNBxVjd
2LTelrMQSn/XsNdEr27hauj7fVPt0roc/7nYJd+lGAeOCeXX+9pkzXOf2+ynjxXkO/VqjRCxwO18
8NNsig9q6bGHar9vvrVdPP+uin18EkjZK3MMCjndNHaOmVeMVi6+D2dbLT9rHS/5ji2cMtMDMlUf
0qRC4bxEHurfQYYk8teqDeHCR5d9UlYzQDTBlEDKU17gS0Pxjx5S5qvjDaVL7q6ejbXc8eipt0wz
x+Me+/csKNJj5m8OU+fbr2UKgQeZeu+KSxYNEZ5ReXXeQSZR0O89KKQS/+OKvyxAxP0SaxM+gFbM
CxhrO/9RLkvx28QgocBN2Gi2f9RL7sNBti2nYhgoR09Fin5W7eil7CFIypaUN/o7mu+occs+q3LG
T0xjr4JDXmpsFioqu7deJuWAdKRL9H429Uhsv2+8Hr1Grl7wbbLYZGDELYV6nh2EN5ZvTDiIvLst
6Hx9qN2Sr49TUnbUvnqQ0UEC8heUYAlnFZsCcYfW/vzJKK0p2S8pjF9OVI2BocvcZ14tpf3c3AYY
rYOkWpB2XZepLZroH3AN76HGf5lfBBNOqb3Z1rwlt4XBHvIw5k1GhqkiEcqsQzpGHlkb9gpw5Nu1
VBqLEKfuJGE1EdRX4m6tJNb2oKuiH2MxjsxvzAKEOElRTOBphectDCRalh8QvwpNTosHAfy/yvND
Gmh7x3iYGliUJ/lEd948JXOOpQgkqu/2cb/Y5cjobGF2y3R1SceegNKtsHtGO2jN4A5sZPk2jW/s
zpl6feho+iouwDx3Z2Wukk1YaPHiBA/l0cwwFjfQamYgJHBSfxDPD7TpcaweeYC1A6VD2woNUoX6
5Mumh2cwkY/BCFkjHol+08+TtwztoWh7On5P8iGOcaSzX2G4YDcACkWF3kXBQileED7L5M4Nzzfb
oRtRJ1ylndbraB9FpgT2XUSCe2BN+ZmkMvmtRN3z36Dan3MrxD1tbLXte1injyKnZN5HduuxDix5
8zJhYvN3GapFUF7AuR1ycvAVLiU0vwMw8x9O37E4oaTHMsgrceHJVbnzd3HYruz3QhIFTrW0pA/V
JubnovLW5zLwlThAUXfjOemk+68bcaTs6niGP8xoUd/hMYZ3LEhcU1nYNvHFn1Dh32mYyz9dk+Na
2JrQxMcyKZtXYlUNLf8YLo/xAE1/lQNwDbtp7N4ip9vgSEoayslic/Vtzpw2HHlKkOuSDHFK8++H
uVIcwdUgHziDPcRfeRxkaAl8rxq+I/RIJODg8pnqXxWKSASLrIju1o+80R50HEuMIwXzFl6EoA9/
jkaV6VvOLvMfqQPReE+jtZTnsYvVp2MKWoy+q+6nH/UQ9d6pUm32WIFPcrdWghfLF0FUZwTQCFEC
IVKEoY4g9GhT5+jOxxM5YndqXWSPnQLJ/Ni6uHi2DmLvHqhTvDYia/VdLRNQ7TkcwurRplOs73IV
XoXZi/TLY+uo3jEiNdsfbMTwR/Q5FDa0gRDPEMXFVzZRO/Ev8vi/MAXX5e2WPWMR+TVQuzOiw4ve
bCb3qg3yJ8KlquVonJxerMcU5ZsYttj/mes8/BHN9fRri3w7olNahnIXtQMtK4IFOacIKLrGK3dL
I5lDmKZ5st5o0YrtDjdMn73gr17fQtUgiHD1iO3+WpjNt9OQlo7X2GLzw+0Bm+baOvMO9aBHBJSV
DfNjIDouC4RU+QWqwLzPgQo/gV5q5gYtc02w+pRk2b4oC/29ZVmIyNuIVewwfVS/9CbnL0klxwZ0
EXYUh/j0b0CFBI04gePskUc782m9ZoHKWzgVTzA/YXQ/+Y6+GE/RfN9ifsUiJwuOI5r45iDX3kW7
IuuQTBuAiJ47YYMiXMJI4JogHTM5RYI6/0VaK+VzimsIlV9qi1cP1NA8ucRKwhlCWhsF6u4huMXQ
mRNL5SlENR0m1Xkvxl6HlygsUaI19BTpYYXYk/sxKqYfqokN/rkFmxDMb5ofTRSK6Gac+gHKpkz1
16C9aTqbrsXLWi5Le/B1lSSc3rkaUeczT5ByS3wNZhPw0WroAVzrsLv44L1XG5vujiAT8cT+cVu3
N3VAH7dEQXmxLYfFLX74HH171Xj2J9VOR+wSZFf12CCgmf/RxilCNNqccKAdGGmbcq+X6+OAi+DD
BjPiWTVTS+zCILDj2xrJCD3fhqaUj5vF7Qc16VLdkO1l/jYlBqUdgqWR82FIw69YeetjI1YWYV/1
Q3My4zK8u9p1b2nVbkASdly/Fy7rvwaZSnI1Si3Pqqy84UBG9xqg7heoetPMxW9xvqIhjHUWfrbl
cD0K1jTv9pjuVMv7oNRDB4i2cleNM0k6c4Qs7CD5nOlu5Sz6iMmaQHGlq+JjzsumegvRc8H/c662
b2Pgyvemy9yKVnFenkGH9cBS3DDTLIXIzAVCCCA+LuYuPgkfu+5uAID8l67UmYcp3OrHec1x6OI4
m1C8YI370ZJBl6PRDYhuYdToislmrdrveRsyDJfWQ67K1fhLsL31ARGp+k7B30mfwotoDpg5yDFQ
VqR7KGr7SULcGuFFrOsn8volw/cy4YnzTIn5gDai/ESNhKI+HraaeFWiOz6xeBl9IqK4GM85qqcC
ofjUjL827nFqMNGEb/SZWbnvQoW2X1STfkF74qpbdEsF/zuxTt0khMv091vbLZdx05pVAqVUsXaj
BCE0xMAnyf28gnSazWOz9dG3DhCd7lJmHxOiqy1Qtycx9CAoSlBNAQ1PPyKa9D84Pbr53OXa/4/c
jjE4OmY/MRUIjp6pmaa4vo0lqFDYE2q2LTB8YosxiwwDBO84BH24T5thJT6dL+A9pnrrPwDIoH6K
3KpPDl316KgJxB6cNqNamqrlOua+rP5wAiz+DlOYk/crqRUQxkEtb8GLw/iCFLZrXiNSAQxfswcN
1MucUSbKxj6kEeosjryBFNFqpKTaVU3LgWPaeEreDbls5S9sK0V5Vomp75FPhRJ8kWQjFi3ajAHA
0l0AV8bxMpULsQpxjYhynwQ1M7XWSKTBfhtSizcgVvLvVWH1YGARxHmbMhtTsI+rvrtiyb8qAisa
JApp+N7EgQQ7d7bMnnrfTuMrbBUesy67Rht4VePrxzZUc3NcUhX/nOtiJXSY6uwph3milkf49HPw
V0wtJlAbpLlXrYoRxystsjSNgQHoi1aBHF21G6DwLAS2wojFURhNvZ+Oq/+opq14Irmnvl/8BB/2
jgNON28dtj35mKRW+VRpc43zey8i4fnikRAW2ohTX49xniHtXeLp99Yxj08fQG+Ry+66LEqtOzHv
1XjLC3J8f/Sfs3XBX3X2y6Dq8PTgB+yKV7mSsDDeZSHKYDpF+q2wOCY46uMUgwru8OqGaX6Zx9zm
2G896lRdjr+SIdkEHSCqp0NTmQFjukrS/FTljM9Rh14HAbGkdUb1TQKUEeq/YSpGlJmw1tY+eL2M
5Bsa9S07Br21VF6iIkYh7Oc03y2hv/4LyW7pb7ecggOKIRrUD1vl3XBbchLGh4XpE9+S8CbxPMHn
X93aHPLZX890tngO0lXC3GRBI0modFW73DRel25nFVrmP1/zRABebNEVv7Y10d3NOtgyvMxgnsWD
tIR/3pL6x5kZTFvZHayoU/c2s6cZRKzSJMGbQSLCx7gE9XY3ZU2cP+Awwm8V0KDi4oITRQzhs/vn
YIcgD1vWTrG7YupWLCRHkA/tvQKeYN1xDQTurUfEptsJMmDYPRsZBeQYtYhzilmu/FiodLOj87ZX
oG9kHqbtFJI46fvPhPg2KOsX529YiSU0AbqL+j02OvkVYKLhvhisfPWHTTHQOADyXCEYMQu1XU1l
w72jaMRlHu+aNF+fozyOzBMEFXcYOzJ6n8KMEZwFe/zReMYQeMDrlrderOUfV47F74YHsB1LhOEC
oAFk57joZPrTlZby0UYVQGjawSLloeVnVvlmcc5FwfY1bIWXX4Jm8PQFEs99GJXak0qSYDrPU+7M
o3Ka6JUMVcGbkQB9iCdwAl9cPuA6Jf3HslbShvRTwwp83Hpu2LsyRQCEeJLTgcCgOj9Cd+vL1m3z
eOznsX9d1//fd6Hv3scQKu6ggxIuEwONSvYlvzfdl1b6DqQ8bvCajEvkLnnflJ+EjlR0DUsn77Gz
knhio7Y/tpEfpzv0FmhVqxgx+g4Ad+kvHO8DZ1ZkSP/ZyvIFsMvXO9p24LpJ0IFdgSs/PE44Md8g
8iGow7H1ntayBLjVRYd1PTdy+c/aZKY9ZQMNxxpVBa06eHEPSIgv7bHAIpoT/ND7y40DQ7nLthnp
tGNGOwNUyfAJ7pZwyBBbFxMKCgFBO7KhOlcfy3CY+GpFPm/3QQoYijld52ZvJ7Bp0kX8jYZkIn74
udWhq87ZlJVXm9Y4ivvA4C6AQPDA7QbtjDuIjo5rT/8rUFCsNYqstJ8wlBSGoAV4uXpXTEHYH4Km
sP8Q0NP75chOCcks0yU691NaYCThvj73RItuR9LB4tdyJDPhQHKHeRE2g+he8pzGCZUe66xF9fY+
52MEZSyn6ZBGIM4I6IR+IQCmAs/CuKDvU4LGPtbeuvyxZ+rsZyZWfWiCYDFfawjxDZq+ypq6F9ae
/Q1bi12WQFBUjtrIHeSOUHtiQgl48WugyCPKE5SuIREDyC5ozXwcmzr+HK5tzyGPyQnmEydDdyOj
LX/XIsX1DH0bv6WDWA9Yy83TaHR72pC7Fqjpk/kvJn4UPPhDQOHJ6aPZ2AB/xZEuXjwRNyOvfmXY
0h0IZINjHQu3f/RwORHdgRoZJSHKCcylwwbdHnS6/Ww62+Z3Wdt6DqV3Kw5dnRAXIP2MP8shJuXM
xnZ7GGna//SYDbCqe7Z+LTcdB1jpMMfs0CEvIWwlCuNT7cPzs87kdNcLPw+YfCK1eh2iAhxFCTX9
p3wz/O6BhvkEWmU06SAG628Tdzo9ZnJ0Tx3Qlt1VKg/lv0R4EEkhDP258BvJ+KbVn98IkUgGnONZ
R1c0D6pDLzCGty7SMCmTisvipk+mbDtIiKjhmC0Bc3UytPd3/jVo6Lj2pXniYDXNEboJLZrPceCd
r5PbwsehW1Z7hx8A24QlgcS/GSscYpKmGjWgmKbfSZpKd49vRCbP4Ncywh2LsSN1kkAp47VsObyG
pVdfkm7BClZFafkL30CNLniSdn4qC5dMD+Hiruo041cPER6K8qlZui56ECZ30CYYWqrmhJohY+Ha
BmOgjwf4TwUG/EvivHhGPYTmm4LCpMQESRyP/DnoH1IMDt4NXYsJcAfPfXsc4aJ6EiEw0gBKVCjV
djm1lLeXzBhrTrqlcWJnVXCD+0qHXnBI2jzLbznlSPKMQ+8qJSJcjzQas9nlGVk+QeYs/CEj0qTY
0P3N+7iKlvCpmOAMyh1+4spyqZU4NPTe57DuXsGANhyajB6LT3aWRX+RcYM9EcptCU8b2ZzR3Wqh
3q5IcMDi5fo90Jpu5b5q/fmvXcbwuYvItW73cgHleVgZNEgUlUpEzpFZrPN4h9Smi376BEpABcee
Z1+AqEr9gWayxFCdoiWIDjWiFzQxASQh2CC5KuqjSk3yp+WgQQMSwlGkm4lgfWxC+CPCtrQ9WI0Y
HU049OupG5o5v2ltYtIzWT16OktLwcKFiJJD7kWtmwHFcyJJ1HS6Xm571eFJLo0OH5wrRCFBqUs/
/L2pSN8HCnT/Z4qsy3+eESCKvd7WOXuth3nM7yVWSdCLwfPISd/4NecR2633048m0zPPl5/21qbg
/Rc5aih9PDABIjxM4k3UHYK8GF9mb1bBzQK2kBHBFARvdVAVRMGLgOJ6bCz6Hu9qiFSQEeKWmreo
b1zBjr2UvJXXWft0mVLPRA10aVZ+02C66Uxs5v9IO68dx60uSj8RAeZwy6BUipU63BBdHSiKosRM
iU8/H8uD39KRRhzbfeEGXOjaPGnnvVa9blQrL4O4NeuGZuVKiqZMFkeylzXHMzNdjCIo0pNN8h7Q
rtDZhpswydSfu0yK8mlm55lNf7pDFMKAr/kdlVKBL1RRsgPNKbKbhGSDpdmU0EoaY/Kvxw4DmDFF
l26T2Xa7k6vvtoy/TW6AOfjgGJ9zbWmATredHHf0IwCMBnqUa5DIgyB4v4uSLwC1tFHfqWvIz8e8
zI4rOIChmCg0vSzXpZPT9NZxZPKUaaEIn12VDC1/1evMpFBdlyQ9mhbENz8tt3q6Jm1+Os00k+Yf
qdFM5gEs/RgyzFY3Op7iyWgXgE53v3S7MWKac6vdxwAI7i3AtQqEIb0khqxiflUBXDVpUsWm/6la
0D1cxy/qPg1SOvEQSIuT7HZS9Bp1+1F9VKb2pPI8TmoAfVm5h05qqzQZyZCDwBIifEJuHqzs5PAJ
sNqdgbuOAoBEfLpDFukUwgovGg2yC/QAtiJ+KHTJRg/prTGyKACiSiyr2VtRvWj3+TloChhQChqx
qAq30AsyTUBrhYNWS055PZJM69uBwbWp3GzVVcSgQjgARXxDH6GoDj2l8N1bMhCqIpK5UYOmsz0e
6wXlj6A5T3bpbyf6CkzXwGHfQg33cgB7Z7PB/rGFne5apVaZUKoX9uZUvR6982lqLQwpqDxLeY0P
i8LXonEKHIN3hM1xlQ4xs9w56Sv5Aq4wCZCtCsYCE6g/iKizCkZTI2Co7/zLWLQjGswnVE62ymjr
DGywcnflJDEd2LFV1i6u3Iqh4pOrGv6VzOvqZQdqBsFOJI9BIHAwlEbGXMEfwk7SzkHWNx5X07P2
R22lUXZMBq787T6QgJPl/rh7pulPJvgL7OCiYsyzAblsQXVnFeUjSmiLXf78+LTvClEgb+B+W6Yi
XipqtNppzxjDQtHTDR19T1r9vNNf/oUQQlXKAHhmqkg9nhwirTL1sFkAZvvumMpvZtc39lYbAMkW
18KzwAVhKNByyCsatvBeTckpZdvIwFKKvxTKs2q92fmACPGGIEKRaTEBTdjAZ1QEzjUlaxyYxdXd
im7UrAoKhkrNSbGf0GPxeMvExy4KEq4iLrRR2Xhlq122qZLnJPyjOh9FvXos5c6OXS1HeGoxnAXd
vlB2q7L4UONftrPqhki6hnZMAHw2tsmeWiU7tte9sl5pGK9zQBu4WQzojaG1CKefSadwe4q13cqK
30JjGeq/9OMAz8PQofSfcPEigWI76U7DdrXh2oiWHIq8ez6X//C1iEcv0LtsG41RKxkpIAl6ewWw
DPurbm7+28n3x3axlJhpAZ020N1KYwAlkX4DIsj45cD16rf80oD+tRIcS02RVV6OsBL6AzIpk83d
qscicymczeSKcdzHK7l7KDbFeAOjaNLrdr0SAjm6miFEWW2zlQ2i7A7IUSX+VbTZgKAb89AvRzVQ
MJpFIkXThNdiNQdF3p6T/Squ5mQ34nJu18A500XYZd/OBlk76lygZI46dRVaXxMAvrXU9k5UZrZ0
YDqAgT1eugimLn6Q8LZOVaefpZAP2nZqsAcELTZUSr2RX0gZg3WQqXx5LPDeXl/ugPDGoMAIzZKk
0KpxxuqPA/iSqU1dc3Cn+zMTL86lHOGhdVZO0jSP9qsEFNOUzmXm7egOAvTNGQOq5zCAmZxGFhMQ
j9f3eSNFwbZmYfU0hWZv8cbWdqLITIfsV85BWjE+SV/dGog95gGA75Nekmfrg0ixmaczc54C2kQa
fIhn5N4e27rdsxng7OmmsMc7bWvUZzr4Vpm/rYOtBJcK8/3GYWipvQW5WaqhmCpzBgbMPsIenxU7
pPWw2q/y6pmUrwtm2p4gTfkWutZGHwGrRUPf3hvYYJHTw1JhbsKdMWUcLFM1BZWQ0OJVkGA6r1Xg
PGTi2BJsCAiad82z2b4qxycSgzsSNrU1ttWPU75f92dBA8wZkLBsQtZjZDTpwFfd2CjhowRlWMXx
+QTw23ldM355Pr3GwCE4AIzVZC+U4+jxFtwoxV4YvrUGvI6jwp1xra8yMECNNGQHrOiZzI9bFL//
uQCT399TQwHDJEZKpCxpMTKy87qliqdpAHVL3x5L+HRzru4Oa7gUIaxBak6GTWh+XuMPuaY93+q/
WPNST4IW8G7K4lOAQJrcGTin/4dcIjHLMnDAHOFtkPMFAfHQnNfJYdlk3wBF9KV+eM9ZSTZgSB+n
GtDJIXa3mwfJYtlGC4ZAiE5wYa8PrGSgJaem360lIKWrlAEJ3iSdKwt9O/Am70mCGlsh2oQiA+KQ
a0l2HoZFG+XyWo8AYAdYKtxNQQ+nUWqAwXpIkLiPzuGU6NFeXtdgDCxB+5VIV4Kfy8PdT6uzY/uP
L8xdeZZKfv4zmLEFG30muUBEfJLXapm4++rFwX8CIz9Pp4/l3BhE1exzBLqqkh61VFU4KiOiN4m+
F5kxeGtVGcm4yl+jvABYSac8o66bo/zyWKJ6qzsQaeHbkJUg6BAVWsqEe6m3Z3ltHUFX3evSRxma
9lvaUepJQf16MnTtOCsp2830slN+ke3LJzpZUB/E2HKZ7ihpdQpTwm4Y7dKnU0WvOxhuxgw8Ebeu
su8Vcy8MaBvVpAGewq0ofXhSKy1T29hNQfbcfmPQfDvw0u5tpMYsDLBY3HjVEG4izTRHxlBUea20
L4dvuwQ96HWNXxXLbOAq3nnTxLYgRZJnQR0qIhEr5RjpWGYOzwvs8CRTRplpBnE30+yTl4Gxc2JS
p+1Ad+rOweOzuz26Xo3AaW6jJC0cu+vndiwTFdqOU7e2TGkEBgIYINKoSWdb+tdK7ftjYZ9kiNc6
81qasKUM+ytYvqZbFz9pTK++db+UF3nmjHaj0Nen6rSJwEF0nR/pPHqtX7NZMXr8AZ90NzcfoBJ+
E7cahvlJMHfh8usSAD40o3brdhY9U054gixSWhrPpt+Ns/dlvE7hdnWm5WS3oCNrQPiNt6Gyel2z
oRQ3+I/aa4gL4QngSHQIW906KoFwYsLqaWsaE32XflVSar+gPYMQV33ARTFmcsyvtO7rv/kCh0Qr
91rVSBJcf8FJNeiGB31kXZYSj6t4J287DU9+uzOmjKt/Z1iaXnzTTtwav/ax8Hs3DY8H6m1D6bFZ
Bb1Ux1G3K6n6r7VD+WrPSstzDoeXtPtjZ+P/JOnzFl7s85aqO+Mr5uedPro6k/PU42dpt59KLXNO
9uH9sbxbzd6njfDVSXQamEfhXA8abU9OEslrVjirzXAEFDTIENmz3QxIuqsoSP8y9YsxxvgLokg6
bztdTtFJq9w8Mvjxc1e+wgu3Y+RNCjM338tBfrSG9NPdFV6IFe4NCINamhSIlaxyVDTjuCoYYMkW
+134GoYqPeXBNioXUVaAFO2D9VVL7Sx2kiAjO18M0Y/3Xrn4iLE2ZCgtA4g2U7hJJ/XYHEFpldeH
dh+Pneb0B7qhdnJKgAl4fLL37iwRkCE7CkRGhniTUvVg0M3KunXqb0kHTPOExsmsfTOYYX4s6jOV
Ka7qUpaQ7eqKU5br+0Ret0bN1BfMMh7l54kuHd5oqli2qiZ5O/007/JiQ1HrKe30l3TfzXdgWnng
TO+CMqUZ2gBk37UcMLsOisZIl7yKAIvedtUmihVQDKWi849kEEG4oDATKr+2tjFWaW/0cjUMzKal
KVstBxS/cuvwU6oF+8J2ZJXspyMszsp3Me2nBU6JaoBrrFXLOqm/yEa389L9IfPon/wAEHl6zPXv
1AYXsb2d7YujyhyxNqEvuxuw7Xe/R8MCkCyFRNgRnDFcTzLgYS2vK3wJtzXUnUdvrT4g5c5ztXEQ
DNhvNMI9cpXX+jarHfi2EklZH11wXWft+NgGuxX9wLt8BPTd4xt0+0ivhQnBbMEkv6Rpkbq2C+Yn
MnWeWssOijU6t+XJY1H3FwZxgEldSJNVR1AIGlCQWsZAz5q5kNYc7Xzr+3YJHBcD82+nf7UwQ3NU
VcZ5dmRhYTREd3FNRpqXQTwKpuIW/FQaDRjFebysW8XCDuLCoskdKl6ixwe00L4zzwjq6hLUFjXv
xhXsVuPoqEUDXvpdUaZM4dwBNsVUe+fzwkZJyjnNagKgdUH9+w8jY7EXxe3hpxmbPx8v6laHsag+
HKDVT3VkWzwqYKkNJ0LSgYYMWja8fTOjnSIFSeu4HygNKL0Dd63EEOaA1eyYtkIgIqjmZK8nJbQl
Kk0TGZDAdN1Zb5BLTXTrtbK+pzQRxPE7U5AArk4S5jy17QA9++3DpmxuEoWgrm1KhMJdOWyZIMxb
iELsM63suDgp1fbU/BcXhSjO0nFlFHo3BSlAnCmUplt1jVMv0xmj00+oHjz1+fHR3XvRl2IEa68X
DORD3ayuj3uU4EyKN6C60gv2WIpy65eyZ70Lw4q492KNNyu7TAqBpFvvtN9neiOl5LUCUPWQTpL9
bxqWXD2FXZ0e781jwffewKVcYRfPGfl3zTqr64gCrp7qT1Y7UbJq9FiKot65k5dihF3UzExru1RR
14cjyAZ2qPlHuMiCsiD733eFwuhRNVOioGIJmHc8A4AyXSRWEs/PQBQMfE0vTHggUNY7uo7twSyY
wmvUqwNj/21krc907pBrIPIFZceNCksLgCCug8eL79+bIM6xiM0dzA8nK4oLKaOYiQ4IYLP7roEq
Tq7Mi04bNePGVkz2RPXTNi8H3uCtUEdm4N7QbZP0HmEGH3Wh2xilaRhjS6x1nCsT6eB2L3tt3Z6V
ebJ7ts2ZYw7Iu3PCIFboDq6gRiALbeu1QC3cneipbJ21qtRBDgJIGW/yZAqQO5B0hZs3tJ3Ub7qm
eBYzvyiPgV2+E9fSpGwzktlrPvzS/gperNhhhMbe6eftJq1/GM6KkVVX340VWuKSk1fT3nMChZEt
h+VASjf0L3bnhcXUFIBQOeBhtZlCTPnLMXL/8fHf2xnLJipxNIhEiXmFu39kcppWHiVcJ4zc0Eol
l/iPMxrTGxrjtzCrkhhi2PirOYqH6JpvulV6QwAouNJH2vhTIll702kVnbdRtGlr9T0rplniVfWI
BCMo+AurPgUOAK2FBAiV042P6cKI14o0ieJy4MndMUo0cODEE5zhshCEX58O0zcMSSlJtGFm0teM
d7kjq1K8HH+q9G4saOCVj5EH1o7fZt+saMD83maRroULhj47GFUDdka0SQ72KD8Dcw7ogqN/B/Td
y+j6U8Ih1t/+tl+/eTYbsH0N+ySDOC68hhgyE8bJtGgDhBODhzFdbcBJOhNAU4bqNHdeeu9c8Ozo
LNQtsU4Df1d3ts5WtDEXgEvq8fRwWlqt4+7NJDjm3yR74KENyROWpu/gUoGqLdpkdV+MAl3mMK8h
6mOa3wdK9PHjuU1rajSe0GtEsoZ4Gy/3+t7Qy6ea4KDsNt15GU32+vQcLfTdn4YDTHavtU6VHVz8
bHQ2o+W+JYXsKaefOx9sJslTpbEjPZWAIofgqOaZ5OXtmEnBLYjm+108FGjcnPn1p2pCPAOlIvj8
Sb3bHN+33zhwe53/zt9OQT3dz+hGewtpVR/YnhtPSxApaPkW8ljYC9vdpmy/aVB6178fb/+NpRR+
v6BTAZezSjPk9+sNoCN27jEonMc/mvrbP5djqyZZXhP7qIkuq90U1eHcnXebqv2iF+XSzlBJqXne
xFErDZzTjS/Ommyd94LjiF2WhWM65EZbSUnImqz0MJZPxz0QpDkxcJcdJ+W5bqbMfQ54WbexmkY7
EN4G6gBtTIr++hrLZwJTAOS6Re3BZRK0Y27nlNmHeLBt7eZ5IonkqtYH1CRoRLc4NRhUjJtIXpCx
9k9TaRl79kiexANW7fZmXIsRjNrZsbbpToLtup6d/GRC86o6FN/eXu5ehENRg66K3n+63jMntlJZ
0mN5UU3JTvsML7ml/zNaezMgp+a//ukNvBImVobIV8Kb17FtyWTrO546V6aPBdxeu2sBwlPd9/7R
Wf48lzbYevac9oGBM1FvNdC1DOG55rIDRFK7lRfWC3MhKUMtzN88n+Zs35dwFXshK2v9eE3Se9n+
dDah206ZQRlZ83rgkd1Y3M9b+L+zs7Xrs6ug/s3TdicvysChruB4ziz2rYH13gZNgpT+Bl24fC3T
NSVAo9wQvw1ArRvZvv7TVV1yWQPruf+q/l6PYPQAPkvrZsd6mD972vmSZ23UieQPibmrJy7uvC08
KyCMmTY+cIJlQDePT0IQPXH40YyHrqMydEKCRgIXAyzhBknhxpnUQf+ImS/ZJG/Zk7NUp5qXj9Qv
cH85vjZgtIZeguCNQWAPjpqKZNXbetmTFkTD+zi0OkF3dHmT5MxzyYtu5IzS00T7wP32Dk+6q3jA
lXrm0lkD2OrUfjS4vvvXkowmDhnNrHgt19cyP+z02Nju+2tZB+Fs76vT3KePZAT304BWuQ0u+idw
IUtQK6oaQkQIYcOiP8RzkEysSegfJtuJFhz9ffBYh93VLxfCBP1yMGyt6wenFtPnyZCF7P/tlccs
LETQGAVJq1yjFWDRcBPjIOXet/4p8IjL/fjL43Xcf2amadE9QhKAStj1CYGHk0rSIZfpIU8mILYE
2VOyzhahtxvQG4OSBBWlSyDSbzUk9Q+sdEMf/K/ZYRZ6Q69qUJKgohTAjuW8X1MbNNPSjQP8QV+f
F+PjQIPrXV14sXmCjsrgptlH56zXUSdf93pzac2q/751ooY61OejbbAg0BGnp+nOr1zljweg1/N/
vA2CQgIPxFF2GgsqRuA4uKXrLBNP8WCXGrgNQzsnaKUa0vtDmLCiGqu4Z2gEH9CrNvLAgu4qv78P
SCyshJlUa6bDek5+b3zVKUV8b0jz3NHidAXisCsoOWrZwunQqk95lAFnhGy9HULO8/RfPNMrGcLB
dDsdAjL780qDM+S7lesep9J0yOre2a8rMcKxZA4EWAya9McCc68nY/zgpBg4+9vyG412FxtmClYh
AgMh7mIYvHOX8X2vmsMz6u/Q1THw4wyT7D17SKR2q1OvRArGAZIuHbgpFqatzE2vVyXvAJK8W/uy
P/szpBfu2T3KwQ7RDTkPusaEfVTABtwdG6u3e6dp9i17OvGKrB+xD2vfwNJus339bv4tS+y2buEe
tbLqU1a6bEBufm7RRiXpCLjE5upLuFK84y/V3c/kp/B5UNn2aluwVlfihZ2Foq9gNvJTfK/W9z7t
o5+vOR/BzeBtifMGlFT/G28k0uxIpyb7S2swP7/wdVXFVPZA9LG5sct8+VMW6O7Jg/LdA+N4QMPf
vatEq/SFkkA0dEMw9FVJ+r0qE2WRpgxZbynrmxuDEOxr126MaFamG5UOJe0Vily3ZeTbksyh9d4J
MPuA+X+f0N/ti/Uq2zxOwJpVMGeqt/ed5eGDAev2WzihrurZS2keescPWR6Q+zlCKO7zpVzBYHcn
QwISA7llIK1AFi/82Le9bt4usatz9T32UiC0Ia/zw1X1A0wqvxwq4N0xExTOHJO4l1LoTTYE7Bf2
nl5PYmsDbl9/+xo/x8+9loVxaZTO4W6DeWz7fFgWbuIPKaq7T+tCvGg+pHJPwg3q0cV2bqwqf1HM
9Vk1jyejkbIcQ877A1a3Px1X7zAeuOP3XpXhmDojngw38Ldw5kZ7VOVzyZlv6sCYlIstNj+c9GpE
ddWn4TjhMyd3c9oXEgWVJZvNOdLiSlmArQdPcdB61ks77l2aw6T0zgGBJQkbUKueTtN23Aey4aTz
HADdf8KsuHfz0XB8pN5xhWl1+d82GIKl2Ekxw8Ud2+BMjJW9obq/qWfdCBYYnC1o6g8f5U+o6MeZ
B68FAX1OYDFwEnc8/atPEPRbG8Y7sNH4hJO/9+Em8I+LcK1OO283OSwgpvak1yGH4l4ocyVTUDqE
a6UpwY/NMWSZm0y0z0CbmXmfdpX2xZkMrLHfxgdnL3YaWIVmtJpdKIvv2tMWv/zEJcs8xx8UNHSe
gkqp4IpP9zIL03hOx2XpSR6YsB7gKK0Pl/Z0YF0Dr8gQAoECMJaw69fVBn1cH+JkpLOG5aXrEH0R
/asg9OrkhIiAOMsq0l1/cjyWPgw9zUvPej5Mzj696UNe9OBFEVzPnh9Gl0Iu53be+OkSQqPP02t9
sIhm2ZBBGNpOQSmdqh413kJF1BiiZsqYGmxsfuWDVRWo03ASogSkjYGLnXkWlweOcHJdg6d61yhc
KAVBU9kRMAaFyanCyPuZFwJlymtWvbLSfaCvvXLd6wHHlwaTeVpvax+8FNF1NWEuhPuJ87U34Sxf
ogoDmDaX0ZfKp02aXV+R5lvR8jZx4JV1m9n+3Sz8zoOrvnGtWe3vl/slBK7/Mgd4efdMQVNBk247
RsNlOAbvZVCS41yPjY3sDpnFu94tXcOOYjLvgVstXHKm7JNdnbTKwlx0P61PjQFbcQBHyGQwkXvP
2buUJdzwQqpbswT95DMNqLycRu24mcKmi/4/TKJ15Vrj/bI3izseNJAx7mMV0l/p2/P+e6nClQc7
vIbpAPH1DBxMj8QxRm831NA6tEjhRu9MLYyBekdPeXju3mEVb3q1CI3B6l9FQhcbKppUdL0C3jyy
qLqTV21eQ7/prSfHp7r6vwv2aLNkZIEWWZrLhFu51/YkmM7KX691N7cXwMajLzi8acN7sEfb4PGR
3fXacBlN8Bh0MC1N4czS1orSA8SOC8gT/5x89V2rpq+5r4zzuXQOgFuaZIvjaLs4EmhKY2PIZ713
mGgnoCEsFWA+cYPrMzBIKXxqC4eXYXND6Xv1wMry8dKHopN7hvtSlrC5eW3L+wrsqcV5TMS+cLzT
c+UeZv8fcVD/zsSHcClJcEkABTyV+o5VWSvA4n80r9Zkh0G159Wf4sdhmY90igChd35+fJi3bRv9
UN7FbgrBD3oG0NyGFUIOujkuG3xS4yn0iz/WLPK037JbgTQyIPPuCdJH13dFQespKvkwDJWkMGoV
Oye5zeo4iwJOccyctPz0bxSMcyFLOEEFCJk47ypuy6Qvhsa/yykN7QNO7D2LeSlEOLzGMAolAZDw
8833qhO3fmzg4D3euCExwlkZRdn2jDD9viXk3psZaPAuXdwDD/yu/blcTu+nXATExTlTKVg3KoXd
ZlVutKcoOJKpasb6l3hgXn5oSYIHWamtanWQeH/WkKHWLn34krntQyc0uCbBpsbYOJtyvIpN7f39
KOjV8skLXWWRf3l8TPfy48xY/X2/BZuawJV5VCIWVfgM2yzjYEt5YTvBefuPF0LQxMdDB9JSf7mB
65/3Oale77OoITXYn8KNcrpYkGA/j0elNHtGSax0b9OSif7jvOyDVMAUfZD1/e44dn79t120hNhU
a0KlKrcI7UuuMomZ1OtmIPh54YA++hwDE5YHVIuskaq2oQUQe6atFATkvX5WKRO2y2RCM8Nc839W
dAG0PrPhP954aEH+8hL5m83Q1t5xgK5kC0dYAqyZMhihLp6+Zms1SJ46F0xur/EQbHig1wbpaD8e
2tteUzxasXCglZVrmXpixd2csi94uSTvocGZp+vT0sTJ1F4HDvNOju1ymWKmpwTYTjX2LNNyF4of
PWWj1XQdZMty/Tb5NbCnd3TKlSxB5e86+p/1HYurAzhjCdiS+c6tJ8bA47vnB13JEbS+czrF4PGy
pq+Ah3+TPYm2gG46/U2jr/vtmzoCbRNyP67rUKuafuf0lM8mH9Oi019s8yzjpFKdU85m6vUyzYu3
ZJ+MBw7sjo1WFbqXdKYVmHbT+2+4sAExfT+Kdi77J/9X2SVZZE/Vsq/SDzZX3F/P37IEIwDCtwbM
ci/L+0zBbl2gr3vPrk89UZP1HWkwyLp3IelV7RulHfr9ZGF9dXwu6lop1MXOLBmBDCT5m5X+Ma1B
0Il7glSZ1li6JrUeVu16I+u0TlJlp6sLfdwQyVPFJLk2faY7NlBH5Bp9GRM+cHj3lMqlTGFxRqLD
ALNHprIKN+lz/X6YyoHmv0KY5BXB4X2/TF+rpRa0k8eC7x3kpVzhIAlFjhJMQ+oClFEIG0al8fux
gHvuKnNBf++mYMZhjIksPUGCBBZjj4ds+WH2JIdQsxyDQ7Msm3GRfdQHaZoZX+zcL6AAHuo/v6df
Lr9BMO8AaCqHigmDheyFs+TpIwmiQF709gnwTtRo61PGgHaTbpOhl3+vl+Zq/YK5aNQaUrlGUxcQ
xgbJsplqc4WR5sZt3L0LhvDZN0daUHiou9eBrR+6VILN0JVMZYigt1Qfiw+Aad3X5/F4TWHgNH5p
3aEq1L3qyOVKP7XvhQJKj1wkuGUIvTxz3Pkfubv6vvenYKJgHE0sc9HH00+t++u/bvLnp12I3lYg
UytnNhkyJ+q0kttNV6/jdZ8F+QF/EsnbzVDaYOBOfSbqL0TqhWqdKJ/26rZF5G4EsCjZ9qEI4hbQ
CRxS0DZ6DABGjTQR6dAqpBieKKO/PzBJ7ObNaDVaxe7v30VQBFA1/Yi8PwP3pjeDoq9xKVIwk1oF
DnocsZvUammvOM5y0jzVrHg2J5k3WNG6q4IuFiioWwjRqnqbs8Dtloz0aPEafT4N9av805hJfuY/
Xt2QuP7nF+em6pIVpzHijOTodvJSP+4GJHxa80f7JyhVp9nBOhH+39uoe3oQB0eP8+pfwH5SeH/g
IRqQefepM8XqQLemM1wgaDiJFAu4Aaa6OHyN4CVs/OwLbbe5FkAh/Hj/BEmMRtEgbRhqX8ZnCtMQ
9JmqAgrrHNTD2whQ/DcFjbqCOW7yWIjoqf0lpUeZoaTN4JuYUG3lfaYkmX54e6ftZrfaUkMHoQxC
BG8GrqYLgceknbx4raschmILwY+6ES1spSNZUbS3tMPbkz+qf2/9jnapw6hz7WZ6AGXa8/7sF8eP
NguiUVJ6A+coAmDcSBe216zbNjlULLz4WQZZzCht6tavnvZOV4ZTB8Vo07qbvlAzGZKsX7/6vyTT
9UaBmwFwzRRefaxJW2ii4/Rtr/2EreoE9ryZb91dF9MnbNvv5RY0yT3gxlMArYueI3wIiu9zqPbi
4Xx+AjoOZCFTpcQrppksfd8CJl6kbyf4vOxxCVk1oAWBGpzBSPfOv9NkdIZDJhl3+tQZJ4tiVeRU
mvWRCcn7XPndpYE6KaunXTw5GOvHV1LwCv/6NiYwbdsAb8bRhWvR7qIG8kQ5fXMUmMKlo60yLXRA
9C7zoBocqun0OuJmKxhNx49nLl8WIXvOhaLnpmOkb+npDB3D/uDqBcw5tjJ+vKxP8FRRECqDJ40s
xksF/0w7J0e9MavDm0mJ6gOGu6O0ZnQHLB35HZy13JV/lxmY+C10S7NkWmxHUjHqsAc/T6cxYz3W
zt+HQZcCrD+LYhijZskXda4/M+ILIX1I4fRPlAZd4m/bzeNPF+fGPo/k8tOFI4FtJcF01Ic32/Tb
U8oED6yZ7r5dyLhTT9Juesjd46RdDSWZP4FgbvbM6sdxNQY2blBq4gRWqMhCB4amZ8ER4L4mNG82
/hoQPA/crfO4grrezX/F4/KtZ9yBA7MiOfATWOxyHuvT2hg4RrEv4K+9uPgkwebQ8bfdNic+qRr5
50APzr9HU3M9PmBLf2Z/9AmWOx0x3jRm4uz58Tlo9zQHE23/2w7hCm2VytrmSnd4203NTfLjq/5n
FT9bT+Y0ncde8RTtxlXwh0ShN0tf4pExXTLjuqJHhP8/Uv2hBKWYOPzcCvSXwyw9Y7w3AFuydDxX
5zw9vukAYeZT6L4A7IceMv3aNIr8XsXQdfoaEOlE+mp8eKm7VH4HZz79etScfTRgT+7pDZJUhsas
OzGI6Ceet/wMBobjW11tu5FcHg8Q06c/y0o2XppCHhoW7++8cDXBYwbFR9dIZzJmz88v3BvnZEF7
XlrHNybK9akdK+ook3PFtyS4m7Qcjsd9sdcHbp8Y5PRbDuo60TIdnzow7EICRz0riZLV1fFN3fum
4Ra7gCdZHCfac0GTzlg5P+t+vijMJ02ZWPRvFBRHhhxy0VP+6yOob+nAuFoaOEbXS9fO27NqZPXx
TZqYykKFnVh383kOGOPZZddpbJyWenCAQqkeAQea/bSmjx/CvZuHEmUaCdxIKooiWJe+jVRra+TH
tw9CzNxLvx9fK2Yl4o8BOXfuFHJ6IFkdot8b45AdVK2Tt6w0pE+EhZbda76FmZ7blCdw4UKaATmd
YgD0Krl1EXldFxjvCaAzufFPRxs/t51ONAUwhx726GbRUHXuI/3A2Rej6jh7m71I/kyfb12clF/v
A5nCezqfCWFAamRNNkHr63XRxf0umm18iozz8S1xcUxwAZ4KSE8OnrGEQrZ2rcMok9wh10goKv61
RNQJsN9AkDMufS0U/gVJqWECfWvlrPWl/Gy5aq3okwy+QFc6Hs6u1UADtt/ar60TheOukYdKcOqd
h83j4rBxPWz5Blm/UfJdyMvnG8JQ/nKKI+nX4aQ5mn+AehGchOII1jwOVPsKzyQlXedol9YyTAwH
ntKwSRI/YTQXarzTPoLu/FzXuzmDbWXiy+dE/XLINP0LVKnMw8vbsmU+3ooVbIZ1VOZRu5cd11Hb
7XuYqcZ7cSgbeg0tSX/TmkM2NER8z5Yx5wk/JliMjEmLrX57iFCL0OnpYulrNAP43KwGUKTEheHG
k/IP9RufI81UzT2u2xySI8UzP9qv+cgMPVvxAEtzTbkaiHvEvtf+EgCWwPcwoI4bKALEqxBfFvVW
id56Dh6Lvr9EpenRtMYnOMRmERMpLWRs+1PQacvH7/0zertW6sxrGmDT0/QJrPOn5ru49Hkd6XYC
v/Sb//X7OThM6RioppL7/eh+ZyPcVckoWO4dKWPaU+y963ov/p/NxpsxxOfP56hBSmd795vnTTb8
mZzdl5eD95J5kKrTmTSbzbyXoXjiVkfxYDR6YuhR5dtFuwcqZJprThi+Kvk3uOPcspom2/X2NGB6
bp/FtRghe7ANj4ZdAzD9SpotiPbLEggRAISY2H3SoHJ/fBDiECV34FqaoH2iY47hSZAWtf7Zy6aW
S+PNn2y+WCxGsFBMf/88O+5pdvLcefcnWQ91Utx5GdfyBUWkNFXRglcVvvrmmF7vxeij9CAecqf6
ev1FHmWuiUMF25EH5v+AH3MbkFyLFpw8W01sK+lFQ1uoZ3+UZJVApvp4f28dyWsZ/WFf3HMobaIU
tRK+bvdveZ27cTXwksTUzF8HaGg9nA6pEtBVriVIsJq1nXaUXtNJuP49Ps2a2RJAy19Us58M/zxw
X25zJazHwDNGXM/JIOyZnJtRoxW19Ap0lnuqpj312hkS0fyjMr+0xkBl/u4JoZt6M2VBg6Fery1U
C72Tzg3SDKYOynFqvWu0gz8+ojs+jiMD8YUS5HHLuLXXUs4d9X/7IEmvxyAJ0rE9t93Zn4iu36Gk
7j0Fwr7o9LkDYUGgdS3IpHnPKk+h9HqK0tEpm+1KzS3LRV79c5eZFV0IEvZNK/Uj1LAIcg4tsRst
FLoMj6zlxvLP/b4b2sB7GutSnKCxyrLWy7BwpNcnOCSZTFE3dIu6xNc/FS84BN7MfBoIlO89K1xS
gHfwlwAYE3ay0HJt3+kscO80gQlZnkHc/vha3Ll7OIBKnxukwgmu9/VhZfuygkU3jd72ZvGliIs5
rLW1u43T4LGcOy+KOirkKSyHkOOz/fdCQ9jWrt01XRm9HcrjDOCcVWgkX51D/KHlZzdPm5GiygPP
6k5WyrmSKRzYST9tt5p9jN4WoxVY+4AN8NeJDPzUHU9djK03m4TLPTHty4C3+zmpJBj+K9GCulIK
wyyrFtFfv8reuxm8tx58jxPD9UejqRPwCR+kyyOXfEMB/9uT7psMcHnVmCxhOXnKfP/PQGb2zu29
+qL+IlwcgCVpzs6o8ugtjp2J2cE1bsjz/KT4aVF5ZakObP5dcSiZPqqCVMoU7tVOyexQ/T+kfVdz
48jS7C9CBLx5bTiSoBFJQZT0gpCF9x6//kvomiFBXCLOubGzsRGrmSm0q66uysqMXdcOIarM6n4t
gJNrFVZWlsYLB3PuckV9meE5tCoj/fl3+V8NjW3Csup42bXrTS6rpYsJ5UgiE7SXHqqnRBMctXRI
hZZt4qIX1CG88wz62o82L0j65pQL3zOFso931c33TG4PqPWCXptiXRud4szrLgA0woBs3m8A1JDq
LNyMk3LWnbHJ1QuFXSFsIGtvl4OZn5otzVgfAhJJwq7/T4mn/pctkI2ihws1BGQdb/cQ1VV0nIeR
Z1sx2Q2EYfT++9t6iZCb+m5X3BI95VzUhkLCP3uTnHrgeEJDA6dut8G6qSxQHoaW1xgSFJdp4jsr
5Af8AVz2kRZ5nMbxVuMfGPo1VtZsZQHJRJOM2kiJDoVsrUu2oSMtxD1/D8jpOb/+wknWpveiwaGb
wLPRMw2NQwNFDzDFEoSX3+5G3TPv7NjhXOk/z4eDcdpSQHir56P2urNWZ/7TP/haoq4c/VvSWtKS
1RI+bv5o/JvBKYI34aRs4L3Qs1nBClhSXUoIwKKPXFQDaQNu6nTTg+SYLdasFh17cZc/lwzpPqoT
lai9dMy8hWT8TMIJZ+PqgyZ+AbkR329LLKkAuQPnjaEYXVBWnJNpbaXYQmqkYI3lkHuiC3B2b8pM
g76u8lPIOyjVk8hZqorNvA7xQaApgGAIshKg27/d0yDx6XIQWXo2rcobXi/N4cI++Sr92mqx5jho
xKQXTuzcVXhtcXIt9QmrxJWXerZUrMRc7Ut0jSf9O1Lz3lIOc366UYjgIGgxkhVOTlCNDG8j9Jju
nDc40C/EGn8u9h76HRW93Uck0STvUNIoBpgDZKNJhD6458c3/7w7FMRRBw7idwgJb2e4HpXHoQGK
Ja/MQSyA/+E2gfvRumrOIr+bBOtYDk3WkaAWX6rCUklyLvBFlRpEhqBs43AVTbyW0IiQqE5gvzcF
kv9CoD4gUI5mVDU0Fu79KWjmz0NispHrgdgAyAEn27sZIIybJ71no9fWcMsXKIbHjqc19JH1rUAc
9a5VH3qe7FueEZfSaEkVpJeFCZ+L6a4/YrKlh0wZieoGz66lcy2rirxi0K3QETnV+mPoHfu+1JjU
B7Gb0a9ZPPHFgl24A/+AG1PHCHwnJCvgvkHnNvmGMBuYaKjwDSiFGnGkMRV5Q3PpPtnbth0boYa2
BfILl3f8bwY/ZpLBnww5z2kPeVcKcuXSIjyeGusSKKYoNLqYja5/COp3+ikspI5n7ygEOf/X3mTF
/VLi806AvXoDMGvxnDyFerWVVulO1LyPYsXthw1l7qH6ANWsjUfqT/SSqUtLPk7ndLoBIAA7Dd6r
Ashxb89Y4RY1G0elDw3XM3Sv/aNU6BB3Y92NpOzjcOt+UxtuSUlrNsq9tjq5/XxPAG9gA6sepxqv
7zvvqzZLtSTGeA++4mWerHtVArJH9PUnkYik91FM29t76HqRgtjn/mLVCztvzrvK6G+HHgQ23h23
oAJhYyWWHM/2M9OrnovaStg3Cc2gXUqWZn301NNZH50KcnsSA+GJSUwN6clsiDga6b1W94m76Xc+
kaFQu2eJBJ24/+buhGMZ9WLRzwEm2NtFVgoAULmQ8u20dnWB/3IlwrF61oHbRDFq8YlOVR8N7ulv
BY7CbRxoEPBWRV6NCzNSlh7fo7HJ2DG7UMbjZdQP74jcUAbLc99lA1upTDFaMfSxdcxAWAiwZp4R
aBpHJgYGRqLRyQ7ruIDjoJcd2E21oTi14rRQ770nefh+7DbGv2cyGsBVJB6bBpEA4tvbqWX5WpYr
gYrssM40oI3BMkv4eu3vCm7lsy4Bynnh4T0zfxyKijxayUAAgafZrUWfaUQv7JQIfupQbXpjsd1o
ZnPeGJh44KIMeiepYSDdD1aisT+ZBewH4j3gipXn9pMyHk/h/ICQ6UYkBSjIlNQzTxACVDzs8T1p
yosg7ZNhEyQfj63MlFOQmBY5Eb4dPAp3Kl1MHBdsmQexjcbQtCCVJpHgudo2W5CxbvGmHsipIZn+
lIBVJkn06oVBmvy8evwV4/N9ul2uP2Jy8D0AnNymxkdAMV7n0U2Vup+PLczMJmqEQA/SiE05eJjb
7dGytcS0ZQ6gVoeLe1j7YERt86O7sAtnBoJLg0esAhpWCLaMn3H1dC4SJ8r6FAMpmvhFoivZYIoi
0x+PZS4Cu7EyGQyYmHiPh+a5HSmHptlwW8ePVKjzRMyuT1+5wSw7KDAuxWL3xT9Ufq7GNrkT6wJS
ykPmxYjsQ+ksDL/lcAzyfeI+MyXeQ+ugXYgFZpwIIlweTgQUlwCXTDKsReorTRKGsd0KpK5CEoSn
vnsrKqNjARz0jkvv8bs9AocIQyAlRtIYL5fJ4jUSC11BMU1svw/AkBtlKBubkEny1ShkFzbKnSOe
2JosIS8XcccEYWIzpaQFEObzaCMGBNyHyFFNfz3eMHe7EsYQRI9pSdBQYXC3uzJNpL6UfOCDoJWk
uM1nU5Tfjy3cP/tGEyPwAX0CyPVPS5XZyLvDMA1wigBWeKgJNa+vDKjiBMN9Yi2LWtqMdzE5+h5w
vACxgBwd1GQna8VlEGqBiEOG8jccFtq+KVCSueRHRNf3ALoPBMOPR3j/9J9YnKwY6vBiF1JcZltZ
Z31CH8JsgAb+CYyGQOxMPdbke6WGX1q6dNpnVm9M+uFSA6sgDUTgZPV8xw8D189tvG60d8UClZBj
EJfVPipTCbRFEPndscNAAaYAQzwuUgGPjVt7rp+KstO1uc2bKYrdumdAi2MISfbTLSQ172LLiaXx
yr3ylkGsIM0owVLtf0eidq5pcu77hZO2NJxxeq+MCAHFJs1oJCZ8ryb8SlSILTvawkNpycz0ChOp
kC0cJrdzfQQeB0hEK3roEeZNePZ94/FmvEd/jDMHrngUGWQ4rL9b/WpQiBMFiN+KOba/+C6/G/G7
Uu7rNThQzy2JmqUteBf7wByPej+NpmceCgaTwYmVV1YZcJc2cK8SsfyPPDVKXruICUFroRgv9jjd
J1pGi6NsM8sikIRjuV012uGzErzWhY3qWk8GvPag2QNBnYOErBWaDPhntBimmuSoTXSuqFP0MyxF
lPeJlsk3THZO40OJrYSCmI1uinokDteymFSeCo6OzaYTFvbpOIc3MdDE2mSOM0lqnFzpCrswwOFu
LdGSznnomxmdeEy69GQuFcvCzv01zjXRdoacE7p860JtxT1Jz4sahmPI/WhEE4+J5riQTd26sBNl
J4hm80qx2D1BfMydjVICNkuWUoGL22YSowRSJoQVh23DpTuG0oYY8NMLr2exEXxlaLpByz5I+GMW
aGkAAwlDhSr3BqiMsHhk7qIlLOfYoTcqKCITKkzu3KoNgUCk4tJm3FMMgig5IRKzGRy1Am1iexz0
pRr7PWIetyDUmv/0k3D2/3JpVz4BMXxf+6FT2l3xGgIOZ0cXASnJeISpB3uZSLvEgmjasJENDomi
xx5pJp6BSBT8EeTnePDTT84KTTdcEClKaWf1a1CrjSY25zgjMr9gZ+bKgBTaCCWQENGgyWPiF7w6
lpk0ruwgOA3cSrLdYoeN1BKvW2Dr4MYDMdm+kIVhUJdRUJ2B5umtKeREcqgDcpVN6zVyMJ/AGUmG
u/Ht511QoMP6Y8Mi+wJ2GZCNme4hUVX9dC5+LPTUontuqUFxLv7A5yAXBSU4UKZMMRRD3iuC04qV
HdWqB/VPI871ZOtbUveLlV2BsNIcFCus1sKwYj3SIt9Oafxe/o1ei3DhQrhPR2KvXX/M5Gi7gx80
bSFXuFSbbzQSgvYPMFcCImmEYah4EBICl+bpEmnBSGctpW7G3TRdGoHFHkCgCRUcerI0TJmJDZX1
tV2IUH1yFG5Q4wyC1o/3NDtz7YlAOuJVPCINEeDd7oCijTmnBtuaXQwFgUIQ+xIV61HIkZSxHoC2
c+WBukki7qDzrZkDTF1C/z0gzYfcXjzZCnirrtXUe3v8XX9Z79vhMwA0o99/fGLiv5OrAo/5oJZi
trMLhognB3rQZlPo3BdojlZQ6xtc0+NJn6ltvh1YrU11hjtEAYnplZRobWgBDF6bPaNl5bejQU6a
V6DLqTvDd8gO6uNvnZnD22+dzGEchWnIuHRnl2SHXYkEwzuqBiNyYKQL8PXnxMr2gnqOVEQS3wvG
74OyW+OTbYosoy+n+dDhyfoeqbteR84yhOTD55g8fd4p5P3ik7cPwWRUW91fPhbs3yOxR9m1UZkB
j6Px+TVJSlEK3yVyLnQI06AyEOrDKgb8MCy0BIICriaQFj32jrpg9t5x3VqdnI6YUyqZF5TOrrp9
LyA+i0ooaa5iZgmZxN2fw1tLkyiNhRIl75cYnxET46C992pn1PqAVrEK8Atd3SJL/QlKRhKbaN9G
x3hBVNpS4a3JUp76vhdlMtfjt15df0oSd2LOOJ0dvyRb7sKDRnxYnSKY8uCPcrXChnO/lYBoR5QN
wIqxcDNNuVPAoHY7GZNTOTCAHTE1PsDNv5nKSjxS8duw5gmbvIVBNgI/QQlOFrb4vY+CVQZ5mVH4
G7TCkyQJ5bugA2UoDJswX4Z3fnpfU1/VOjBEkn18cBLQsM7B2XMkMmmXjKyUCx9wfyPjAyCUinQk
rn14pNt5F1xfYQfZ7W2Y7yOyQ0/uc7hxyemH/zZP6+hsolcQncef/P579Qsq3qWi/H3n1jjxgCZB
bRi9JYBe3X4BRUUB78Rxb79Yr4edb31Cf2d/QKnKJ6fMMk1zr597stl8lOu9vYl0jwD0e1y9PJ6I
cXmnTvn6KybLz0QVmzpshHkAA2JxkcqQgCFuYbnnDhyWEys+clsAF347VEAPMqkos972B90pJT1i
FP3xMOaW89rC5EgXpZOKXpH3dhmDck6ICMfh4Iamy0iaEOK52S+qJN/HjmP5/t+gJuvH9EEHjuW0
tzPtZbdDsSAlVn98fd29e+rhOd8944rXEkY9dWQ9kLWzdskzZ61j1SRE1+2UIbYHSkvAV59W54Bs
9GSP5lj7N1G/tceTM+dZuVGdDS2ZaA+dZgh5aizQxjhsbTyK8R6D4T1DV3MsLyzzrB1ArPF2AFwW
+mi3yxw4wxDE45nKkAsfU58ygitaBICi+n08orldOxbW0UIDoBcEH28tZQ6XNb0S9jZ+U0sEAQ2D
ItuSBhnQ/y9DdzQ6LeYuGg+pEr85rFXRNse8PjYxO2v/xnKn3dzmJaRqgx4y1GB+drcxHgZMeHGz
pVrdwqRNAcZNLbgKbtPervkOD6wE5zCBHGkeeuvHI5o77lero0wOo1ClPdVLMOS0eFMpqPOn1X+x
LtC/RIgL1zl2FN1ugFpm+ZSOit5uwlpjIoBH3b0QLKRrpxTSf3fjtZXJJdFK0KDNE1hBqmgbj4+T
192B1g/GU7ZqyKmzTifwRjX62wfPkg+aaOjPeDyVf/WyqX++/oSJ6wR2onH4Ahsw016tlEgK3MzO
MA4nXFXmsH/ijgnZfkAQ5rwCjiJSF1zH3FL+Nc5w6AsEvmFypHsWnYN/+7/uABJPEyKH749HOLcr
ry2Mnv0qACqzQHSDDgMsQ2AWPE10XzJmCaH3/1hJdLP873FMHYYQs1IZwYofrGLysktHdMJhfRKQ
EbdP7dMXT1rEHg1IHkCwoo5ziR6MBf+4MNS/UOxqqFIbQNhVxkdUo39UfgQ7co3/fDZRxMPbDw2U
oJOYnAum6fJacnucC3Rvl4lgOLm8zpUlvPjMSxrFQmB6wFaFtAYahW5XLQoDnqvZZgDeBbzX2JPd
Gs3n2jrcER3yZ65abKSPTF0tNZfNZDdvDE+raxBzS0RIfg42RwrPFD/80Crf6ae8IQ4a5fiV8pR+
Pp7SudACQSIUd3F9oqY32aA0UwQVl5aDHQPE1Cc6D1BAUJ/wTn4Pg4XszTht09MOO+jlRwsqjUfy
7bQmPVR+ypYdbLlPSB2daybTMo7Qr1RwVLhsE+dLPTuzj71rk5OVDKokTeOSG/DYs3pwfAMupLqr
d5BXGa5N4lpNgHtYwgzNvjqQdQOXLSRU0VY9HpWro9CySRjIjTzYQ2gokZF3NOnCVIu5i0+Rlt7W
tY5u1fXjlZypPzAIGf5ZHa/iK6turXSJkjuD3UDkQSRJowNELPFqU/8yqhI/QSEXFADxq8OuHlue
XdcrwxM3WkRNTrMZDLPKk79hoF0SvtHpm8eZxSZeYkCbC0yvRznZRKnkCJKSjMbcYwtJeOEnS82o
Oy5hS6bc4X/X44jso+EFJMSQk3s+RGOtG3PCYO92pWoZyCKtmufcpnQTXYyqb9CazahfvaF/HGO4
iHqVmb+BXlvHhUtqdsDgJubRw4yD+vfSulpWJnc4v1WUwUamnpONasV5KjSglyors4t4ZWY6r2Va
80oPM0m2aw59Tlo4ggQMb7LyUkHA5PGWmU1BiaB9BjIIATXYAG43a1kzkDXOPNpmyHpN6SdXfz58
vgtoGj18rtenNchVDJdaxCXf3/gSwGwomSFHhzLqVD8tr+ukriuqsemBtSkhUwVuyctx9xfhaANt
pWBVQKBITzZOWrheXtRBayOiwU0sqsonY+EmJslh/ZOsvi4QNQd+blNW5LyyHeKtPjYrEOdImntZ
mOX76Pv2UyazDIRBJkVu2NovHOEOIP8gjIEHHCBEsTkK1dFr8/KGHrl9eTgf8yWc6j2OCUfxeiYm
flCmwPvbhzAv26/9L3r/1QNDjNE44jtx+3XhD+C23O8rtSfe+y+q9Y/HP7/a/1Zi4hGHkC/FsMJK
ZP0lrg65tFArn9nFtwOceL6qbSPJ5THATAM/u/Fq8Oowdl9VLnnSE5R5tht1tfqW9UVpjnET3d6l
t5Ynx1Wu6VYq0qhFYFmCeorGi1RTXC1WQjUCkYtUrpTI9JhDITxFiRVni93GSx8wuVmHSqaHNsTc
cuQ13L+jGONpz9xqvSa8Zuq0sck2Z3jEpShzJja7Gfg0BpS8oQuZ0a7VIDQDz1dkPP+cggsI8Teq
p6+opxWaZR/vo5nk/q3RyVMppqQgZlMYbVWhJiCee999Nufn8PicbtZrU9AvEZLXCaGNNwSHpGbG
EnxLFvnhZi6l2w+ZPJh6oU1S/8+35Pp4nFv9/b16VkgzJmh2ovocaCczsUi83b6lgr6HDyfnse0G
pL8Lt/7S6f6LR64uJlap8zRNsPmp1csr+C5yxFaiaqzB4wwq/dOPpG91CV3+LGHszVHRjgune/ED
xuN/9QF11/Rx7GFVRjJAMJEhusP9gUnwCYgdzWz1REnqRdc3mIFod/TMhRf0/c18uxgT99b3shA3
FOx7aC90WkvObAbUJk6iBvnCO/Kec+7Wlf71jl+NNZCVulNGV5rrMUp6O14/rKHi8qQzm73K4iLR
ljb94vROnBtXZlldZzAJVIJgMNraO7ukGeMCvCtPgDttt7EGx71BR//l+8h9i6elvv6ZNPLtFE/c
nBQ6FCR3x9MOUgNrBCoArUBvii0WeiS37qxQldSnywXSFKCQ0Lme6NAJTIhzyAgg6lj61Wph2acE
34gMbz9q4vrCJM7dohk/CkpFB+Qacbcj/Xkyvwgcn/8Enw9u729u/dgL/T0bHvj8vz1ytQcGxaPi
cLQbEn4XE63a7gwJvbaOdjp1py2hjtgKQNnhXbpw1BZ2+p9TvrLsgFnHCWlY5vJ8jXyV0Wep5Veu
GoSDkTas/nikM7CJmxmewt2Koky9OIO9QnvNP3bcFvEgMVsDJbonDPHsGtrCos682W5NTqM2xWOp
MILJTHN2jikY/sZZ8QfH6pf85kJ8+Le9riYziv/PDTb2au12zXZIyeGQgPDXJc7WfELKLREJ+JTP
2EaLChZLSzlxWpXSlakynigxNqvSdNBxH0OKcVhT4WIeZTydjzbsJP4KZSfLCgW2elMLfPKKKyon
BspPGOj69CSpX/L5LYUf0+zfI+gNrIVty81+gARCIgjZjOqek0WV+6gMggRREg9C/BqpzVw1TuHu
JD/7rQoBqnV4XHtGZXEnVC1SHB3fUJPjeFmt5GHE7C0COWcgI9hnV580ubRy15eLKsAn9Uc+BBHK
Dq6crKUB+FHH+CJ7pOjOKt4CC1Mxu+xXZifLjtbAOI85LAXoqTRRzeS32M9UJzdjRn18eP9QVHer
fmVqsuqpJChRo+DeAN/xsfkaH8c0gn9W/UzQBYqlx7+M9VxgF6xxqvd7VkPxN0UFEF26RvGyvXCA
8dIgC2rIT1GRE7u+1MZbsBc2OkiCtCPaBMDYvRX7pUka5/7Rl09uPDby2I7n49auHXZfh7RNMdxS
fX6mJj5uAKB5AWGixxrpbdSSO0nuK/IYNiEjJY0RC7JRDk6/pA97INLQ1aGjh2WVoHhmuZ+rfLF9
7H4vyDRLK6LEIYc6NqzefsGQs2UjVShY1nSkBVW1rh2qUGkn3rOyRBJairTHW4IZx3Q7sTcWp4Wm
PGmYNvCS3tYoloQ/QQA1bN46Uho244Kpe+96a2oyvT14qsLBw+BalTaFg2XJqrUDFxZiFk/LF07V
/fsaxlAkhYcZ819ThB3TpFXRdBiX46l+TtDvqi2cphn05GhCRB0IqwUaw0nO2y/R7dcPKMSCXmNs
un9/d1egJRjIpT/INdmrxyExHs/hjI8Cch4kYmDGR38h2i1vN4iCml0XVO6AOYSyKABjn4fTsBK1
0gDON10T1Q70lvwGi+rIM7cw0PQ8GiNAE4S2hWkfsxPiRUHVQm8H9aZv9UwSQU20LytAusD7KlVf
IGwgSbaUVLy/J27Njj+/upIblvVYP4dZZE51/O0Ugsxt4KrUQgh3z6Ug3BqaHL0gL6TGQ7e6/YIk
W6IdkA8JrWfw5KHnT7FK9bM0Dz7EABlkG0dt5sN6q7MW5Adt0A2bdmqIq8bcbBoTokbnSsWvTWqc
aUKTHr23S0CWue0NiiOky8YuY5CP3E6LWAVDlAneYDP9ObHy3FZ8I2y9hS0+89DApFyZGd3y1ewz
fJkrRYvtxm7qY86ji+MrIqau78dC1e850tVVZazOq49Qi8zHW33OFSIfCFfMyyj3yJOdzuZZnMVc
Mtiu46qVcnA44NECi+JitEPKC8ZmHg6jQLDCgqMZJXFJmLzeFSdAFTJFXSDZUlYGkjxsAQqPh5Ok
fqJGd5GxihCl3CF7UphLWKhxa0198LXxyWKyTlkUdYQErxutxJdMRLAjIcvL/pZwW0WOAKRaJJ6Y
8/vXNicr2yie0rgxBsxsO7TwZitJUn0K/McFR3pUQy+5dHy8oHMeBA1IIuT8gNLAU2QS6DBtEjVc
xDS2dIHLB6VxauS8xiu7xnbiNe70x/ZmZvXG3CTYqQuoc7kd3dj8JtDQEwfOTSZWqfLJ9UynWmDV
mNmtN8bGn18dFD4ahCoqMTZelSijT7S8eM0PlbtQp5udQ0QGI5IXJVs0Jt/aUZpKhEpA1dodHUVP
ohDu5DbNief0gl7nBbVug5ghPBis49pTTIHvl6TImHFnTHYrDgp4/MGvNiJqJ9c4EKqQmeaUxvY7
jQ5MIRuZLKlNfGFP6Wf+ybUk/ny8kuJM5HBjcjLq2BeZrHFgkqfNrHirPynmk/fVzLfohDC55ofE
Z9Ze90ZjmTtNyHZ5cszAY5uYnbKLnJe4P1SAUwrgvP0JFWidJhsZsqD9LnVOPP60EukiohIsnnDs
30FdIHaGN2hxqpYQsZDNKDFrKMWfhw2HqmT1HYA1d5PQal5dvOhLFL6S9iTWKteuhbJUY2crZnon
rf1NHjTgOKlUELuK/ZI+zcwlgGmBs0JTE3r7hInfaLoaNZICJRM+s4ZzyaiUUfOHsB9bqlJvU3cg
ctY5GdzsTwlasC/dEhZt5nK++YCJE0HioY+4xEfao9X4nsS/vfeLEnXcmLW4sPNn+gvAqwAx0LE5
BEHX3x65OmEcnVVshcvIZnNDIBlkmjOItxnBoTEKIzGjtSV7qmcMVmw7xhAhrcipjhHjCXuW3v+U
scGDQS3cG3Mx4M1XTZxMlHUUFGTwVaC3fBUcsgNsdoTPUvorBaK+0rdqz1Qze8GXzrgbcOrQsgi6
cgF6F5NgJRYzEXTCUWcng4gtSqsJBM4TpJRztO0Fr4+P38yB5xgJ3bAoyo1kAZMQDAVYOUrbvLOl
ivJfGrxOCS92zsJunikfyBwjg6MPhJdgEZn2qghK6rGODJi+BMEa6BgYkaMpnaeBqilrSCHZA8qr
qNI7iHBjzecAimjVqJVUvj+LxaYswV1XUKvM0xnOeDwD9/yf4HaToIML1B8uMIBcbt1uILtMHw5S
ZwfoguqMIt7yQkaOuffDggsDxUowCuMtXWoOpea56dLk8QfMPE1vP2B61OPAh0MGdDx+AcOX8d7q
r5r7GZLj7wqVlRV4XXNXZd8amsS9hf+zlIObOelgARgB06MUL3q+byeAzRs8tgo8pwpg15EtcloN
8prGYSD0QTy0W/+pXAeb1cKoZ67wG6uTnVe1A/icWACXrMqIgJgg4T4nHJSMnk+x+VORbWtsvyQV
sNZ2vel2trrwAXOv45sPmJwzzAXCU358HeMeYAxQ+jRa98G6gGidtceDnZthFL55kAagnR6kmLcz
3Kc0Jbo9jQgU/WcCChXdSzI8D/GqV9aSvHTYZm5UDr12ABJDCQN7euK5RYQKSdkxg+3FKvdaf4SA
USD59kRE7ety2Tc62mNBnfhzLkKMdGlal6yPP7/y5ZJH5XIrwXqV78DBCb/JofGHKM5Aek7NEcqA
2CVcSZ7KPnv5fknYegaPA2YmYKghWSOBInYKcYjCUAyzqge0SjLynccQ2f0FEMDy8JKNnK0rHIZm
5UKWkNb/40W+MTwdeNFK4Gvq8J4KViyzcUXCyluJb0jKql668HqbCQ/QSQOtEYBS0ZmuTO4mJc9q
Si7wrKi4bfPJK79F96xICyMSZq4inh3TArIkgDJk+k7L8UJkKgW3A0deesg6Cq/Bt/jbbRkDbPeq
YOTkfTAajVaHrWy2HwyUukxAGwY1+8AtnW8bffuGNoeNbm63+ke/ZnQesk3ry6Bu3zab3yUd1plj
xvMSyPhZkDvAlU0cqZQ0dBukbG9H2RF0lUquKSE6bSoIziBofrzaM2UhSIlcGZucsgJNrbTkw5i1
O4gfkQa6dZtIp2r1ZZo6uqJBIEmBc529tIsOe8Z13pie7LRG4WpAMJneZs0cYZFPPg3r+2VXooss
elHMzQe1FhY82Jy3vLE52XBtmSVOJcBmTPIXibwG6x2zz16CBfcx91jngcCWRFCPIEUw3dgRX5XU
0GBaUyTAEi1VRbw5QClNr/GALRF/OUaly6+xlh+otfT0LTyD9uJ5Sc5nphSG1b36jMmd2DiB03st
PgOE8Qx4fPcVJpfdDK86f6Ds5hO9lh2a98D5uj4z6CcUFrbXuHsmDzFA0PGPiBYL0A1Mlph3yhSz
gJPXpz9lsC/l0+Pt+wemvTeAxwWL7ux7BOoQDCimdmVnA87xDgVKbdjyL/IG2H0RcIIIqvWuWejh
Oi80ybTPKI0o2u8oEgByNeqpQQNjBfUgaFWSpVM8P/R/Xza5l/EEzum4qzrbl+jSCl1B3gtydH48
/nH+Hgz/D9t9dUtVrVJxTFbAiMO+saxbv+QJokt0LSW7x5Zmh4N2N0DdQcN+l1t1ezQu1Dkm2gu8
cy6j155buvCXTIx+8WownFAKTeDUnf1S92oMAQgs6SEz/jBB23iN9kORU982Z9SoH49t9rQKV4Ob
rhXbUQPzZ/mV3eyMUVA0NU++icBdyzX9jcX+WP0q6whVlaXM2uwS/rM9TZeLCSc3ed10diMKq5Z+
oZVPWhz0xyOcu2evBihNIje6ojrwE2EzuulP5WhSd2F8I/Bi7b8wg5aTkVoEHYRT+uOuBIFPw3Wd
nWWuKlefLmc02bnE0/uxnbnHDuKFf4YmWyUeQvCosH1ny0ypxwm6tQWnINhBKUnQuO0BOBz6SKYF
7C8XSGoG5r2mQXnKEXgjl7q1y/IvShcv7ODR6t1pvPqqyTbiBIDhFRpLOaCI+cyWcmh4UQGgZAX8
iefl4bFv+M+CkrkFKOFcgCMIqHqghxB9m8J4sq5OTgxpEEeg0BVdZtWxZX09z4/98CIkrEUrSxn3
GVg8qjtoNWDxAkZ76DQR3SUUXv058rJOCbCMr4kFSRQgxkkJEb3hm6/Q2reJLhWYXEDX0f2KsTpw
YD5cyGfO3uVIt6AX4E9RcXpyBKFRIFwDFHD+G7uvDsNrEaenzS7gPiTeCDqI6EBVZ1BeFzbfmNaf
LvNIYjYW1WQe9bvb2fY8toHIs0sD7EGrKdLEO2qfkfjJuXgLOZS5XCpoLJE3EyFxAAzCJFxJ+q5x
EzYebI25MCA1+TRrFLsTUl7qBR84E4zhBoUQD4qEAuLkiSUuFIfCSVDLCNZVrXZaCQQcNJyj09LL
BsTR9/MH9DQ6XgWwMPBItN/OXx2WfBVmCPoVKJbslG5wRL2skAw2QG/MyCTKK9ZT88HhOyNiJeoz
73jntU+7hjJpOelE4o4PQxJ6OBJqynkCaGQbkUp/Os6rwuc6gbAheiRk3iW0C/C7ChnwMDlJolsC
dFTkyEP4UZpFW7mSfFEXM15J9TRG9vYb6vUObUBNjpKRYJVTX5V5ge61gm/o5NB5sTBKjqFjWR9b
ShMjqYFkJSyEhSldgSgER9yw732ta91AXLdDqxy5uIm4QyqlXWTxfcq6u8LzC0oTPcrhCLS7M9oc
UtRRLBArsMEhTiqheJVSqUmfmsAvlHVXAS1pFmXEZbjaRR8Y0aGNeEPpIo6x0qzviw0bi85YQ2Ad
cccydI7mlNbhGCOJSvcZPtDrznHvR+XOEwRPUgtwfkPNTshBOJsWfoBXnsKD9FwReb96CuM2C4wB
iLHajFNFLjR+yHq0ZvQx1O98hwrBxMNGdK0LDst5K6aQOx+0Tjkd2ikfNcmXIMRAshNvQJbsM2Yz
FlpmoZNS3h71AT47/g9pX7YcN65t+UWM4AiCr+CQk5JKzZJfGJYsc55nfn0vqrrPyUSyk3HrlqNc
jnKENgFsbOxxLZL2hrrVBwDzP+hlG2CmbKwUgcmNXOZ2UuvJiK2vhnAyaZ/m6a8MiFXEDpEwqL8a
KvvVl1q3qQ/0qqkWsm2bq0a/9wVBi16BaBNEdoAp2OQ5jyM5LllVY5IOjAZpRNyu07XwBfQLPsbY
UAPCEL0RDwXqPVVnICnv+60OXu+aZNKjn/ftZCX4c9mwUmvxe2Fk2UtsgMPX7gu/8w91hcTI38SX
wqTf112iBa7QtkT7wI8p0B6R6n33q1GapgF9XWY8J1MyjmwAmaFsl22a5JZXApDZlrHT+CIj0ge3
qQRwRrdjJJONnydhdNfKRgCeMFn1Yu0OCRohPHiVJ2ZHIUFCbAMDQvFDMWF+UCa1FVjadflgj2Ge
gRA+9+oyNesq12KTlpgHBvxVnY3Vsw92QyUCc4rRZ09FUejTXaaXIBxJ5CERTFXAeNRWyWIZdMs6
NkliBZIVvYVvafxdA37VDGjdWSbZrVAp6aHMxQybF/SNBrZUeDUSRt+amA4Mw5KGwLq6T8tdmvZS
eQICQaKjvXcsx3HrhUItPml0QMvMZJCK/vJ7XY8+p7wqtI0/CqRG4YOEnd15iTGashx2gSMRP1Zw
VMqguhMBShLuRlvupWAkAK0oQFC/SeoqyYDYUkrGl5ClIEQQ/dbXrAl8b98GUjyBAxZLP7gPqiIQ
XKnKpNhOUr9sbIGGQ+5IoSwWFetEIZksH8Mo9G+fZYINuJbpbQC0jw/Wo374XnlkFp50wCWj4gus
NMyC8NhP6tTFeIXz6SVswLEdGYcuehHFnR6+oEbJDO04ZL86+lzGn+jHYWUQ/h2GwjK87zAFzqvx
d+VzFt68f5CvFCC4oeDNPQ9VOmVoNJlL3b4jNAykddIG6WTKJM2i5ea2tPmHcQ8squpI/qFmhNXz
Q9KZIXkCcFfFl4zQ1FEE+qrR0MnENrIicUyd29IWwg48eaCxgtcCRA+N842VanbAOwwxjpFWWlkT
+jb6Zj5uC1kqSQJOC+UDNMQAquWn2fDMRVOalkZigPHFRMCAOcLxtnClFtvXIDmvPWsTBjEahsCr
sRMfkBpGZeWUWmR1PpV76JFOAgLfGZ865zrHbd4bSgk+dUVi6WQSDTFyKFviV/snXOuM4Q7yShbn
EIukqio5o/IRvnh099gX6Ky+va+cy81L4H3AuvYnlYRYTQGnBWEampv/UANojaxY671b2Tg+htJC
P9H0QJeP5BimcPomkKeMTPHNcYts++1l8Y7fP+uai6bIACJjySOgKGCKrHMtUo5p5DldcKdUFqBz
HW/KYXv/GKFLxcZSgIK3InfOLZ5dvSu5s+92pqak7jMjpZCLYsJ0R1CjBwlFiNEUil/Ssb7v39Ya
ffm55X9koj0NRTWAoF3ViDWxTwopDpRjP9rpticM7LaGWX/hyQJ2gHQ0PtZELh6lCvIJhErAg+Oh
/Gp0UqltFCtH5FZpwkTVyjQW/hmfo5chWjvK2X5cbSmiQqC9wumVr7B6w5omLUhIj+1fAAduu63g
Ku7wGj/HDtrRbp/f4sL+Iws4apfH13ftpPVGhq3UGFoEpGcCh/TZ/5Nb9PO2JO59+ufQziRxVlPw
wRSj95BEqal1DsAf/xYl3IY1heSChSs58uWKYrUicjzLEZh4DH/RaCYnAWpnZ8ancVu91J/6rtcZ
ebm9vLWN5HLwdSV6dFJS5dilZhRmdql8p6AmBWBAcCdE8HPe/nfyuAg+QDNL4SVYJhDbkckQC0ev
WHyKHqu9cPrfieKuuBgaSTlE0EfhKX4ErpPtAQn+eRTZGs7x2h7Or8OZLfGETpT8Jv9ZE32V3gBz
HIaYM5F8U1JWFP/6HQA3AaCwf1gf4C1xih/0U5wAbNk4Dg3FXInIkqSw5eI+QWOtALZ6v1xTzGtL
CZheJAGARjBH5j/ZibPVxWVUULTwekctAPVw1dilR3eZBHzEsbUy3Ds08MRVx4QoBoXxqQWXzSio
a/BR19fj8iu461EIUevnU+oddfl7jDd5hjnVFW9sTQR3FQQZ4DvCmHjHVpWdKNkhzurVtVmtRSHI
XwH4G74YkAgudUUyjBH+Zecda79mXXFqyrvWWOkQuNZHNKPhHyBdqkhA8MZR1UYBlDtT4NJ4r71L
94Vii9Gf2rhPMDFTVyvJQM6thOG6lMYZyDEHyR3ahALXV3zDbNNMYkKtVubty8x390AMRX2cgKAA
gPpIhV0pfpBGhR5GbjNluzR/ClWUh808YQirrKh4RRjOwKNhGxOrpl2voBFPLxiQ1u+jrrAj0tne
uIYgNx/W5Yt3+U3c0ku5EJoYCRA3Uo19mT0pvbHzk4cuW9N+vkr+s3owjgLcAKjZ6Pzh1CZpZ/A4
DBK7NGysUn8rMlBFw8n0A8t4EFngyiEbvg1txYTymDmzXBDRojUBEH3orL+KGaYQ9C55m7gtkDpR
rLBRMs2syPE3vi1Zgl1b1EJDF6s2KSq3aJbdEDA6Nc6L9IeupEH5rrOrb+FMwGREDfBCusRNZNYF
J8yDhQ0GipWOZe2hkz6lODOzP4q2iahuUjASjA0Tki2aAGXhvQHT/K8wtWh7EAS7L5kWvSXZUxpY
UhQx/74qrai8HzWW/FKqXYz0gfhmrDLHXt8VcAzAAwQdJojRr8YUoike5bIiiVsm+R+gAcMxGp5u
X5RrA3MpgtPJoADYSpPoieujHzPvdgOxkDW7LWNJHS/WwR2Fqnc+oDkhBMMjYHqaGiZG9pBtleNk
G5rZNkwu7HHN6VtbGmeglS7URnmEVJA4xuKhDm1ZXgmz+Fz7rGSgcZpxitEsgKQtZ2bE3vc1r65z
V6hKp9ZPUvWkxq3ZozE1G61E2xlAUO7reBO0K6KvHc1LydzBef3QKlPe5G5Kn34peWXTxJzVt19j
ZFuIuS4lcadXGzLJCr/N3SJ2dMnyqV1G6H5gPd00x5H1wYoLsbgycL9SihGd2ZRcvnmFkqaR0eRY
mfohNEgx6ch/Fh/IEbJQXnOQFmwywDT+K4yzlOKgpqGUFlhc25lRdK+0v/V8UwG3beUOzLvEGX8I
QscviJtQuuBNsh6VUxW3OK+gL81a2pFgD6ddx3iAEB0l72kgJzRsBfMlXLGEywdIkWSRwS6L7hku
tWFMWSvlQpm73rSrAsECnY7IqhyTqi+6eKq8uyFaeQj4Wth8L9DZAExpVFdBNMPnxYAJWvQ0IIUb
/p6c7PQpmP1JBX2hTWH35YPZbpMXfZ1B5NrdvRQ7q9aZ8ynWIUVyWC/csf2tfqcdWrO8BP6FXQsY
CN6S3va+5Gij0mN/P8bGS0fNYfjQwZFNfPv2gfPF86st4Ha9GXwk9IlSuMJWNBUncuIXGZjawwFs
GYnZROBUmUwA1dgV4CR6NqIoAyZRO39TV3mFrz28y22Z//5sW6axQHtigdOIdhMQY9EFghyXmW0x
EPpuHMu7aPsXk5HCidrS7vYuLB4Iiq8zgjfm2UVuEyK5pKKeZYWbF7k5aohOR9+MByeSkRwCkSWg
Bf6FQDKz6gFQANNAnMB+bPwAaePCrbV3AOubYn+MPN9CfaPO0Wq01t27YD6AeY1YByzoSEvzM/yl
Pgne2MqFm46BG3vZRvBKliM2bo01j3Z+SjgDoqkwiDPNAnI0VwOmiphKYRWWMyyMZ8UbJGfYi38v
rzS0LPlw53J4z9knSiBNEeR0TvLcPE9A+ZdYdC/YpdWBblyw4cwdUR2wPGcwf4/Mfwpsuk3RyA+G
yidjt8auseAE4XsMMKNqCtXRv3CpvCLJIhivtHSrIjLzPDL7emVrlyQg8AHxEEykcsUMJxdtNGhK
Vrp1mEqHQaeBHekou97WTH4A9McgoJdz5mSbmZx4bhkjLzqpKpvSLXayOTdDx1vRVm3tMLA73yTb
yU4eC/OlnzuyEnMtt7e8yP9K5x663BBQ9ZdbSKd1hd6QQjrJQTiuWL2f+guvpeeL5E5L1fq0aiss
Ut5nz8J7uEV4J7LIAvC8ekedEAy6Hyvx6+LKZBn7q0ND0Ol/qSBV1oHAFEVWN56AGJUeULVcMSp8
leKfozsTwbkkmq+VtImH0jW28j76ApCb90Gsyq7vJNs7EDCzrg1OLb6gwHT8z6q485pqSQ3zGqsK
dtqX8o4NfY2s6jM7hDvUpo199EidwJ4ZGW+r6ZK3gPQvWjiQ/yVz9vlyO0M/CuvAwP3XspwptYlk
kWeJYODaZP5RQpRAo3LlAv5/ZAJnWsPEKpV4l0/LwNkTI/3sNqBDl23nlABSdb8Gc7W8pwReOtZn
GKigXS4tGTCTr4x9CZB4som3iSPY8IQCz6zvFNCbtAflz4zY/zdaI6RfioA0mO3/J/lnA85e4AqQ
bak0QbJ2P1gVgJS0R3Q93E/mb8NqD/rKGc7qeHEJVaAagsUYvDzwwJD/u1ynVuRtUQNQx8VsUG5W
etBuCci87QqRmHVbXXi0NjDYXsriHtzAk4wo8+PSTYfnNPrzPf4KwM1tCc1hNHxG1fsapZLiwQMU
S8O05j76hf+On9Ww7178XT06iS+vqdPa+rlz7qvWl0qKbyLKO0CIJX0XSE9C8FFOgSkGLN518SYC
MiBmSsfN1Ju6tGLrr+PCi11B8u7yBBRDGXRZwRc0/V9v63l/UzCylfeT0lv15IC5O59epXIN0n4+
14tzn7MuKItiwhSuCLrkOamF2IQdaVsXvSF2QR46aS/rmZmAwbjx/9w++Ks9BjuajmdZhpEAHwMP
+hjqSluWhFRumSbvRew7WQH+i7Z9vS1mNnPcklBWB7gHuHwRDPL1/mzQei0B+btbj76dK08hhlb7
HCWxtZGLpfWcC+LsbVxja9MWgtAr9BzlhUlT4zip+cq2LawHAx1zcmzGtgAl8+UR6WpdoAUoxHoK
twB5KQ1e9MLJjbUS84IqQBHgZ8DJRfqYt+JSqAJvuR8rd3xVE6aa1alU7dZwbp/OwqZdSOEuf0H6
jubqVLm6mJl1dArtCTnj2zKu75IGnQacKdKJIgjheQ4k4PoU6E6IalciAsZ+u1IB1qdUdRbiGiuP
NGLGtRebRReXpiH7JRtqIba7Jl6rAi/tKcEFw7zM/BvhzIqYdlVfaErpinrHEk3diOFXrGamp4eY
hV9L4l5bVqwbTwZwjTDshAZETlWiLOrlhPqVOxUfk/+VlzJq3JYio9CGGrTS51uhOCV58DIUjvGr
b/xNA+g4yQ3ErSZ3JmoRRG/R6wnIpXtjACzB7XPh0fOQy5i/D+lJIAejyMSrclzFXSb2tHTbytg2
WWaSr0CZaTR+SfuoNuPnQmeBshXEfRKHDlV2xXCsA31DPXtUjxWYYJPX25+kXhsLTFQgVQrgC4BT
UfnycrXtFDcD1eHjjuVbaYRmE6srzuaCxusymrJQK1EMMKNxOoBpqmDI+rJxC2my5HA/YBAsJitG
YkHRMCtNAZ4BMqX5Dl+uI2xrvZziunHzeC9Nf0vDsKLIMOVgYrqSrGRnFyzShTDuDie5L5GMVI2r
VdSU2/ug+OqK75D8un0284/hDDnOBM+SoqK+gxfqck2osAxdFeStS5pPAd1s1MDojQ9iOfkoiy8a
SjG35V2HWwgGgEGCNKKCigQU4lKg0vuFopK+dQO6UZoI9Qc/tbT6vWlkphhuvUO/WKjb41f+LB7i
Xf4MkAIj3kNTXXKo1e3tz7nWGxXJNzieYDmR0Bs7q+6ZA5ikySgkati6aXZqyDdN7yI9X7mRSzKQ
XgQPF2YHUcvj1D9Q80QA7krrVujpDEHUlyPP1P1P885YwpzvwCHO0/z8AGaRiaSO2qJ1J6dBfADw
QGA1Ao90LVy+1pdLOfNizzYM4+Ya+qEhh47Inok2jTZRuukmMMSsXOlrqzFLwp1GbI42lB9FOpMU
KL1aoFjUuq1CArORhnsZeLArZ7OwHKSyJRHuMhDKgNB9uZy69P0JgwOdm1lObCLVzNSVNO+sz5cX
DGQbZxK4029JaURoYu5ctLgAkg+UczvqPKzly/lxdlh9cDTPaAKiPBMF8gYw1I28apWocxM1PfbP
pIcH3+yMCqOK4UsaPExt8S4O6W6svX0C8k/gPg6qUxPVBOO9/xygPRjz/8kxz0ylfMrD/I5MiYOZ
JsF7vH3lFs4VX6rDQZXB+XM13krHVkJwUnauR2th1yRdaHf1+H1bCD9y83/3479SuIMtqmqoirHu
3HQ6tj5ol80kwPus/g5OajqY2r3fYzrVyE+DmL0Wf0ngRJPty8mKfVlY7A+DEig80CUg/YAtnylx
lxOvoFk9umiNZkbXAsL/9kJ5kId5oZAAmwqPEnBifL9Wlym9WKTdiIQE5tyV9/gxem5fh7vmBNiU
DbESwIiGJxpYwWTXO5n9IfbtL5hvPKfgmginGW2/cAMx5nR5hYQg7mOhlke3Br8ESQNTyg9J3Vi3
pVw/h1gmxjJVTAzh6f3xys42kiR5mk+DN7pSNmwJQCM04FRk2Zu8lpC7blHAhspYy9zWAfJndT7S
M0l9kxGxqavJHc3JGnbKoXjygT48mL2V2eMBE8Yn3/wbbaan2ytc2sdzufPfn8kN07DNRKGc3Hfr
tBZ5z9rOn9H5z5539+xnq3LUyJgkmVyDqZvP7tAA204zH2Jnret0wTu+3D3ORxorXQAcAySN5me6
iaz8SHfqLttOm/q9tn7X23EjOMRFVhrck5Xl2fnKjVu4EHDLMWCLagPGvmBgLtc60UnPyj6X3WHs
YxP9/cwT3iIxZOq3JtqgQUHx0tQ9wGQ/5vJrVTt5FThx1t+HHrDkkaQsyLTt8rtptOU1XrXr5wY9
WDNPIKoTCDN/Yqqzc6gCAC/JvoT2f7Tnm/mEIbBJJsE2GQoAsqgpcQQitijDK2RzW7uWJcNHBnoB
4Nj4HIROc2Rokbx0K/SY9Oi9yGjKxGHj7/L6PQQD9W1x13YPDS4KCOrQ6wPfn7dKVBcjYYoi1Q0r
ctSEwgHQzYrHs+BJAmVDRDoNDjnVNIVTNWnUU9QUDdVtArs4RR6qtruJMrpJvxM3vStcWWCxzPq7
KrUU1WlAHiidJCe0JLNbzSRe26fLj+G0LvLA/xl7VHXHBxGgBOQgAfoKXlhohsOubrcUdMnP0yvo
2sZmKztGu7u94ddJVJA4oa0KVShxng3g0+05LfsRmBKqW6oCGj5NRXrAzI2evRSRzEi7T4Kj3O5j
utckpk/UpIkTaZ/Aluo/b3/JdaXq50vw9ILHBelqPmssaKVekgkDlPoXTdD1zdTmMfbvBTM8aeF9
CiwSYZOWx/Ig74O96kYP5L7aJ4/Tt+TZMpPfJH2L1itjq1ATMEDTykNy7Y8BcUmjKIIbeJQB/Xlp
HuKqlvMiwteNzVcL+MvGeEiVv39V8EeXAsLyt9u7cV2jwG6cy+PiHQHIcT1JIW/oNvq+v3MN0AS8
/Haf/qwsTJkf2ksjD0nAE8KeowX/qsvLT5OZjCnWXOUeZL8UExqnYXL8R4y6aQ6mXpNNT1k/PKK/
r8qZfyhfDcmRj93H9EvvjoIzqbbcOJP+oJFtJgxmAVrp0hE2obpGqHH91F1+KecyNHHVdDpJNTTJ
dIyU4ISf9pq61uxw/ehBCrIhaO2GmcDo6+VJy4E0+Hrda643mnE1MUNFFPEYYppsCCqmBkxVMcIS
x86aR3Q9IjCfOXxc4HtJ88gxJ9nAYPeYCp3mhuWXdhBm8lArq60OQJvjtgnvRzSFt+LjFK4seXFf
z+Ryros2elKr1Y0Gy/dahc8ZTrz4V2dH55kcnc5OJ5cwqJpeGON80tw2bNxJj7cdbTaKNqxEf7Px
vlLmMzGc/45iYUCMYdBcLdE2Wp8QUx+LrwpJ2cToUjtM2mLlyVp4IeeHCjlznJ2MxPalukhp6YHN
VtTcpPiIKyD+O3WsPWJUnfVCuA0Gwb5tGZZWCHYmjGzOmKygL76Ul5NYVyafaG4/ZEz13zS530Te
U4axyaFKVxa39B7PDbdIwcF5BknspbA0xGwq4Fo1FziThAkTUIvyLNNXTNCC94em1h+wb5QLEd1x
T3LQChrGmWXVJQAXyyhQnOPHNHlVNczkqDaBogy2AYI4uwfuvw5sqs84c0pjnuHGyJyhfERotmqA
Odmm9mpCYdFhIFQC3hyCZEzTcJugteHUyjFR3SxK9k1JGUibLQHniwGNgMgMU8emBrw5z/Nyc/oN
8gLMnc6g8Yry7BvbQnszwOr9BArvrr1LwrXU2HWRHmYDg68zVPk838d3IlTj1Cg9xRMO/EOmKaYM
jt+q3noWkDJ/exZao1vtMTyBydYaxZd6bYprUSHPxHPbM6hI2EHd4ZwOGMpsAmBSh1FZWrWPATLs
JnojjFFZuQVLionOc5DO6WieQV/0pWICg1Lv9RGPlifX9QYJrgi4l+ARXLlr87fz5gTcWHj3EUWi
rZ4zJ3qhYCC4V+ArPsPDt22VPRrm3aPPnF8Gc742ITuKJnidHd0VLNO27/Zv9jf7fff75ak9AGv6
TwCU+icgan1stw/b7fvz34cn4AZaB8t33w97zzw8rLVMLR3H+Sdzj2RB+66pR2hrMzXmEL3o46HX
S6eT7iW0a9zen0Uv5VwY92J5qT/VdFRVV0GLfVHt0fAo6y9q5kifQumoqp2+KHt6FxUHD0Dst4Uv
vVrnsrlXa+a7rqMMZ6MkHyqSl31lYYr9towfbs9bCsBZd98Ti6IZdNU9AGtxcGbEHgCoAYZJBtCp
PvM52bE9MGqBYcfHXP++vkN4DMpxay1EXnJAqQ4MMzTjIyPM3/JYbRUlifHO+OOvfNh28zvts2a6
D+uDqDlVlq7s79IVQ00EuFaw/nCION0vG1oKM2aCW3oi0zBCFazUEH5iC35zkaSF7ZIQYSAGubzE
6CjI0MaVENcBv6G5e57YN7FU9qXbuvntWd+n0CwtwuwIXRxPW32XvL+mDIwZj3/WBuGW7vn5l3A2
jI6DKk/dvFbtMLqe0iMC+4VGiBV1+jmkWyvmHjrgMwRjpmPFKRv3wO98N8Ab8Fkzg1V375/O845a
3z8cN5Zhnr76d5A0sYIhwQxUPOf3DOMVOw+HHBSar625Bhu3dKEAeCmBfARg0ki0Xh7HVAY0C4sW
2BFA7GjHfads87Rb0arFnT4Twu2AoDUVaIRq4g6wFRQdloBCaYEomv++fXMXtfdMDvdA1DqyxU2D
xbT+APItvcagSBmPK/7R8pZh1n1+iDAxMH/FWWJGrGhmTN1AXOAIIVC468atBHyP20tZ8jANHAn6
rnXkRVT5UgiAQTo/yDLijhQtk6+YSShe9AGTokhO5J+3ZS0ez5kszqDLIrCjqiglrm8cpi8xsoqy
MqV6zWleMmYAbP0pOeP1/uGAONs3qWv7igQlcQuAeUfKrq5FcwxKaxge4EwNKCYaxuPtlS28izgn
hLd4xg30H3DaTYHK7BeJQlxDG8cDlYLSbkJpMxXkWCNLBCSecEXiggqCLBb82CogEeZ+4stzM0YV
hBwCjIpSAdcoQoanq59vL2rhuC5EcFkCPcxlAEbAnkixyhS09apIm0xOmq5xxiwouo55AwQB4vyv
wSl6MoV+E0sQVJZ/0BkSYFp+HFZmCddkzH9/phRTI+q+XkFGE//CWlp9Kw0r7dCL+4Vkpqoh0aHB
ebsUYZCxS5oR6j0kJAO+x/hMCEJ8VQDGV4wxjtuns6RyGPZC454GPAyEDpfSZD9LQRveE1eQ88Du
ghyY1RONmVcHGJ1Kw2DT5sHKBf7hP+eeGKSJdR2wcZiVxHFdCm0LL2ilVMQSARB91IHV/BptXiur
B/VjCSKN0rz3GYgnN4+n08eJWo9sBGfcnQTOOLNnMhAAe7bmuyxuxNk3cRuRCmgqBNYDtMdonptw
oGZMW1AzoBADQmXWaYXKbm/9ki6d74J8uQtRBRQUTMMRsEU9KdVjJO+ScKVCuygC5gRQQLgXOONL
EX02pEAUkoirTve9/zRhjKqnK/d7yYSgwew/MjijZfgAUg8bFXZy6r8GqfkS8tq+vVNk3oorhTmT
wd2JRhGrFpl8jFTsx/1rbSOmNhvoDqJp/IpZ9Q5+qHb/rrDKgRP8/J2bwqxYgHJlGF7Izcfv3SOu
z45gICg0wU0DukkvYAP+OIOSAqoKPsxbZ4IaSWRbzXr4N+pFFCREAD+BZhT+Vne1Og5jruOwNV91
ZD8BnFSavxcj2cmtnN4TzExZK7u2sGnImYL8CY1/AEHjNg1+eiz1eqK7mv4yJjtEQDkYu+Q8/p87
GBj312d2dcz1A+T8UsnSsR37Sgp1uDEYYRAzJbeSDtX3vqb9ypVZuqT/FYVi6aWoJNOqUtME6HNd
PUVq96oO8pseSg0DHLpmBuCSdW5vIs9qhCL0PAKCThp0eP3kPC9F+gmFzDDV3fcGhMEVAqpXpHOs
xIwQZ2Hay0zuawY8LaexqN2b77INbmxSbVEMuP0lS3cZzhV41pH1vR5syjStHBK10l1D2AvkQRS/
Dfg+t2Us7i/aUghGuOHJ8VQRgh5rY+fnulsGU2SiBnYCnzxSMxpyysppija3xS0uCSw/qHnP3FQ8
vjYalyY59BrdBRwc0zCPltPfzfRyW4i89KCiaoo8OQZh0EDIWXZ9DFQhHFvdrcDqE/SHHqhZeLfH
v0NzEhPWUcegGI4UTyVBhk7dALEv8Q7ZVLNsGwqPQxcz1DnYIPhs9PqjHwA8CaRe7Ulcaz2+nkqY
lQ2XCG2naPjD1NilsvVDU9VVM+quF6RoFVecoDn0CPT8ndxYmmQSjGeYtWz8i3PQcQjqPOuFeiNn
wqteoUDtUHRX6sFArevNgwCEto2HZONKZfOnMsFb8nNRswaeOVBVjzkBIYKo1uycAb80FMtH4Pkj
XYERJXSRPWa7ATTQBjyBe7gBA4tNH8DvE2YXE3byN9++ze5C7AILDDPYPzy0pvEvvDwdbR/o6ETv
kcg/m0igZ1oCBBE3nMgznKBnUuml6Q2yuHLfftyrq+2Asw9aFnSPgiLwcjsCELMBytGAjcZLlexi
1lmSM9o1u0cZaytZ9yH77thXwu7yXQGQN4BEoOor2bB1DAu/fVN+4otbX8NFVtIMWV34+JqEjExt
LQNYn3+EfqM1Gy87kNSNgtpUCHJ2BuZzQKyE9nvQr9S7MbfVXgbK7OAAZAksS2jLFg6GskPfslWQ
w1hvlehAI4TTsdk0MQCC36Vgnw4ha+P7unVqAdDAiH5NQpnohmA1U9Pa6gnIHvydVowm6dYWi529
tdbZrTlTRCECIvg06LAKHYYNAdSL0c3b27lkd1AqRr16jumQn72UUMdxgTvuU1cfTs0EzM7wmSpA
QGxXnqiljA2GtgDqPjcPoQGDu1MoWvhhkOHYKtybnL0Dk8nS4RuhJsfwKgEWw8DsHzGhTI8grLC/
vyj7+lIZ+WFUaGxT/Jrdn5FR+yG2kIlgVmSuFVAWMgTgggGLxszWQxTCRZpdKTe6EkTUVfzf4vg7
G2ogmv0us9+GVtoqTVdey2swDpjSc3mcVxKVQ6k0BeTp9FP0j57ilCDMq3tXD/BqFyUTSzPtmZpY
xiGMetMYHC/bBXAKyfjQyDFwaAYzkWxlVKCAIIVH1z2ypulTXVqJ9DFK5gSuwVRgRfmYdK+0e4o9
pk3xNhbWJisWn4V53+YhDvSE8K2cQ9vnfqml1E12dPjwgKkXoNi0U7cdyNNVd1iptS6lzPVzebxV
0mNiBCXkdYBKnfL0TTPexDYwyb2Wm77xUFBYaoAjTKFN4gfAF3ratOLp8YQJP37X+TfwtigAUME8
jeAO3r0YmF72BJhxFoJnRrIMY4PpD1l9gAdjKrozpQA6HWxd/C2G1WMVgNfJY9Lq1O6sMrzJQN0W
0EgoF6ERmXsmGzEQqzCGSvU4f1cpkQHKv4rCJGSf+NsyWrEfC2Moc50dJVR476BBlDkVLkGRIeR+
QV2wQSi1rZ009J65/vBRmk1aswn4H/nuts1aKiSey+Rr4MiyFx7xc2w7OqAB4eME5rAVbID3sBNl
bxnsBODQLBBcuhjEttKV2vj12CKu7dma+XzESMo6qGf52uA0NTl0xYDOyw5seRapN8FYm019D6Dc
NDuoslXna4Ohs628PuP/7PlPJ8rZs9AOftRoPeSXRrFXhHeqmLq4ExXMTwbBio4v6hM8X1CEoT6I
6sLlAxGpgTZSr8K1HiUG9CjTqK0EHmmkHwRykpXSjNeKRcum5Ewm9+wBuBowq2jcdRXFVje9Dr5q
bC4Kweh8YKR5K14k7+9tnVry8lF7R3gIRCHMRXDLpFpUAjm2p26oiVaTvYvoxsnj59tCFs8NuVpg
FQO9Ek0Ol3s5Vq2k5hXV3ShKzVDeen1i6Z7dqLUprBFr/kTOV0oCHQFiOjJ0iHovhRGhQ796DUOA
6W8r2kU7EbTouJDMZyqqRD57NvAOB0CBQhVusgT2iSrYltyd8rve+ph7pDyW7u5eevYnMTO4cgBH
QRVFdl7+3N6VRQ1DLIfEAzbmKl4OBCLXWQ9DrgWZSz1o8Bgf4tZCFOLE4/ArrkpAuL/fFrr00oOW
BF3GaAdFRwbnjohS3qIeDqG0VlgWwxu5SzetAei1HD6JtBLeLWrXmTTuLMqmiqNSg0ITmMRC/lTl
PyOitdtLWowh4U9gvBFsptBjTodHI40zWQhg+oXXtK1ZQj67etf2z77/njTbpGEtGvvEEK/RMcrc
VNoOmg7wjxy9IJ+RcRxnoIAWMFRjYVdK8db4zaYKNwXdFP329rcu3AR4CED9Ado4MFB+kq9nFixW
lSnoAQ/v+vUI5PwP1XvE5CCL+1MVrQFeLcwioB0P7eRozkNpyeAjpdjQx9xIZhMGRx9+SbkNgs2k
b8dKZRGoXjOdTU1sxUjSdWyY8D9lQAI/a/3K9V+0a3NvIDDLJCTZeL5gX5r+D2nfteQ4siz5RWmG
hMYrBGWRLK1eYF3d1dA6Ib/+etbdPYdMYgmbWRvRNlNmFUgVGRnh4c6qknTmkQZeqHlFsc4e29rR
kFgIAY2mj83S9Ty3zc8tCtGAkalBHIfcrUV4qwcT+QjyxCt8hh6v33XSv/cISW4v7ZJJ4WS1ftHG
6QiTY5J4k4q4nj0P6alAl3KQ9p5KtIVOvSWD/OdneynD8KamG7jBnb/Lmugu8f9UwSPEGtw86ja3
hzfnrbhEIhwr7sSrSqXWykpTI4NzzCBUQuo9NTc9sXWgGEGga763ZCHAms3toQObs6jxpr2fOPhs
eH3d50BPAKcmAyJj7ga8moJNea+swBxof6peZes7XpOg9nMC8qTOfm6cycDT18vThaXlu0W4Ukyk
qCwMG/2tIGy5nGkadCMEx5Efxkb2jOBLLpsNM0y76Je4meb8w7klYU1TUqbg2oCl1P9kUm3ztxA1
WzdNkB0jC0s6OywVOq3o3sPlL85w0IUBVI1D44jiEyKoeKXKkGnRC4dKS7nhH6DT1RT+tGgAf4KS
Jr8pzlYzKbspqKrI4OiTKN6iEWAytnrxe3I78pEMXhKWbvICRQb2NdK7qBkd8EAADtNuleF51Ndy
slSRnPNK0FME9A25JDhlEZtVJVadkwzJ46yH1u70UtNH1fRC/bMk2dYo7pWgeFWUt9vHaHaBz4wK
r7cEtQV9yGG0g88lwzeQiy4rvlv0iaB+uXAz8rjqatJxIaLgihsfmePLSZeIoucRlDWOUpTJTpoC
QUjSaonzY3YbnVkRTkc7RanUTSUScnQ3ZqjEoRrUoQu+h5b3uASYmHt3gRcG9xqX3wTSU7jsewVk
gLi6kQZ7Z5L7NUHF2wfpTnxnPgav6QLCaHZomDqcEbzwoQlwOYETreI0jxuk9eMPk8GJq19N8yaT
JVDL3ELpiMgAnOG90FcBshGlSpeNxnEwn6PpaLKFUHNu13GE7U88DMV5YRy10fkM3RHGEVzMtlZ9
DCCBsPLXCtI/vfbr9g7nLkrcdOiz4dOFVpyrlvhK6eM4RpsbOkK9Sa7tQn5KJ9RgHhqkr5c881x6
DdDR/1jThaIT6iGpDPy0ccwbc6sUB6kAs1T8UZMtzX+FINXynVqDZwvTfZyGbllTcPxMuyGtPQiy
21PyNjTQi2+2ZvhqDJntWye/fwgLCKg4BGz3A5Lc0T6BWoq05W3AU7MD78QWXOdmh4P7iBZhsIPY
OUHnSH4HEut2tEn2aASRLY/u7ZmduYIvxirkLEH97EcgvzCOjRw+9mxt6sQBJB6dVHu0/PRbRpdK
TnP7EtKc6PNE6hJ+RJjdHtEjJK+wlpkRO3EuHUxSbm8Pau6IQbgBDXM41Uik8EGfXQyW37YjaCqN
Y1Koqt2lsuUYCogApAwZpTIIjIVLT+EO4mp/Wii8QmkARJ8iGsqQwiRrmW8cD++a7QLrAijmK8/w
v38evmL3C6rc9jv+HdgoSTs8r6/ir7WeOt3L7aHPtHwiQEfPFB5jKDyD1/ty7GHYo9tcxqeog6e0
dma4mb5Pwo3ebqVp2w2J0x9ZA6bvnQSw2xTi3bJC7A6WRLZE3zEHAr94LAjfYpmRElCzMo+k2ugs
2pDK0/E4GR8LsLtaa+Q78vivrzg13lffIBMZlyrVc9mliy8Q7pGKDhDqGvFcCdPPwlg1TbvtIvDF
aStDs7v+gfd+TN9lmthZsR2W0Bhzr0h04pvoj0T6EBtSiFDMNu1I0TETZNjoZ67lVZtNTypwNyx9
ipWT7B+gEB/Ev1n2V1Oe4347/p7Awq6h2hh/SNHoDKVNlcauZUjFIjCk8h/2kT0NSzrNc8861L5Q
8kZpStIBtrzcNa1KoKdVNebRt97xjg0y3+3Qamjm9UEbM8dUE9uK9xlzwnvFyp3S34yTi/4Zly7N
2Yx7sMAxYKBGjPAJhYPLL+kCmkVlT/HwnkBFku/SJb2HudseFvCbQYZggQFY2JVhoBSl3kAUlpnr
Fqq0G8IeqHbgfDLVQ6mrdtXsoyUGCL7Sgoe4MCpsxL6NmsrPVfNo5c+a9cULXUxZLZz9GTdk8WQY
iKygpgRU5uXcYZd0pVkQZAKkGCDlDMzzaqZWQCcULznck9OFQ7waADpGzXeIN6BprA9S3JoPukF0
m5bWv8iuwhkBvosFNcCBIbw9GrnKM8qwmowcaLX274m2T5HCzx5vD30mQEAeEJBGA9kA0BkJ09uw
KlarBNObICkkIe6Xk33bbFCyCBDNhUvZh7nVPDcnDGukxeg3UK8C+f2Byb/K6KCBjvv/b0jCkbRI
UrbTiCHFLbL/EPwqV7RWbLnyjLv4X8TbaDDHMlGF8yxJws4xZZYmrVpYxwztxAl9VloUCMl7Ky9t
iLl+wgtLgktUQW9VJHkOdhy5fEvRAzRCybRW142/MvpmX1i2Uf1qWjzlXLYEWp51c1AeMuCOkckB
Ru7ygNBCaaw2qqyjvFandZLcpxAP8FtHkU8JtVDZ22rtI7N2pfJMwOgbvyhotF7S++T+RXQF3MEh
by1LIBMVFlYdVSVqtMY6dujpZyD0mDSUyevAacyFbM5MiA6gAcCeGqJmMPoKlvJCjlg8EQsNSbmr
BXdj1tos3tLowexfb+/WuRPxX1NXbIQ5lBAGqwv8YybtGh8EBWgZBzDgtpGZ4AZ+TUbWEf2a6A0X
QXWFH8UjibF5ovSp0tw8dbT2nTZ4EESHoN+mQCJE2z77NAggO5VngRexXQP/xsjGWICMXK8iUhwU
URb+wEUiJjpSAO1Yp+PEpKX0UdDqHSAXqNEY/SpVmqVH90xeAR3e6P9FspPrDP8kts4iWqmiQFz2
FCtJNQfsUmXNk64aQnQzKp0xXUm2Wnq3Z/t6SWETrTZ4QULfWP7BaJ7Z7BPk+gcW+0eGyDBgqxbS
sP0CPGh+YGdGhOu+YfIoRWboH5v0bxw/Wqs8t0GYqUPO+DdRJDeflt7F11cFtBSgagPmCBQtTHEq
0Ug/Sj5KKMdQAQTX/ygi/VgH6roL/6T5HXAp/3wW+aqB/glwwisKlk4tQ5A+xNZRQp/mOO2qrVTF
S0VU/ma6dCkY05kRwak2ClgQaiW0jqrWelS5K6DSYFho/ZLXefwwWG+6/2ck5cKZn4mkYBb3hQ6F
ZCQzxSJJjvu4SSacgT4/FnK88yHqBk0Mu962HCZkrPqwW9dB5C5ikGeeFpemhQvLygpmmaS2jjXK
mEPy8jBAr24zuFCE8uN17pp/LAbigG5lFB7Rnm+v6f9j4EgjAxiAcYt+yFAhApCGfL5p3tp5/x0D
0XRQ5E0+4TabkOx0lCB4aSZ1YTfNECMgS0UBCVXBDIibWsi66FrJ6ijH5QH5mMdnEBQB6/zbcHSo
3hBnQEUSIndeYH9ONv4TKex1/eiOe8sF1gpqiYC4r25PxdxpOv8e4fzGVaZAJxvfo79oPeg/A0fW
vQ7JTyp/qIt8OHx04j5XwVgNjnoAMhDnXt7fQQT4mW4yHCYTOgsRHkSRtq6k9963VnUdQrZ45atw
VtR0ah/1KOjyKgdjmPC80xoH4tBS+0eqV0aK3BHoLpu1sURbwPfd9ReCEhl9uRClkPi1ceY0Taok
gR5O1hFK2PchCSFtXAePt+f8+lrHHlDgfcHVD2iwqFBZ0JQ1/YjLwAK1dAOmj3h4bApI0eJtu0h0
PLvAqCzyGg26IQ0hZELDf2FCgQYHrVGchG7xIgwAqDXNwm7k3I7Rz62Qk5SsIzLYRB4cU18X5YSW
qcRrTMNWzecAosu3Z2Dm8kXXmWKBFgnNoICxXs6ymtahakQ+rkPA3LS9j8QahfJFwxaO25Id4VnR
ynUzVRICKNKqhybKN2gT3Kl4usULfRtLhoQHRVSHoJ+tYWgcPM2yWbYOQ2cJazO7N89mTQgHI1pk
pdXgrtW75JcZJsD4QJ/l9srMXuhnS6MJ6T0VTxaQ5GMkk+/4QNmp6wD75uW3EbtBez8aq9v2Zmga
cBhMNCHgD4SEIn5IM2IppWPmHxObPEkAPobPg8vBGc+gQGfIshlrHQxhd8bu2IGo5rb1uZMIxjre
1aSCHeUHXHV22lN1UDlOzz8aWmjniP3QNarkb1IDrHK30CY2F46d2xI8LfrnKemyHOFYvzbUzyp7
qLQFE3NnnfPfGYj3gCcQgfNR46c+KiH+EZL1BqiAY2q3w95XtlTZ6Usrx3eb6CnRrAJLqLxArFvY
jXqVoxlqagAry6Q7BCcOOldcEpJvHYnw2pTv5P533S+8iBaMihSxDJLepT6W/rEdc6CWkRa19rWE
lx/YsdmUogPaAMZcDpeCzlm7ED5Efhh05ugHunRYPo5EkdS1DwCRumMlDrg9jY5P3WanLb0vZzfK
mS3hkmzVvMxiCRMb5H/L5NlU/1Tk3wScqO/+ZzyCA878JiBqjPFoOmC9O3lbe9BeGsbPODmAfLII
tAWPP5M3wLPvzKLgihWFgRZUhkXdH04dO6jAtkhmgGrKISgeS+SUQbGr07uhz1a1HG5uH/SZRDI3
DwYw8IBzuImwW4tML6cxg3kTlSib6t6YfZX0lxI8WOUTzTYWU2xJsdNkl4yKm/+LG//M+o/TPfMz
08RRICXzgUaidgWQkTYYG6N3M2gA6wt33twtAbZ9/A2yCsRZwlaNazVPaIBnH0pbUDAI17dncvYk
oAceHYSQmAdm6fIkjHAEWqvBjUWI5hyDNe4QaYZTdP6667zhnRUOZJ4WjM4kfrB8/FejxQNTIgYM
TV9ZZplR7J6IOQW4RIGPIpthclOIRqnVOzNXZehEwWeEzrJVXDhV9dbSRcnQ2bk9+wxhE0uoMSd6
j89IWgUaTnarP02lF3jjSlsPLpjufGBPQPVXYVbIwh6ac+4GOtuQrFBNHsldTnxjRsFQRHDuY7xh
yQe0rYAxtsu0thvqFNoSU8fsiflRITJ4LIyc36W9ODTALi9hoQHdcAY9e+nUbWU5qq87RX7HWORI
YOmtpcQrUYuRQKzZ/ovrjDe5y2i/BOmyCG3OyzGWyARnj6ZJh8Yrq1yjNcWvXFm+M8uFm2XO654b
E+JkU+7aXqPc2PTCO7jqA2TC/o0TPDciX86pmU5jkBG4doQbfl27ifyZKiDjpm+Rnzm0DzYZGozt
tp9WZe7mQ7p0jviiiZc2Ng/mU4IsC7g3Lz/Ab5UmDTPDP8bIXaaqAwCOix4IoJaQcMv2rFu16ZdZ
HvIIMkbRyiCv/9x7nNkX729wiaJTMtV9iGF6aYPH5pA+Vs4orUqte5Lw+I8WezHmzizgDTg6wGoB
sy0s7CjFMelkC+em19dZctTk31P9Vvt7qUjXvtrDdRku5PYo+6qC2AM150G3FjPX3Io48YhxETqA
mgIZAOHClZnESnBeE7hNdIKMT2G7NSuQjoF0MGCglhw62wBfQKXEx6KgT7dnfaY3g9cEQIgDsUUQ
/ejCnSCbfdXAp5NjfMfVFocVuLSRbsECQA/jmKzNbeSRzJP7Ve5Um6V3y9ybwkSogQQ22hHw7hWW
IGz7pk5klfBtr6eJG0arTH3svORkoYHO8+X7hfHO5NNgEOSy6Aa0ILwn+MrBN7I0SWVybAzJYRXx
AHFpRyjSN7bpr43yr2T1jrJ4umYW+cKs8AqkGVVLrB45FunTQO/lFqTGhglkpA2WixVoLBG3Nm4d
LjHHz08wgGvAD1PwkIjJbBpGoTKVLe58MOrSyEafVDZ5zAR63Gb7VgXr6hKLH9+wwoaGhBBEVwBP
4tIjgiuLcNQGs4bJkYC7HNpYIXQ9Am0P9ont7dWcufhMxGwgQwCZvA629kufxYq212OCS7crzK2J
LIUZ7bPM3Jh65FDlzQCT6G2Ds8eFU+OAmwQNA4pY9SzjoalGVYabJiiDoLAE+jk0KA36NjIztJE9
QG/dgViDRwvw4BmgcAauTUUGB1G1G8vvefAkBy/KUgQwF0ODxJMT6gLZzgnkLmciDLRIVvKYHLsU
SlXE03L8cxcrcFx489HcbsZ2HTRrOeu9qliCg/BDI674uXVhHTQaBG3ThuRo+FNmNw3gRdpRL+2q
00CUtgTFnF11MEioqJcArS5W+aO0liEcU8IapEDDGNs6azejEiHMQIdCWkIXiS7m4WfuCrSwgTgA
lQWeMBOeXjlrSYv1JMB7QEFPlls3P1lsVfin3C9ttEmAyhZ5sxAMqsVerk55ti+GhStyduA6J8fU
0QACRavLRVaSPm1JlJPjoK/Niq2MKnINlIxxmmvlD8S6Fnb7TOADIg7IWoKKEyI9qhASNDr4vwdk
fKDdrEuuVaKAExGau51RLBGozPopismFWDnOMdJMl2Njg+QHSdDAFnIVDvbyhoTSsO0Av3LNtDgE
Fnr2k7TQdn0Rjk5I9aWLeHZ2UevA0wUFXBTILr+AjGE6tqFEjj52rpUiaxCiZLVvwRgTs48wfVtw
JXM3EaxRKA2huxVlz0t7k9WPg59hNZts78eJ2/xVdUdj2gmKD4aW2Hh+S0vVxrmDem5TWNEE9FGt
QmEzq219Ku3Sa9HLkX75zu3Bzc0lpKI5gTUKxqo4tr7uOkY0ixxr3f/Iq2JVpqDMBPVR+onmDZUF
CyXbOXsohqPyjrcnLjvh6VkkVG6zBGvXGk7MojU5NWvayo5UPQ/Z5vbY5jzBuS1hnyRRJPkF3yf9
MNlRC8T9kjudu0DPLQjnvMqZkbNyJMfXkMme7jQR8QjAorfHwddadNoAS+C2QIITmTrhxOm1zmhm
IfTSK/0wmJtgeDb9bVmBf55WuEC88OG2wdlhAYXG+d9RYPuBWp6lOjS1iBsOWjjmEySpiOUwH0Iw
irSWluR/5hwXCupovUCaQ4EC2uXRqlpaynmGIK/UXnv9Ljfew6VOyNkb99yGcJSqFLuxRuL26IO/
2vea18ncGImDKcxtw42Ub+vbXCrJLYzLELb5YLLUnzrYtOS/afvXtE5l93F7kWYd8dm4RDeoKwSJ
FB3bW4EPktI9BQGycpT8DfLF9XfwNtVLzKpzBwotswAOA0+GnlIhJLeqnkWtKQUnI+0ld1K00Z7y
fIkRY66ujPgXmHYNCQNoxQo3eBb5clCXJcA5bmWHDiqMoCczvNL7eCnBcyltlizO7fdzg/znZ/u9
avzSpwogLVVugZ/Z66yvrqZgd7cWDtbs0MD3Alwwsu7ABAkzaJYhM81IR6nWat0EXVbR9Kvaoesh
7wGiL3dJfQit1YRLZqTIwPt3evyRTY8LO2fucjn/CuHUaUVoTSQ0AMHKvlvQNOzYe2294PkBzPtg
gw5dgm6IOxTHIXJ8+Q5fQtq7KVlCvM5NOydBhMqPLgOgKBzMVAKveC8P/hEsQnaZAAYaH6rJsruE
LXjQuUQYklD/MSVeO3owmVlqToC4QF/UBBUZcAm7XI83aGM99VaHdNRjkoNJ3KQHTX2s2wWMzdzJ
gUAE5/rhuk3iY7aJy0bLc7x/GukwkhBUEgveYGZJcTA5yoxjzHDBXm7hTjcKw5zy4NRYoBuLAjgE
3HnJZ1jhSdcsBoEzS2fhGYdmV3DAI7AXzKUlbYJWScNT9lfdodn6BJKMXeYlh+ERzRT+UwDC2hid
wavbO5fviIubEBKnXGcDwCEJVFliBSAY01ipOiM8gQ5+UFyOOlAb6IHYWnRXGquqX4hWFuz9uOBz
xzBOec8K2KNRDinLz1BObTKerOYVCohune/q+P72CK/WkYu4IrmH8Vka4OrC0WwpC4reV4NT16Re
laubul+nyUNlqS8+cW/bulpEbgu4IaCiOBuY2J2UVeX/sQUUFqAy6wq0Y8wg60XMyJIhwaGbQ9YG
cWIGp9a/r3oFPJdQKs5ku1oiJJg1hOcWNiTHIYvE0SYyVDVeDMFp6BQ3Ro+Qqd7Hk7Ut5K/bU3ft
UPjc4QiouJ8g86fxA3+2M9JYAvVuH4YnEDTVPWQn49FFksNVs2I3KNE+TYFtAxcBWnmwR6Tic3Gs
c3vz/AuESeUsAEU7JOEJ+IvBT7ak2zU6xADVzE0aaA+mmUuD79vDnptfrjpJ8cRE9UIsHBlK2aSK
lYUnCY9LsEqoPcij/O1ibXPejgFyfQD2cBb4z89mt2vQdK0NZXhS040UfHPiFZBXhP+Y+heLiOf5
f8wIXiyu0CqrM5jpgtErI6jpJWBGSxqnqcDDsrQ5rwM2bo7DjQFVQCpbPG9lBU1ovMJgjo0OhQ/7
iKPe9sNjYHae9jKS9ySmC2f8GibHjUJFD28HPGGvEKT5OFYsHeGpwRa2Jpv+Ib4Lt2FzVNb6UmmN
+ybRO5u6iRQ9FwZBhvxy1aqSdUNI+xBsw2hSuQtwEA5+9ELkdbi0ES3+5rmyxfcGOE44JFdYuoBo
ZjeyLjzt3z8Nu/FOJ2qfLPvPanXartD7dVqd7EfvERIM9uNj7K6+n0F06CCcdJ+/vfvnz/vj2zco
Ce07MOrsjs7H0bufnGPo/fn78GptH/ajszHs1t6B//Zj8/TwByzzD87Tg+PtFhZozuHzPMr/HYjg
8NMCjX8GH0hwVO+ZXW9Ue1pKmPCJvzVZ3JWcHadEmSKlKwbYCGLEPnqrI9ALloKCnyDq2gyuZsTt
AIiLLbygSNTrBHSkJ6rFtl786tTIDhOg78bfUIee1MiRs2HdlR7yclW/YVPtgEHUkZLnWn/MIcDT
kwINYYoLzNf6tuPizvDWpwlbEy0wwFuRGo5rB+mkXwtQjNn5BXcnnssqPKOY7tPJkEYxncJTAsK+
JEV3/0LEPmcAbasQleUBHm7sywVs+0Tt+sLCyUo1uPYKrioc68q9PUkzXpdLfiISgOgOYlTh0aoX
CeDtvomg7tG+1xx5IQif2x8Xv1/Mx/gR8nmM/350nU5hBpp/6hnshIKBbWy+S+PZpK4evZIsBdW3
PahuOdpJuZXo3zBNETX8C6goKmbnQ5YvJ7ZjrVaZIya26zL1ZJYa3Sp+v9BtPuf4UYNAJQLjA0eA
JVgJu7yLUOTCVZ2EaB4CReAG4rGx8gCB7MTGq2upm/4aoszHdWZRSBn1hmKk1IfF6TfgyPaz6T5/
ne4TJ3Ea552gBxbPPJvt3u4+vMHx/pjOzv61UYaFU3fdeyl8hnDsQGTCklDxw5OS3EkmtCrQgjkh
kcnrTVWqAxt+UMfYTY3WNlpzT5VwPUDKgu6J+YfRwtHGr1L+CIPnfkCj5rqL3VYDVVcYOfAS8EAL
wffMBXYxa8Ixi7O+7wKdYINW4B6U3BhQwhZsHVb6VqQVesgL7/aJm3H+FwaFOCfJgkbKVMwPSnz3
oeW7jbS3/NAlxcIWnAkWYQh65Kg4gRlDZLVT+kaOwjaBVJz0UXWAZOauQsEn17iZAik07UOb3m8P
7adeKbhcHnGgMwdPXrQ+Cd5E1es8ros0Oin1OzXh2SmDHnYor2UConDf2oKezLPIsNWjF5UQp2X3
kwxgUL/EzTTjPNHmRdHoxYtCAB5dnvEmqqWmCDD2waAhaCRHUEZm5T9meOFb/cyKsHdYLo05g7TV
qYs/1XWsrdvwleUeKLNvz+vcSoJKAtbQxwLaGiFeiFq8SVg7xic2ocvrWAQ7v8tBnNl95VloW+g3
dfDuuW1z7lyc2xTiB1/3I5IR2LQQP6Lp1VO9oD0UoeZAlOGfmwLCFr15EAREKzQ/MWehil6NEV6I
RXyizOm45rgHpGal3vvsQBbTQrNuUpORxwCLFqqyujCwrusoiAoYrGWSRyDh2MW8Ntg/k3LtB/QQ
ddBehZKu/kDCVQWMRY3OKCt6HmJMed8fq+67J8rv7Eu9axqnHn5B4beK3loUGgcEP3GzDfWNAd4b
to3lz1hdot+Z8x8ACWK+EHXj6SD4j0if2onEVXyKJrZGIQxANj27yyi4Kpcq+HOnCJQ6FFsOffRA
Hl0ujM+iJCVWGp/k6A8SzPFSmn5uX+so2QIh+JMmE35/U0WjZiVYCguBKemmbTwdqvQO2kM2MIk9
gwQF+8fakzhFSCeh2R71aQQ8wr0cGw3YvSDvdMp1tAwpnR3HOyRGF07P7MydWRHuYhUvItSEesyc
Hlt2xsw/yNQvif3NTt+ZEcHJYdJynVptfJKKv0N20CyX5q+SuQn1xDaLj3ip+3ouVgT18Q+cA7D/
n/fZ2TmlvTIinMPU0cANk7tUim1DBfNRvsRJO7fFzw0JA2OD1kBoEoZk40nSGo8auP9PkdGsctW9
7XtmTaEMhbiJp1BFrCK6hIeITA1OE6tduXu0WhR6iWPVrzH5vm1q7lkOPjCA9xSuKY709+VxkkDi
B8VOvJXkQLvPxnxj1pLNtYD8ZPQSf3IVDcTGjkleomgJxz2zdrBt4I2GmIBThF7aVlO1T4kM253y
WJabHEIDcOlLCuEzs3lhRfBNejAQC5n88NSatLBLIE/1+E6BYPUw6Y+Jul2YUP7RQrgBIhug+lHL
RnOaKFI2ypGaIrMendpYlvZ+klaulBoguS/z1gukNPW0vp/WA61Aplsa/t5oovgQ6oa/QmtVjjJn
UbyOPV6ezGijhZ01czohkoTkP3w0f18JjgbybtRHKIzwywrWDYgukFb/w9TMHjK0giu+Sxv2CTn1
X7cnZW5OfqiacHlzGLm4BAR65uqAy7QfyuckyZ5yEMIpylIUO/e+ARE6Z5zj0C5FTJNrchOw2EjS
E8h5xjWo9Su7nWJojgZHAhCBzAIEfIUN1aMWkWe5pHw7M0zIHuIM/S/VlngLdoqsZFXWpacaXPfJ
4OgfEwSrb0/ldRVZ59qK/zUi3E/JZBiEWW166ke7GkHzrhIbnKOVHf8qXHCHrULvtsWZ8wOD6LBF
ryXoGcVsSizlke+jH+ZU12biYbNIh8akFiBzefhu0Ka6D9RsiVtUNIr0JNCHnGob4BNcjoJbCnXJ
zyLQXpx6uQOOd20ERw0gtEo31rGykDW5yqFzY2hfAWETmuk5tPTSDykk1CemwFggfZQtuK8pseUS
ivZgtzFPluF29KOFQFUm2b5BnURfKMqJ+4bb16D8oYMUSJWRvLm0P+i+NeS1n54UP7WRzR4AE0m0
f2OEs69gGUEmL4I3MhQ/rASI8VOtNbauvQ01s8mi4OrsUM6sCLdkMEHOQkqi7DSiftNj/grO3QHi
7tt78upRx6cM/wB6zh8fWD5hytS+iXtG01OS0FVjQmwwzF/Q4KT6G7oz6FrS8i3NzJVKGJRCGjDe
QYp66SiKz5GfjwDrIXCFnEFURINTWpOuNTGlQDCaLvNdsGw5zAH63Sa7pz9//manHsiO20OfOxlc
SQHhKaecECvIKKsGmZlisxQsfATTHBKd2J/+iqZeIS0hfmaPBlfPwbsZyXtcZ5fzbCRyKCk1H+IE
pY7S7RBeIenHi+QpkhJNMmwja7ArvEkmSCyU4d8MPMf/YsQyns2cuQRQLeEbIMbiVzU0cU4S7hDH
7HGtBgiPvNFA77FfNr6dFkO0uW30qksIiws1DTz8kNVHZ7FYJAETxOT3JqxqYGMh/mcxbeSh+Ehl
x+rB7QHW/94Fo6difUla5tojg2oGStyKtpAxuVpvXkYH+IlLQpp4Y/GfnwW4Ulv4aQis6oOpEMmT
fMnRoRjqTOMUIEGlgQizyJr17cHzU3oew4DMGSEZ0Ku4rZGq+emzPbNJtJAMiWJFDwUbQ7cJZQpc
vTwtXCzXm4ubAfce7ksFtB8ijEetOSGXCjMgbmH9NysrRxnpKmfRSi9BU9C/VWwfRh3YMY9RdWQp
W/CJV5ngn4GefYHoeYFo03pmRg96Cqaa1CXjvkvuNLX8QDWs7aiN8mI6ZNAb+j2gqQF9vbu2BNmZ
bjP5QPwN2muUpW/iz7CLyf9JO+CmRXxmAJ0tbPdyAsF81mLB+4wW26iI+3WSUrpTfDRoV0Gt2FPc
UIBaKQOvt6YfkrJgLmsieSVBGfVeDU3eq8tYv5sYnWwr8VOHlBDFlHB5u2XGXkNN/SIt1OErK4q9
MEQy7PYGEiN7TlCD70d9EU5Dk8WVhRhslY56yg4t9VsvVyXd7XADreMhhmwENGS3t+1dndYfgwCE
wQ2jFQn75vKUaFMYEsIqdghRvsqzR5M9yoiOuvqxqwfb6D7rnm5J3q/9t2bbh/tW+4L7mkJj4WL6
yQudrx7/EPCAgIyDopYG33H5IYHV5WZfNOwAaY9tQHesf4PsD5S/q9AJgshTK1D6+XurgzY3gb5K
dx+Enn+ftl+B1q3K4JCr+qaoP9B7GOJ/BOjj6ZrT+KoTuu6XCD+vGuZ/vhban/gYvFTAJXT5tUOE
nB1LB3ZASmc3FLbVqqBONuwxhcgiew6SFtq63zqaTpAe3in55DVMc6G9kenbvtxlNSdZP4aN5uRg
ldWsJ20cOKfpAvzl58Urzip6FX4AWgjsRQ0cqa4ZGF/T9pAaWTnZda+VDznlorzyFLbAUAVSpLpp
raeW3QZGuJfHNPLtaoCouxSh0m2iZRa0hWotR89VCRi1rbequYsrf8i9NqvpMU5a9HhWfpwDFUXM
7PcUB4Cvl0Eb/64qrQ/Ak12XhwEPis8wqSUkb+U6Hlw1Z+a0ypVEAUJgypbI2MQYg6+QinwXbnv0
5KCH8nKFVDUC7ZSGrGMD9tLSj1yt+5vTTxaOIBO5M5c6JcTb5sccuFRU9GiiL/fHZZ95fjqNrR4Y
MAe4ll9hp7orG2t9+7RejQkc57gI0Z4HVC8chRAk6nQAFXVYkEMQ+Ycs9bH76p2hTfuEHNSE4e3k
07fbJq8cEkyiokgRfYIWAkJZl9MYToFSo6JLDnq8Q61327PDgCdipL7ctiPenLirFSwIH5kBpIMo
pkfboOsS7Jxj4tjmgm+5HgPyQegJQzwGp4oX/OUY2sGqDH3ES4hMtZ2a9aaudtCF8rpyXAh+xCie
X8vnloQCaVb2ed2kenCczMmRySTZpGd/CDMX6lxXu02wI7iftKm6AJUi2FHbOwSabpkHey3I0Aoc
/07rpfIBvzkvvAgcHIJITvaH6A5sVZcTOJZqYgQlJrC8QzBzGHwX3CraC94GHV3d3gfXW/zSFP/5
2TnqlEJpwxamwtTf9Y9K5fntIck+EeEheljY3EvGhIiB0MJQUbbENObRzoTYCLjw7TLT0FQNLFgz
2SAxvT28mYU7n0kxQ6kH7QQyNlhUs6coQYXE9N0J9Adovg2Dv7dtzWz7C1vCZuz0lqhJaQVHCcCM
qHfU7i7HS2PUFx5WM5v+wo6wGYeoMTo1hZ2p+AA6AMzX8oqWC/viKn2Do3VhRXBEiKUHcCrASk/e
It186/zsNfflvfycPlSqS4LoUc7RA6dNLRQQF/rSr73TpXHB8U5FaSk19bErjRer/x6zf/hW+Rkc
B/6itQ+R6w9l49mu1wvf77OJBMfUAnXDQLXoqdXl3gloXa66qiyOVTssZZHn1g2kAkA1AG4J3lLB
LXYZmcY+YuGxT6XejoFs3/0Paee547aSrusrIsAc/pIUpQ6i2zn8IexlL+acefX7YQ/OmRYliPDe
E9YYGMClKlb4whtyYy54ksW9oW5dIJRP1uCOCgrdrstTretNTFLQRn6n1olwQJuCaLZsc3C/JFMv
WZuHDfqSdTkd66XuD4EYDnsagjeOw5otYeAM8U2Fen/5G/KMqyWc49QPxzH+psQWeP0+GA/S1AnO
XDXtTiP0qqjKR8We1wK+B+uH3sNm0qWRWctkdak/DdjuyQHaj5Q28UcMm/GQLukxCQKn12NfRnTt
/tG/PTagOlgeRAqgji4nW7ezqi2alProG2dfEqsUj7NS4/5mKakzgf5GK0ISDrUlfOukcXTrugx3
3sIblythPNVIquY4mWx7c51RJbIwKalfWkOde9OyaB/boQEHZFpRWXuRroqZoxR1EbtBnEZ7DJ5b
4/NM4iHCz4BZufnenREUgl4siS/OCp5tSZ0dtb4dPotyCAmF/PxJjITuaOi5vEezubHVIL/Q010j
bgS1NierXsRZSvs+RyNeCt+VKLgdra4J3KI0vaGp1eP9r31rOLJeDhfaBgiQbzbanPRyazR14YdL
gRoZ6WyZ907NVQy/aM+fdXNrYOWFYgVwc3JGPisB2+XOotgyplY3KIg1o00WEOkLY+wNVljZ92e1
rXL8ZyRktEnmMWklfrscqWiWMEtyQz5X0OfO2tD9GLoKPE+hV15ehi/w/C23FiTBGQzuk1RCyoGC
SWQvS/2ujru9pG/zCLz+npVrT4GH7g619cvfAzuXQDgQlXOVFnaT/1GCLzszvrW2Jl4gK00Vc/ht
iRKT+wbnKEkhZ0Eww5YQCoF9HCSnUp0BvYit3HyJ63hEh9hU4shWtCaT3b7Nwm5lLvbTYey7SUB7
C4aQk+FNgDti3+Xfd37nun/fxIPrSsAgWzccOcFa+r9cCaueIuj5OqqQFcwURB6MY582w1MZol06
W4riaEuDe66CKrRUm78gdM87gdRmz7/+BK42Kqt8ESolm9Bt1FKjHxsEBRPzp9I/hrWFTnnu5YG8
U1baPF2vA5FyEfRS04PMtnn654BHI+lb9dxXc3FQYXXY2arz3lRZedTEKjlUOMx7QtZFx2FS9kLv
bcH+P+OT6sGVAbaBaNblWodClTTSMKnnMtaeVLg5iZi8zF17msT4KYSyPSgPavwzRnCiBrUdahKV
qpeBKOj+R7+xN9VVqxmyl2SwGpvr1Ai0qafdpZ4NK/Ogfea2YcVPiJ18uj/OrQ+7vs4rL0kDErO5
zCwx7ZpErrSzhSWl1S7HWcwOoPooR+yMdHNGb0baRJRy3JhlaJbaGU05N+u+xnn82Io7Hdx1WbZH
hfYYK8PVQWq4uTRgQQZaCAYCUlpLDWKcRof8+XNqDCbhh647s0SH7P4S3prYqp8AmQyXQZBRl1tG
LYKW32hq52ms1dM4G2g5mpnqVV2defeHuvG1tP+03gDPEbpuXoMsUnS0jBT1HFbVi26hyxGJz1rz
uzb2mkab53w9BxodXKr5K14Ki4LLSc1VHFkl9aRzpumPgvFYKbEbiYVdS7+U5k+xR1R7bYRtPhyF
FsIjHMgodG/Rjyj4DFXfzdo51xaRTlGozRg+WNIM232ZGmeqI+spLK30m5kXqJN0dGSPhlAkKImr
ddmeRmnW/FqyYhESEbUNJ9OUBsGMYAkLlHS76Lcq51HqooE+ogQULgg4Gkal20pixL/uf6Zt9vSf
1YNwx5RWrsUWXKEEEmoEsaydxdmRa8i4wWxnQnqswu+TKTqJ1LiV+K5PJVRWQBZXexHRFi7z+gPW
Ci8VU7qokrg5bKpSS43Z6NrZCAEUlMGHMYNe2H7F3NzvvhriY96Pdtd5WbTvlnDjuYIhvjrJoR1+
3S6Z6pQ0fzG0szz9jBdw8U3wI21fEDxzqpgit5I4uoxJjLHXDrrxdiAyDYiWnEPBZFO93LN52mIQ
osH5Dwbg8MEUDocoR0a/GKzlRMZZHszGlNBcrabQzqxJOdz/7DcuArrjMHpkuIhkPev//yatrJVl
Ib4a5HPfN4qLcl3maolVOXWs7DWWX+eyOS+8DeQ8iCmT92z5PEG0aMocEa0lS3JQBNVNrO91HLxL
K9q6ijNH7SEFPTKGA04qn0Ion8JwAjZVaX4V/snmo4UikxRMCOnxwgIaVCTP6BwrUR7uL8o2N1q3
IohBHOp4z1YX1s31GBhQXxQ9U86q9D1A16Vurd9NkbqopbZS7vbV4DWTcmrTduey3DZbGJm7C8Em
etAaehCvb/2b7xEs2MokBE5EtOFJVsJjQCdM1b6ZFapUma2bzyK9YDXVjobSuUF/iuLuFBST12jR
KYv0D/dX4vptWn8OkSavOj/qlev+5ufEQCpzlFj0cxIfRqTPfV+ev5Z7Dgg3R+EsreYZZAfbTdgY
6aJFjaifqVeWDl26+DFFH/MAlkj0QlVWnbY3//ppp/u6NvpXSBF3+OZZmpXErIIgNs5lu9C6Qh4A
RSg5t/MB3cb7i3h9xilXy8TqQKNUhfLN5RlrxIrqRqfSTWwsp8qU9w2KnGNe+sukeGbYO02mE110
L/eHvX54GRaBBaiB+CuDMbgctoq0aBUv0s9C8WluXqLpnyw8t1wj94e5Obs3w2xeXVkoslkMTf2s
JKVXttUfaZEQZ+7fJaPqB0SiUai7o7BTbtub3OaEcnCLvCcEOPOupqfJOBuPZrTTGruxLVd1FDIZ
ejb4VWzu5iHqG7oCmXGum9E4ypEePkUT3jVZViCDJFTdwazavbrM9YW8frX/Drr5al206AaEOuM8
UDVwAWnjLTWU38I66A73P9yNW46hgCqSNwOIJQS93CA4Vc0arDP9XFg/waF9MACeiaYjZ+KpkJ/S
5nGITlG1t19uTvDNqJvova4GLZ/W08BljoossS7SistO7rd+msunZp0alUEKpoAWt8WtCkGqKMxp
4OswpJcTdKz7a3d7Ev/9+zebXq9UvZ0H/n5SPDujmyt90YPk/zjIZo/LWdMWQr+erAkhAkPHcUN7
rvYQ0TenQucGBWI6a6ALL3dBaCW6gL8Ol68VhgcE9SSnz4vfqIMO3v1Fu/lRViyeiV8xHfzNfMKh
mmq83jFy17L0pEtJ7VSpsNceujUKNWvQlKuv85W6glmLTQp/1TiPBRgPc5Qql2rNX5qUr+80TxWd
fRK31Vd6XdU3D2OqL5oeBZ15LsS8PTR5LTqZhS8SgOj2ERX9BaW9+lcWGXtyVNdJDpfRCsaHgE2U
sK1q5LQpZ0GczHMwLjOg7lz3JGBKLq6ly2FKjOwkdXJ71NJiDwK89YFe54x+GM5lhASERlsspaKM
BfXQ0Txr1adFRA4r8vJ4PC05xIr4x2Qlh1Q6qZpwGLTHYa3rgEQ29cZO1Nm22vIUme0jvd1jLMaP
RovAtprtFLVv/sSV7kHIhnYDtdXLzxLmWVIZscC577LkzxiW1adeEAMCt6B+pwoqGLdaSeHF6eqx
0pfnetEJQ00AJEMgCa4ZKb1XS6MGj4OrqUlU83NijboT6nrt9pLwa8qX9EMsCuPO2bjxiuIHgNcK
yQ95+bYUXvWVamYzt6KxSHBFNVcs3HL4GokPS/lPV79I2ve/PoxEJIRAIGOxBdi2Ged4tqo5KIzz
rAl4GWXGj6DLNff+IK8Uh809DE4HsA5oP86JubknjXooSwwZ9XM21+fSOuTGUyyfuxxicLrYoRV5
y/xLD/4USWQjOREO/hx0T6HuK0HlS8Xoxeb41JIONeCxcCv41JunWn4uW7ew8B2PYxLnZiduMm4c
MRYF9ITGFgIfsjnbglq1bcCteBYXqWRv0y3/KOmN9Qkpri53gO+JR7k3htxNcpUDrsqRFSJfW8z/
9mo89Hat6NLiSeIU53YU1eX3oLGQ6zHkQMT53siKB11dFeYjMKCdK+dC7Uda3v0zLRq6AMWYxoor
pYv6T9JbWuTKSlyITksc3roDsCL0qMuuz/BbSvPRraKkzx2lSVLRjYrZ+qHVLf72mpDX58C0gOY0
YSDXtpxpWQ/TTl4yN7JmDBFMTGLNKpO+qVEaUIJoZeoXpZZKPXdZIKCNkElp4hRpbh0zc1S/hovS
jLY1ac3nLsqhAzVDW3zNjI5ULYR/SdKiWb2dSWGVutXYKJ/LQBaAeFoxj2Obz23vzuOYhY/6YJBf
NoCN0oOG11B8pL2nVw9t1/Y/xEGQ5IPQxaV6hGxQ4yhrGN/1EFcOekRaEDpGXyzjKSxNAyuARdaq
Q6ZUxUexVxpj5xGWtlEghBOqcmjAiDSXubk30bvQLIogcLH4zZSAv9XTsFl56qZW0bFLpMlOeyqp
SicgqyUIOhCuyMpeDEE2UxuDovmpxJDUERdT9pRhTDCaHaTxt9Vk4ZecBudfxqwo4SL3jwoDLzol
i20Hgka71S2tQGEvFqsjOEbrQaqmxLUQ/n+KR7k7BJH4t4Hyfwa1wAeuQH8Q8Je3rthIsVgOsX6e
01P/xSxVdykPUut18d+WK9aRLNBGIvBhvsb2PmnECGygUpHTWEgMRfoXq+4fqAv9ZXZBv5urkbxJ
Qk9spVNfTghnXLUSc5FyECR2PqmMmL45HhWl3bkgr4pe60hcMTwn5KLYvG+i4ayo0BAcOu08J7+n
tn2nJPVxHJ7jIre7QXs3mcpRLN53qfUzRT3u/u28fXPWrj61epSN2CvMdDO2VqMQtwREfsHcHSM5
8RqlsYtCezTg9Ugx/0WX9C91+FCIvhx0s1cULUQ9A52NsxL9jLLPMDG1+G9zqHWMV2ifrK4xoLoZ
I7P0Nk14+c59ndhRh9ap0DqhOu2s31W0wTh4DaLBsMqC6Ai/XW6Tvo8CCTEq8yyVhXnMWlP0R7gM
jhDKkif3neyGIL0Qz6/bhyQyl2+t3laeOVjfUkPun+Z8lM5zQKSUNVrlzVqnnAVdT2yhS5MHdcib
p0ArdC+Qomhn323R2etnwJORSJyauULAtInF46UvFbVNgnOchbaS0hWOBKwjQtETg+fAPNbqk9UY
jmi0dhgIz+PcHPB5sAuxd6rc1YSPxhgemlCymyhzEnPv911Voyn/UibE/4WfBpjkqjWPyIxIPT04
S9KfiI+Y1J7Uvk8Pah26hbgcGthfOtIajdQ+l8CQ75+MbQ6xjg62wKCpRuEGsuHlh5U7iLY4MICg
HHAJK2NBtKNA34nAbs4RISV6B+sZBJ52OYogRUbVhBpxxlj/qxjVwUrkU/BHCBzAlHHQftLC0dNC
yUuG3AkT8dP9SW4TPyYJHEBByobKFGZJmzAnKmWaP4SyZ1Mt7FDMPTFKXAwAnP/bMJsQUNGDCO2r
WTij1W132lGofkvxHjb8qpaxTkZG4B4BDKChNIAu1xJEpRqmgSWcIdId5XFA4dLWR+AH2vdmqAo7
Q8farDoHmaydF/c1QX4b465DK7SdSAQhJ4Ijvhw6Tzp8KwpwqYF0hHXqCqpxYnRNfwkQOJiDxkZF
9VemDB8F9C/6XP0HwHPXqYRo06Nc6BSwX+LMMecP9xf+Kvh+/WEQZingszhwuS5/WESJPNXrPPSH
9qCMvoFinAKWCAHoTHswQKILgxsWH3K5srXM66zElssPKv7sw2C6eC1JDc45yeekPFjWh77x5KQ4
VNMpSQbq0I0TV49mq+5Aoq7fJNIFkkxexVV8/DUae5NXl0OXKIFc8ZsFbxYBYOlA/u0+Lg9lYjim
yNJVpi0EzZ6ZwLoNt18RrgT+NYQVtK+3ixUlwKFgsfpWLPujMeJQVvvQbQ9pviezcD3Ua58XMQp4
tNxv6+3zZo6ZZIRSFg2pXwcm3DYj8VpVWg5h8WNuFu/+JrgxFjNaNeNX8W8qFpuxqFxIubpkfo2s
n01/7xQWwSO9PkfV9szhr78d+Ok3Y23qiYacVTVGAZm/zBkkADMY3XKeXUttTa+IzG+JoC5eBIXx
IRST9vS/mKhFsIamCO2ZbeBbB2wnKhcZbORnMfT08jlrYtfq97pYNyI2jQPFLQM5EaGubZeZanaT
W3mS++RmTo+QRdl8rtR/KTwcFjq92WCP0bEuBFcrjZ2w9PpZ0iySdgT+Xgkw4uZZUsxp9Q0Mc59f
1n3MalV6yrVUeX9/Jbfp78qwJ+TlYYK5gsTm5iTUSxCYxpTmvjYE8eNEh86JBqMCUDThWjKCJf+c
U0dEXwqjvZ3temtsgmHyuVUzgV7YZrsGpVhMQpv7AYQwJDdFtU4dpDWcAavbVFbeV0r17e+ni+YJ
ZS32zip+cjlkjTK9YPVK7ofgauOFPascjeQb6+ylGJ2mw5f7493IJ6HQm1D1SSpBy2+maMpzWSgT
1J5iSBSRsscY4UZSldNYvDQQ+eWjlZpLcwJtlJq/7499awMhTQbtm4+La8XmNuhmJK7adsn9JZ8B
wc0d3VMFnai/H4W+GkeDdJ/YYr0n3txvspCWYJLE3IdvknO3idI7q5Lmw/1RboRPYFegwQGehQXH
W3E5TJiPYp52Qe7TWbQxBnUw7Jyz4YTqhxNFkydo4aHT7Sg3PwowBDJzL7K5EURjE4WEPkHqan6y
3a2iQYvB0uYcsyi5tEU96bzayH3RyH/KWg+ad1oiOy0NrqOpC5xCXX4adXdKGnH2grbVjxDEPk0c
NSclGbNXjKITdnJ/MJRc9WJarw/31+zWa2CudHgSdcg04mbJ6qUp4jTlB3eW4OmrXBYvfNu8QAHe
Oci33gI0lzjGuBkAzdzsgVq0UqtW16VpPF16bI/hIR4fk+JYQKXeidZvzQq8D0kC+j6IJG0CWUTY
5V4Uh9yX+yD9YvZorJWZNr2MmaWy8zR5Z+fdOsFky5xhfKeBrG9yJ6NXrELPOUVi9sfCGQvsD35l
9fhYhHtQWuXm3HRA4hTcKfZf8blw96vVRWAdY6F6nw7R+CSHknjSQit/jpCocoeuLB0xx6jNygVu
6awvXNDzyTHRm9JTlNx6JtJPnBFSKQZI8eBmYSO8z3EJslOpNU+z1Rlu20baU6jBNad9+y7E0Oeg
JkUFKFoJH0Vl1JFmQglLNSHHCV2ZOaXY1HZFQfBhllsSXaTJPap6wSmEtLLztt96FSjBYc7CfUIo
u/nAQwaelZJi4ffC8ofg/1MERVCSUo8z5Ki4o80imN6/Pyr4oGFrBFNv1eq+vF1ywQzkZmoKP7ak
pwYdvUV4VqPibHTf7w90vZu4wbiPyTURmWb/Xg6U4tAIeZb3oCRoEjsvlzK34/JAjeRdPiyf7o92
fS551CWARpTpKFuY6wvx5m4OFnJKS68KX9H/GYxTXTsp7jPN+K8aZk8QCz+o6uf7I26JsKsnGE0j
CdQyBm9EZpsJhlMXjyIsFVzlhpLv1s9diStobP3uopIuQCmxbZxAsZoSHSYDFbCxzYR3SjSVX8W0
1D7LBvqdEI2rBQnJUlfQSBBT5WHpCvl7iQ7bRyvS6p8hKJLBFfM8nOxZq7QfrT4FngqAc2dCtz4Y
bA1QN694le3zNoQQsIV0LPyVY1xUGApoDTi1+VNqjo7WJ3uqg7c+GVkcvT6WkH9trpspCtuU1KsE
TKE/zOdGP4cFqnk4KUeBeIKt4fX8+f5Huz5xq1o8PiBAtV7t6i63yTxALTLnsPB1GMCV5RX6j9os
H4EltFF0sEim7493I6pmQLQANejSK3hzvQff7Eszl2MDhDaEZ1Ho6EXg1/EtB6D/GI5V8FnHVWZw
ciU1P0agzXVitIxy6DSUUe1GGn6r/5v56ytqhhWAEbQJ0pYls6jzw5fAGzB11IQuYVSgNz8NKbo1
tVW+R5gnB4wmWDsjr3fZZR7KQiD/CwEJHuVVHtrTJRHFlANqoo27Ssun6VGJxL9Os1lmAn0aUSwd
78rlcgfS1E9tMBf+KJ1GEQhD8mGg1TOWi2OI4xFE1oGyxl+CMtaLgLAeuSOoGutWvhxUttIhE7Fb
8JVRo0ryjux4J/K8tXhoxay+U4jXU9u8HKEuQisIrbLwm9QbS2K/9Jzttv5vnX9lRWsDMKDPvE2p
IwMfGWI2uDQ1OpxwLGrhwxR8DEAihXs2LtfPPzQaHj7WjW1NzH45oS6camWeFJZMyQ7LoBLg9hCi
loM8tDsEwxslNKpnlF3QjqWCxjm8HAtxxqaLYHn5qVA+BeFHsfosqkj7xDaRW/FzNn+0VnO4f+7X
D7Ld7aDT1p2x6sC8/qY3xz4f5BY0ZMmY+Rh4LUR1NxnF2rs/yu2pIYLHkdIZaVvPnYephUHUlr4U
QewC3Dy8REXtBPOn4mSIlVuZmo1s8/1Rb21G9Bg5wpBPeG43V9qgdKmxyGbpq8ZTlX/KtEdEanfu
zVv39NsxNm8DdZxiiAar9NtktsXoYamOxWyHgw2Swen3Koq3dv7b0dZf8+ZrtYveGCgWVb6lZYc+
lZ3CqGyl+oKT2ElTyr+udvCpiFUUCflW3obNYRbHfnUEJr/TNMAiCcK7jhmaex24GydMMnQop9Di
yCW31dtskupuKdLKD/UCKd/FUDD8C3r5OE95fCoyVflwf1vc2PLMiexYptxAtWz7tFhJVhVZX/lC
WUVeSN/bjrEL3dl8N0bh4QIFRd6AXt/2ME84UCWYFje+OsnBu6HXV7CisCeYdaM5rtNklsU1MqfR
tpXQEAC1p2U9NX6RUpUdP1VT9JyKn9RmJMGtXjI6z50yP6z/GyXLQdHXRmN3DNUGW/bBo5TvBpG6
s3FegWQXtwpVRqo51Pv4UVgQbvYpeeegtczZH4x++p7NaZw4VTLQjxtnjG+6WolFp6ctkLhKnAoo
b2n6UVWg0LlSn9eaPQWB8TMFG/GzmwP5cQjrTrbZhU3rzMmsvk+WuIGj0Fjoy4hjaRzULhonp25a
4JqzVncQJDRZ/S30shp6QpB0mEmG+vgn6c1p8jDWHvsPZaF346mpmlSxEflqW9sYLTk+hMawVi6L
IOWP4ayDp6h2+afX1ZN1jSixUe5ebXS2sAY5tarRqiKdKLZWHvS8eghE7IjndhQfClCNjrF0xmzH
UdTKdtuECgROcXEwyoyRRqmzHQ/56wCQV3tlIwG5AVhH2eTybknqiFwU1I3PZ+rsMlMeyrxzFeso
ZYpryOFjtkjeAtkrTJP3yxjsBERXl/Xr8BS7SC9BxGqbLRMXmWT2OJ77Yxt6Ra0jT9XHThSU8d/e
2OtAVA3YmmvnbStHXddJnwxLpfulWQCGydEDasggcrvpPGnunsfAvX/fXD0RlwNuHR+s2lKAeZW6
D9PD7iWaOdXZaCsXvyPbSP8I1pf74938ktSN19SBKhNc4MsvGZtG1I0ipw9g+HAgPSyflFj9d0G/
xYNMgFZgXC7qp7aGsTAUCnak46gfBU2s/xffFNQ2H5XePONstlSeR+qQljNgskZye+uoSgeKdTvf
89bGoUBAMY1uNRmDfDlbArRc7yaWtwPY2NLhpCfOvb9zne+NslnT3KJkEwYFo7SPHUVNoziqe2p4
1xuFrU8hnEYh9Q7+eDkT1cgi4Hqq4gdQRuECytIJy6mqgYGffZFic2dfvnZkLm9pThr0Eroo62nY
Fj4isYuLRktUnxAqd8ABLxXEOE085PF7OX2Z1e+i/EWkRC2qhdNRt2oQi9cX8Ryq0IeyvRfz1vTf
/JxtStQhZqyELT9HUZ7VoHZL/bmzvkCVn5KnsdjpsVxHpMCUCDqAEbBDaXVstg17P00MTTD8vBP1
5yktDDusgEMGRHMeaNMG30YkzUKelPeDVs1ObQSJd/+kXsUI/Abk3LDopQuIJNWmMCMrUQoy1DB8
nG0cOl1umn/7+xHoAPAGg0VT6SpdbikzUY3EWlrTr0Qc2lMOO4LNlbhzBG98OToAwEupx6x+0Zt5
tGXblwtr7WPO5gnKHwDAz0J8Vh/kOHNJ0//6WqEiQgcF4AZQN8XcxNxDLKTyIKQsmyk+ajIl9EKb
ICzqe2ZL14ce5Cw5Gf8EOQuG9nL1CjmtJDlqDeQphqei7XA6L+P3WL7snMSrEHjtJr4ZZ3vw5ZZG
hcg46bjYZhaR1H4BjHyoxr9/5NeRgJzQfOBPr0HJmwQiZoubgzRjhcql4Jl9q9hiGGZ2DxbZDbJA
eBi6BZlZKdbcMZgEr+8LjeunMA/3N+bWpJVvRwsXIDvfUFmD8E2yKyYdANcw0DELFbCD65w8/xLJ
hyJXPwXQTeujsbh1Nb1LtOJjNU2f6A+ugNcsrXd+yVV1b2WG8ViuoQeX4JYUoYc1iFhstXxyFPrJ
UtE+1JkxnmalSA8E3gPk00Dy6i40HoJZlh7uL8St4SGCrwIowOUpM1zusUivq8QqGF4YLc2l1OhW
BmFgkRjP2Fc+LKJg64UtC9rOtK9SyVdcFVcghc0Vgba5/9qmFLVE0Sy//4nHNQiU4GlS7Xyn4nRz
dqzp/xtl82zGHP44XEcR34vO8NJ/HhKHPsmfeq9Psx7FzVu2mnb//4HWq/bNxpYmGf3PhYGU0qZU
+CX7c/8zXS8XzQHSYAoYQGyvHP4SHmboHlrvq/O7IP6mUZSMlz9m8RBoO8nT9ZKhw8Otj4g9gCaU
VS5nEsxCqvVLM/mLVTqS0Ns9autC8JUSaz2q1D4FRxf3StzXNxCDrsgtnBqRXd6SWuZRiUYtlCdf
0j6AFyP6OBvZS6HveWbdWEZy4XUsWjurxvPl5NpebGcxMia/hn3Z1Ui5mgU0faD50kcprncqaq+X
yOWuUKltUeik4El/ettut6YoSGlVzJhcc5t+N2t7MrnDnVq1e9VOdQddGvv4/fPH/mtzFB6zH6Dw
u2PsRZNd/Zn+VO+rx8LZ49lfb1V+FBsJWRTqfFdllSoU+zYYk9mHoPQ8guiohPmIHOfOo3xrqald
wudR6ZRc5XOTmaDg3ZWz37aw18eXKAK7X9hd41R/Lx2w5rJvB9u8YL0JAUOfitk3lojt6Yhl41pi
eFay/N9C/dm0z4NQPZfVKd6TDLu1mgQdq4bGCv/b0ohFQVSHAKkoP9IfYkN4wDNIB4H016cfLMV/
B9lclktRwiEW69mnens0MB3Kxvmpf0bddhH2vtuNowj6mv9QD1t535uQbYLXaBlps/hKAug1/q60
siOKvwxlJ+i4EQGjm0EUgC8TaC1gIpdnsTE4d4XeL77QQI8wjuY3ESF5WjvE+G6XHYpsJ267UfK4
HHHz1qWjnKIRwohGv3imWn7oX5YaKVHqUaXkTuXzZOKUMtnysDPyaxK4uQjAJaB0BtNQvU4S4eL0
sSiPi//t2zm2vfP7p9L+8S5e3UwRirZj+zy5hPh25NROeHhID+n6Bzvyfv2q7daWbLhSh5cPX58/
ld8czJIO3wP7c2TPtmw3RxLoY3Sgrm3Hrmy/P3HcXMP9eLA/HJ+fH/99/xTZ//7+9/6OfOU33pvR
5mVtLHMyWsxWfM0uMWJ9eho8+TAfABA7lteelydgLu+sA+b2rvWjfe6OmubE77r3zmm0H4G+2yfF
3nnsb3/fN6u8eYSTtJl0PVx/07ugyA9NdcwpZXnU9vX0Z/MeWF67fNgLMda/dLMQ+Ajh+Ghy/PnH
5klJE2GcaykT/SShJh4Lh7RKd57k1zO3HQM1CnjMqy4EnNbLowLNVEwDrRR9CX/bX7lt8e/EjZ3M
/vr5Z2SLtq9+2Pm+N64BmIH/HXK9994ENDm+T8uIJqCvKt91Jz2h3+50du58+rZu2B/ocNitl39T
WGLf+df0lQfwerZ+6G3ZFTFMwBvW5m2Rve/jnmfBjQjl4qdtLntpTtLYkPhpYqYcNKEi7cOLNm66
ljglPrRz7CstuimquHMN31wTYMkKaR+0jy16SqLrL81KI/rG0L8M5anIH1rzV6r23+8v/vUEodnC
LUdCi+sR+c3LtQd22cxNEkq+OLht92xVg51XviK4szw4haQcjPb3/RFvXMZwmbGq0mHN0/LeSlTk
i5p1UqpLPups6pLjaic5cvLvmKHhhd9t/5gO40MY5y87465TudzZK4cajg5VaJL3LRRa0XqTvFmT
/OJZME+LKlGQnw/T/M9gWzBgu+JjrRf4gR3uj3sdnKzDEv8AGKM5t23NJVnPXd2bKJO3ZB4p4tg/
Ohwz43exsFMBua5NXI60uR6GSu6kBFNKX+wSu/8php9k8UtRp270GKCSf39atz8jAo9EQ6CWYLBd
7hxxMLpYS5hXOx+WdxaRApoxgTai+SzZVYFqu/Q75Jm9P+ytObJeNKhpHeMZs5ljbKG9pqmF7JsG
nE7Li7oXrHzQuevjn4K4s6C35sgWpfeOsQ9KTVtJmkaMEQE3S9nPYWCiSxq3tgqpsjYPGDXF9VkY
Ujub96Qmr8/+yvdfVYsojGK9sFnZqov0eUky2a/FMzjTPm0Pxfwp7MedsPnGWjLOOj0iIrrGm8ut
DjIlrvVG9qeqdczyZyThhRdXoO+48C3tMdN2Btz6965VrIsRN18vK6Zh0YyWr1fiVIyxdYmL1/AN
YI2gOPVUHwfBVVvLkSPDptJnC5EFV8Qt+WM3/dNq9VNgHbvcHuvWwdvebmPjWIT6Ea8DR1MguexB
S2/uAFCeXBersCS77nKXlwlyrHpfy34leElA9SBp3MIDkC7VXjjj4WtA8w92NvmNtsYqvIB3C8WE
tauweYSjWapAtQzsu0j7HYSZM1nxYdVVJ0cWf5O82haUyd7oHuEHnO6fsOsgY1VeYLfTHoPgsOWj
SlozLn3TywTlpoaEUFt6S5Cl3v1Rbrw7uNIQoKKBht7N1glibOrFzKOAnZAUH4Np8etFccq4dxHJ
RRpB5HMqVMPbncv41sqixQQNbiXd8jk331OPmrERqJT75fAP0qQjI8yCm2m2QlRsYlFmK39aQXbv
z/bmsKve1OsxAzEkX26jaKjlqm0E+g9wtOfGa4XZnXQcy7Erlr5VafVZFzw5fkZucidSvfU53468
CZ5LKBSpkYaaX041LpT5SOTSiXuumrc+J88ASiH4TeCbsllWJYuVIgkizU8COvApxP3u37l+EErV
wUnhML6vE+O4s6Zr0rZ5z4G7rOqBeNVCp9okdeKi0SXmyPpha4uHbv4ooztbJ8ex/IxTozcuqS3t
xBDXi0nySDC3XmSr3uxmMWdUEITFTBc/kxPl0Pex/tAKRvNwf2a3RgGLQmi0ij1encD/Ie28eiNX
kiz8iwjQm1eyrBxLLandC9FqQ+89f/1+7AF2VKxCEb0783CBuRhFZTIyMjLixDljoE5KHhTTkzyR
34+hJPOC1PWVE3jVClrFlE0IbRyJc5esPDHO4rKcnnRhSncmai94oxKuRJPLu2weIPqvlYXj56ml
A3bhndR1yfBghH60HUOP7F42haPlqf3K3l2xx71JyQmUCLOSS8DsYE1y4iEm9+RFiv4916xxJ6Fq
4LSaF1Q2qKJoc/tjXRZlyGP/Mpv+J6NdbCPMPFbFs4ykC+AZQxZeEzBwCY+jkJdNt3IxzMfo3OUN
AqbKCDjPe+Z5FvdnkA0gRdGVeqrQMDRGXu0D7/Lok+b/nsx7JVo5YpebeW5ucaqHUugRG5wwB15T
S0aHA+fU2lv1772ac0NzePnwApTpPKmNLxrA1/KfSZE8BGE02a1sy0ZgC8a9IGgzdXTrqt63Xllj
8pl37WJX534IVBY8tZZEPoZZ6FZMnvuUMj//a/SP+rci+R1DGnnbVS5PHJW1efiL8WtmsZa+mdRh
UApebD5Nlf+eMh/DReelKzfcpT9ihFHPv7zoMxrrfCvREBkGM0/NJytJQwdgL2ui18xoUNP/X9bz
wdTCG/U0M/UCIirax2ZmG2qRbcMBLur/w659sLJwwt6foi4fWZDppbummewpX6OJu+YAH/ds4X5Z
ZdZZ5/NhUmOTCUXmpCABWuPV1BN4maK32wu6dqo+WFu2A2c6oFz32DZJS+qd1Xrtxp+aF6R8H+Jq
XFPnu9IYwCHoWcNTQVnwUp1vqquwU0rzaRyzjQw/Ivpzj7UlbcXI3EzdndW0+7irjqrcOuJdPCZ2
2Ep7KW+/W5H3tfgUd8ZvtOdsZdorEo8fWoVBLLmpotujtzGgPMML9iPDOLlqd3FHSvrp9oZdfp7Z
j5GkN0gsuBEXd8hUhfDNg6aDw3JWVA242+VNg2SXd8xUcy3GXintmQZ3Ij1K8lIe7Au3VtGjsDSG
Pki+v0TWgQn0NH+paU4GFeS4YTs63tD8UYRTkMp2mwr/TAjBVPFMDkxSQ6pBQ+f8BNfCDDkXCuWp
g212Q49csdVIXMOGXXnZMHGBwBUlPoaCSMPPzfilIDCjF+pPpVLYWb1RhS1vPuOzvKur197Ngmrl
9Xfp9/TBYJMzYTGBTv3v+NmHIG/lTHz5XgVEqpNESjDllwKZtVqMvwml1a2kvZdoUWD5PC1gnaDz
zi4uwobaxhBqhTqYw1jeltlEZ1/O9gC/eN9a8jvgyVkCFc0ovUuOqce5aJp4r9EL88KjIhcKRClJ
dadK3Xg3Vtr7bZe+AkhiamCWCYY7ju+8zL7MVmKozguMJ9+U7ntBf6ga7wUGBTu3Pss8g3Rz2uh1
e/DqZAdPcao+aMpdLZlbqXPlNfT437z1/Aacf808KAwCfkYJnftCLwy95XnATOTPA4mFCRXCNwvy
dIdRU619D39KvWOdjPZwexcuDjbUicCy2G9uVyhiFnG31WO5hkvMepq6bDsGX/MUPpv8ZEyv0F/f
NnXp7ue2llG3BMZJOwZbCuR6n70/lTugs71BMrM07bURo9m5zvZzNsbYFu1+kCegPs73kyEKNc2i
BmOKvq3zF1QwbCGDVJveSv51rYB+cbAW1hZXviJ1fkH0tp4y/Q8azTYTnjAifJuoxd3exIvcAkPK
zCcBYzroWX3hJlKlj0JiBd5ToiNazjUsB9+tdo0F7dpy5qoXFtg5zJxvnt77EdoTofdkyJvY2gDF
T4N7s1hJXq46BOhYUFV/ObCXkP+K5fWJgZkJtMHzdGgq20+diJZWlzj+y7/vHBU9gE8gxEFVLDxd
jFo1KoTI41lSQa+zkbJ3JV2JKfPuL5yOIXXWA8Z6HulavIdl5j90sfCFJ01P602v5YKt9HJ6vL2S
CwWQeZxz5qgD7Y8lppLOP08TJWrcBonw5L1VJ+lVlWh6Oe1vpOrGcXenf9K6LQPB8Nqv2L147iPd
BEcvrP0zmvlCNpHhqEpAC0x4EquHiA7/qGnoVn/XU6dDalL1NnIBAE9acfnLEMUb0iRQ88BmkGLJ
zl5ZpRBqheK7TLnb3fTLamq7a98N6auGtOvtJV5GDfov1HwJGGwuvnK+s2XURbGQTYHbZ7+HUHo1
20cxbjeg8aBzVDe9uhJ+/wI/zz0GW1TD+H8DhGcC8NxgWwV1NeVt6KrEp7T+0Tqx6JbdPIQFscr0
0Gg/e0gp2/YT01J2ajE9IjT3cI3tw7lN9BXZJQP14dTiwFR0UdYIeq5sPrBHCjxzNsZ7d+FqaGPr
nhX2oWt6D3HhUyDTdkL9u/C+Cm2yEg8uCdZAJM+cgnjYTAe0HH/rNFrMHjIebta9RNk3r3+bxocR
wmhPr7e9hEf/KgU75P3BQHr2M6tcGTpO9UtXKFBNoa2pIELTzPMV/hoi+/Jkkw3i9zMVLzeGunAM
sWHiakyVyJVC4NJ1RuU8GTxr5YRdaCaQc+LinG46HUDMl7XuafQo9EKC4moyh7lpNokYH+dXZAE5
ny+cmrw8toW4Mb54aAxTSZEDECjgbFOf1l3yhXloR+B9MRbbMdo1f8HcA3xK2iYN187lHDAXrgty
fJbugBkBzqlF2QXUpmcEoxi7beDU2YuaV7ty1nPQ31u5P3gpck8rge+KM4K/5SFK44l+7HK2Ichk
KZkMM3Yr6y6oXqX2FPp3Tf0AKH8lDly+QOj7zP8BrGjO/D+L2wI28RKSZy9zg7zbAZu2wxiZYFba
yxpKxpVLEQE39Dbx+Fnyssdy6P55sewt5Ae0oEBtM0WyiAxhbBS9V2pPgmA54QjYoobOjK6HnOzN
FcTK5cZC2zv3u5ijmt8Fi0/p62NcyWbIvZVpzS5MBcAmgyY/eLnEJJdaq67argqEXDcK6yYZwMxM
OMfiD4+RKQmmNDRj4SksJORA1KA3nczype2UgPwXx7p2GsaZPv9rhAcER60VaAXH+eKESbneSYU8
CFSAzGpysiLUdIfnu1kR4fPas+vRs+iehmItbsF7pfLKGb/iWnR3mHmiiAgKGEGh83VTn0pVqZ/4
BZ4f5PaQwAAD8Dd4yGgNOF3GQe2SNNsI0PnaWRrDG6tXB1JZea81sKHd3o/LhBJFSNJJ6pkzhfry
kdYHYZYhGpm4gThI20xAkRKbQAKKdi1/uGKKoinjsYAOqHkvZ76yngp3FVixWw+KsolnbOlQMepW
DuMaQeAlVw9rgtUKoDV6AATV2fk+OFcuADIN2yh1C5NiMDNlZlnDIFs53b1OrkLckIc3zvEDQaQb
N1llHJok3Rf1zkAytqqG3ZiW7zVTw/LKWbt86c2aOOQWsN6R+l7suKR0SRA0aeqKnrVFedQOpX03
phuvYA7mu1S1jqHtFJQLm31j3Cep8M9fHNY7cx5HRT+L+LI47ERXtZFzI3U98U7NVM5csknXWkMX
h5sBE8hS4bAxwc4Ahj3ff19tOQOIX5HXqHeBKjtt/WxBS9NqLh3o3W0fvnxILKwtlqSpQtv6o5+7
k9kdzbK3Re9YDJu3CL5TCGy0J1lZyxQvk/DZJmn4/EDiIxoLm6RjdWcNVe7WsNXYgdTl20jOnpkz
/VGpY73jsgrvoy6EYb5Nx40y1tEdBBAwMotWvim8SPgRZMJa3/ravlNFh4UL/jtoSxb3lt8pYzN2
Y+7SOcOLQoMh8aYzmHmIvgd9Um4ndZ0SU+ZjnmUCbAXPEUhUKZiRpC+MVmak132t527WI9Ck1ap8
9FVmxcs+9Sll1f7B9H1uL0EQNnqcevd6JnzLJaM89mVj/llxhjklvfg1lFFm0BaUrsvHq2j2PQOP
cu5qL8ZBuY8Kykp2Zw9/FLjc7fCYNzazl2tA2sv+8rwJLF6nnEdr8m817EPEKUSI4o1Szd1hyg+l
pNv+czUWm7qrbQspxli/ay3EzDYI1t1e8NVPPr+P4IsRUdxa3CdWOEJsMvmFK7bNW92O0dYrYcGQ
tUndR5loQIw6Ze+3bV6EchYL+yInnEKoeTE/qwlg5oRpyt2QyjBDWBESo0UrOBUTYNvbpi4y79kU
DWZgeOR+PELOI4k+jTW5llS4hvddkd906+3237948i3+/uIcS0Kg6VmkFq5sbLzPUYOOhV2VTpbs
cZTbpuZzsPBMpuPmASBembTbFl8qmaop8hKjcOM/xbE4xbFtbsrWaV8D9f9paf5+H5yxl9AHSyyl
cDXLNcxj3m0aVJ7rT+OLoG2kZiX+XvHAs3XNJ/KDtVCe9D6Z16UmL1q4lbTn4Iefvq4WIK58qnnw
jwyJG33+57mdEiG5WDNHPpW+GeHc7f+UZEyi/wIVqRMP5eb257rieWfm5mV/WJZpCSNJIOYmFGWj
13YNynDNHUDtAaOBtoAkTDn/+5ZgmllI6d9N5MoW6ld9vIu9P155lEpH1yang4vl9ooucw/KGjzn
eWFS3jOQYDs3CVNj1/gxzs7o8lQ8hkjywKv0QLH5l/cKlUhuHiMYCNYGfq7tJAhXGDcp9aHhujAr
U7Rk4BAHMbP7QPC3KmJ2t1e2ZmH+9x++VR2IEMaZWGCiUNimsQ/n2EgR/7aVaw74HyIg8BRkb4tY
QbYErAXqbheuSek1UY9KzYzgIRr3bbtypmZfXsYKWuE6hO3kT5SkzhekR8loxWFeur6+C6CcT57l
FC1vYwXkfG3fPppZfJkO1ru8rmczOEKT3QXy4faWXTPA6BWTJXAooWM9b+mHDzM0+ljw4Cld06wd
KX3M1nP9eSsWW8UJAo1h8ooEbbQICwliqxp1qso12jukUJi10o/9JibFV4ydGJ4k+dCNzrAdDlb9
FgbqVraj2O6dqt1o0o62Sro2dHXl4539omXkyKIyrQeDBofQHMRYnH3RzoI/nfjP/QDqZNAusHy4
JZjrXPi9L+QkepJRu8MuMt+S/qFY6xleCe5nFhZXSZS2DTImWFD60RG7P7p5H5LPSpGPdM3zbWeZ
/9biSzKcyrOcFiXciEvJqUHUk7JIi8ZtEVhxqDUGvBui5JBEYCj+3RROyRQnZEO0QxdpRa93ZI5B
3bhTLzmq/ChFFB7G/W0jV/wAKoo5E6frzyFeOD92R3MymsZNIceOU9hw4viHkY93ZV+sZIGXZYW5
YmrNMkZUq6ijLmJT1NeEWFQoXIS67qV6Pxo4v/qiGC8Go4epGu1iaMA9QT3Ugr4PkjUu58u1wi9A
dZ4hQECdcFyeH3QVamrERMra5YeAx/2dyK+esBkQrL+9p5c+wrsZZO5fSlZcfuGPqHCEEYrPtSsJ
SFFkOYTc8l7I1yqAl6EezBwLovo3K60vyX4blBrkrJsaN1Mju5de8+ioT86ooA8xZox0Hm+v6oo5
KmCMjYKn5z/LPuzQKErTx0pDQq1/FtodIL2udsT2tXKmUlxrxV6eaXj5/mvtohM7APcNIqlxyz/+
M6T+RrB765JkLduYP/n5cT43s3BJCQJqNEPGxtWzn2PEVKxxX5XfJMQuvU0Ykmp4qt1Ev27v5BU/
VJDZoJbFPzgT89o/XDh9Xg+WkKqNq+5hEvrUPqyBhy7TNlb1wcDiUMPYabVxhAFIwxzdkWx9o+zz
Tbi7vY4rfn5mZv4ZH9bhxUmVVqgiuyEiuWp3P9eivGLlMF1xhBmDzUsZQhamwBdrkZK0KMbca9yk
gD4DspmeAqiXge5/9oxiJbpf+TKzyAqak2BQKP8sjDUddV4z7Ft3jLJfE3xLEaC4apI2Wr/2Jr6S
6EKG9hdWC4Jork6c714zinqv+nLrBkf/qTh2P8U7NKb3zV380PzxvnYr+3ilAnVubxGVxNQThkiU
WrfZNUcyj1f1WGyZVzvCb/vPfnG2snmXP/iF1ItR0SgiltQ3yy/fJyv+Pvj/jkehegTOixo5BS5q
tQszraYnOWlM6/bRoxe5muK/VNpWEO706o/eQ93j03K0pEM0pZDK558y/3B7nX8nexbRg9LtTAHN
/Yke2+IXTKIHB3abt65lJhAB272o2IF/L+c7TztN02ZKMqcy7DGABPvUUIMrrIc1XOrskrd+wyKY
yHLujdPQtdwClGqbh1ZJHsymPtRVyXTM9G0S1/Rlrhx7mBh0immgcrgIFjEzb+W6B63duvJ4CMbf
WRHYRb5b2dorgfnMyOJx0WXw55vx0LpJf98ZICwlZ9AggxE/KcM+8Y+V/iV8uW1z/loXOwnoFp8C
EHaRpOdylOopPLS4begoqHMi7pd98bS19spVO3DqwiNJNRKo7/nxmHQrSBNdad0wsn70SCiagfCe
Rl9GdY1B6mqMARDxv6YWMaadjKQHNd26xY60oNk0pl1Uuzzftb0dJBvGg6pmM3xbkz65kulxNHVl
HtkBqIqiy2KJXSRNYsESrSh/COPHps22JYQdtHI24Gm2/UQ7nN8gdR5ka8ObmNXu7Y85r+ziY374
BQv/Eeqh0kPEU92kq06R3Lxpwdp3vHoOPphYfMc2Mq0+A1LlorWwraXAtroHVV9Zx98E/NZCFp8w
bcsRRkisKIfwew3D/a/3QLLDrQzRfGmnAJHuu0NC+Zgq6lda8vWh+J2/Z4OjMz+BxiU94MGJfq/i
UNY2eHGdKF4Q5n6La41ytumkrdGv7e9174U2kxE3AL3oNpx7kQQ/oIEoHMLtsq3GjJgPwaY6/pSH
XdvZ0Y/4KH+67TRXT+YHg/O//3BxhQpsR6E+r+kuOQ470emVlTfdZddvvrQ+mFiE67YPRTSRrfnK
UF+T8jH0oXxxEBwsmjtK90ct0e+y0FGZi2JW6ik2tQdf921tqI9iQV9f7WxVGG0N4UezX6m0XEkb
z37bIvtJSvK53mT55bZoSsoTz/qzFL8xP2kP+mms5JUXxdUwAdqXkgv6yHAtL3w7qOO2VgS/c9vm
kzgCjLHCRy+cEVry4zR8yijcT9QAU7HeV5p4GIJijfTj2hcnfwDWylwHScviSajD/Tbq8tS7Ql/Z
ir+v5d5Wqp/qmjLLtVgxS7UiD8PAkbbEEWY1FECxJfVkKZRZKK2/T+W4knZdywQQc4T5Baakmcfv
3HsVdFQq2YgGt5zKbSQ+GPJ2aE7D4G2KYbsmpHzNVxgLZuyURxottUV8Ta1W8GQ9HVwh7pw+iPYa
87lE9LLJ7rvIsEtY4sVxc/t8XnsLfDS6iLiVQBs+SeOB19rvIN4ZBpiqr3p+5OF229DfPsci6pJU
IlI2owmBfi48s+9g1M91LBm571Rh7WRmdWjF5pXx+Y0Xv6vZt6yxy7B2Q0ZfUeXe69K3IvyRC913
PTT3EyRuepVtBylxCsXblQjsti9NibCOmK5l9lecGIw4xQCQOIZx8ZKQtCBA04dvkYqHNt/oX5GI
9IetNSZOmrw32/RnyAz8bzjrBu9nUNrdSmFn3ozlZn20v4jTcGAPNaAzfCGSj6UhvJhDvpZqz857
YQO+EZHwSYNqWUE1qlBKtLIc3IlLAIXS76bypGvNY5q7wWTaNfNeefsHuPzWmLS1DZ6deWkcUvi5
YQ1cm2rc+clKWq1VFa8f3aS1ekc2x4OIgiqT5Ir3KoTdu6hAXuU3wj4s5XIbiOhht0a0GSapX9mH
K2dcg9QJuDhVd+r8ixuqE3j1NGnEL1HFb2X+W7TaE8rETi8w+fZdtNYGJK7ELdCOdOnpjVD2Wb6+
IUDW1L7pRlqPhSP5w0Ettp3RO0OQ2FMAMap/B7RvLH6k6peqtNzqR+t7d0m0xlx2OQrBkoF7I28w
dyUvNEfMrDYTv55Gt8ncCC64NrBl5d7o9qaxHZtdZ1j7Ag4qGMiP80yvGO5EuGml35nmr3j7tVuL
4VFwI/TQUa4SF6GvM2XDb8VxdOv8vi3IrYqN1dkTwMsnudsaj5P51fDXGHeuuSB9G7oH5PNABhZn
zBOmEVLIdHILZFkHlIODFq0clJ4mWgWAK00KjLId+5NdIAbvGdZaQe7KF2AAY+ZpQ6SVL7Cs4+th
PlSGpkxuGX2B1/Sh/sEW3ZeRVTplD1OUVziC6BSjzbhMJRz8Fpoo/1eXZb+C+P12eL4MOLAOUj+G
9ZTvwMjs+Xk0lRGFc1mc3HYATquX0xFmkbWO4GVUPTeyyNSkONMC5B8mN2nucpibCjpc21Uy7GtW
wKpDHAHXDJf24koLul5TqqYSXS3yndyQbQhu/iTd679vGKPOfDcwwtzXc1j5kNiaEfqhmlCKrj6O
971shLaSms+3bVwpMDH2zq3Je5O5LWt5LoQKCCUzkaIbtHfecEBkLRQem+gp8Wo6ucpGsXwnUNfG
gq/5Anp6dKgB0s318POlyUWEUI+HVWQwRxtOynhrABRfyduvfSZIYiG7YFps5ms8txLEhpYQmUQ3
5+9XsbcHvveCoPePIgi3t/fx6oI+mFosaLKyRGwSTXQlddp24yNyBiuLWbMw//uP3oD+sVKWKhbE
EWhhmduWkqzk9pcXBzWUv0B5Olf43CKxDqJQNiotFWdMTIyYn1g+5tK0spAriKbZyn/GmJmGXGYF
Yd6lbWFwerIOqjqLN1FrK3fyJrtrHrPvxYq5y32jJKVS0oCTCsTPEudjBHUnsSjZ9dFlaKp9girx
7W9/uWv8afIMKpqgLYChnn8ZqxaEOqoTxRUnsHpJte2Z8EvBZ902c+nNZFI8uOaGNzfYsgExVJRo
82ZS3bGAYUc8Nkw3TdpdGK/haa8YIhYwbzTzR/AsWcRQQ0jlro8l1c2achfp4anwzD9KzSxJk365
vaYrH4dHHIJwUMQyqLLslvJ+y1JkUwyXm9IOxO8FgfS2hSveBoANTDTtQ3q/iAmcf51mVLVsanLT
NcDppQ9NOT7XnkTU7i27jtqMIRDhhxb2IC6GRwv9oJUfcLmboFOIQIy7zLFo2YELGYMcJjW03KB+
bFsRdY9HvaKEF67gf1fsLHtvw9j5ddAFlisEkeOFkd2B9ZWtY5e8397Ry2x2XhDan+wm7fRldjmM
olyNXWy5hfU4yncUCmwPwt02+yH50pGB9E+37V3O+87uMT/AGdJgRsxYfMFc17IYgh3B1YIGvlv5
UEt3Yt6fKlNkSLtzIMKBL4yZ8Udregb+b9fCr6JXSGRgjwFCG/57Wnf+g+ZP8SEUW2YjG4loCq78
XCa28FVr7KPXOP5rdtc9Vo/C7vYGXNlw0Fww8NCFR+NqueEK/OJzczw4GbmwmYQfcascKqHchh7C
Kj0QvFUo94UvYYiJRlICUkf0V+c6wocFmlrve7JfzmIfL9aIgIrgU3LuDOFPj3L67dVdtzXHNJ5G
OJR8bqup2ioNzF5/ak1tvAvr+s2sUQusysrYRZqSrGzmHLzOXoUzpQtDAmDlyYt5DZybqwo0cZtK
gw2/2xQtkgL6vqu6F1X3PutdvGbtouAyzwrPMyG0JoGziotQ6heF2tSw1Dy1xlfd+NKV/r1W2Y1R
Qo1O6Uo1HbVd29DLFWKT3IoTSn+N73i+wqTycsoxUF5U3QQPbtmcyC33VedReE5GzdEshsxuf8PL
Izqvk0MxD5jRW1rG8T7OpKKNG/OprKCAxuYhN/R6n/uidADbca+0XvQQxEKzj/PsW07JwYGGrrC1
YNJfcqtEFrI+gUbyXE+fkk3ZrdKDXVzSKq0+7rL5u8NruITMGL1ghbDvmE+R0DANDCWZ36bQFKQv
K1uhXDgYhmAhJ7MlXEEncb79qSB1iKD6MPE/st7PU7OHr7pDUbd5YyTGDl+UP+ORmqLarFU8Li5T
ljjzrvHAZVIYRoZzy3VlqUHXFpDwR0m/kyoGF5n6M1dyxMsBBczwlCY95N3Adi7SHc3yC69KVOvJ
ECv9++i33DVSoFpfDXmq38smJUiPvW99nWCoKO3WC2PfFog1xW4Ye5hJ2jAwkkMw5d0+rcx+Tcfj
2jYgoIOcN1ohlAPnf/8xePm1mLaztFM1+dMD2le5Hchjv1/5zlfM6NyAzCUAGqbRsdgGPYeHopY9
hsyNprifSP4tW6picDVoydr6pOf72BjNrRr32pOkAJXO9MJ3mj5tt4IZGduilRPEluM17seLmAOw
cybCnquLM1/bIsLV5VDEYhSnbirLybMaBtLe95Lm2fOl2glCZh2ZDILD0yxH5rJgxri9MRcH7a95
1E5nnUngx8vtD+CobouAMSQjtTZZJ4bbePJCiprlP8MhdaKNSeao0fyVkYY5/9JjGSZQgZnBCXGY
/leSkuB3oVQdxjoRGZ8J2h+3l3b5WMbgvLnz2MD8bF28yGM909ok9MOTXv9Uh9cejWUINnfhWyEj
2BaUO09wBHWNh+zihkTymJCFkzGNQYRdeJofIORWxmZ4yhS1Osil7O+qqVG3sV4XdjhmayoUF/nG
wt7iRu5RlCt4trNK477sP6FLGjMEolGjdVJE1W7v6d+n/tmFjLVZuRMhAZSM4B04/4h10wRJTSX6
1DuIwx2sbbLpNhD4bsxNsoEnFBJzwdn1NEW/yT/TUys5Wub0a7Do2criV8zUmCLpLFO5iMCf/wpB
QnyyZUD6lGoU5TLkeaMOmhRVe4dL9T0OfHMlD7nyUUnpjHmyZx4kXB4TuVVVoWyT5KSED9KEZPd0
ehvrNcKhax57ZmYRDKSyVlEaShOEE/w9U2FG5t9LfrjP423ue05C97tVzEMhmSvP7osoRDr3cX2L
LARlsGQwYiE+iYjLa8N9lLjlAJPeiR6UDSm/HhXb25507RN+tLhwpF6IG5XDmZyq8Umwqg1iov6j
UOwqtOZvW7ry7ahooyRPSd/g8brYVENABVIO5fSkVhTUu3Cfhp+VtH+a5Hpz29KV78clA7XoTCRE
jrUkqTCryGomOc5PY27AXaY57GM4OEh8RWl0kCQnY5pIixiKWzE8O/z5gQDFDE6LngXDboSf8wPR
V3ko98YEZU/dfC8HZ5zsmrK9tZODbZMepaS0K3EvhclBX2XTu9zfc9uLL2klDWxgooTt4SWAJjDJ
DmnrO+OXlTVewJWY+OEBOzuqRsdwyXOdRXljRnGZnwTpVGuQ1Nb+fvAeIuueijE1UZgSTprw87bV
vw/xy539r9X55HzIT8YxHIwsz/NTR4CL36oX7T1+jtzuXt3AUuvke1DVD/lOvGd01x0fiqdom+yn
k/hJ/jTum512XDuql/H+bBv++uCHH5TOpYOmrfOT1AgbAV4ebVCdtDpKIkIrU+WgMvrt9h5cBodz
i4sbrQqGyBcnNr6rn32RMD89ZvWuDDdh/4Q+IaMW+9sGL5ISsjSwKByiuWAPDcj5njdpkXVkLPkJ
biCnk4SNb8qHNFtR6rlmhcuD/3KnUQmcnwYfNtKqS9Mq86k4KZ5NliV8X8XvXFaz5nQTf0UkknIW
EMZzE54/ZDzXg/IkeLAn0YToNj2Cqrai1Mq2Kfnf6iEWN/mA9GqiDOkX5n1Sp/aN4nh7R6+cUTqa
kFgw6/33UXX+Q7LRC8latOIUqj3vtVnt9I5ZEiji1wgrruwq1QH6xxBn0yc3F98uL2jUUpYrTnk7
2pk4nCpwaBGDI7cXNO/c4ljydpo1OCmxQlexyO0sNY21qUvLk5kl3a4MRIiq22lNQ/yK5zNwSlMW
3jpqgksrdTCVcRWO5Ym29U7z+juoKp6jeyEcv0mC+WNMpn3pr5y2y94nScZHo/OP+uCXQe+PbW7W
5WkU8mMcfS4rqmLVXSp0dlYNtqG1AMGPQ+FkgvDmV+Hp9s5e+4AM2eKy9BTAuC+ORScbQ5B2Unny
Gm3XDo3Tde22EfKVu/KqmbnGQml8VlBZ+Ik3UdOyCrU8BQIN3RKcndCYu7HQf91ezpVwCXL5v3YW
t5MZhFoP3qE8acZRLiuG4V+lDMr2hzxxmctfgXfNf23pluZMNTcPpzLvtvh2ftumcaBV1Wmos+ZZ
zSP9c5vHlkPXEDmqXC62kRStkdxdCzOAJnhwzJOCl/RRRkKptVTT6qRFwUFsONylrUk/qa3GyifY
uXhftVO2F5I17sormwvfN21VAEp0PrXF5kpAFMwCVqTTpOXoKJqvXWnmmyGLnzUGWsPGNBxLoBN6
+5Nenv25OSBjlHcINZTZtT4ckBgQQpoIdX0ajQrEhJQEn2tdj55vW7mSzM0yqSR0GtUJSrkLD83K
VBTCVGVx6Rgf6mDU77TSCjeKoPlQ8Yj1p7zsh8+R0DK/rbfCLub9e1j5EfPdeu5Q/AjqQwjXoQFA
Z+x8rXpsNnEiWfVJqUrZRvucmltl/ZCgEz5OI8hGo5v5QzwtdfKkzbeJX1lUY6N/HuCcS0hUJ3lN
05sBsnX+O/IaqnqKJvWppRKxBTzSHKYoLVcu/mtf9qOVRabRmRVNq5DiIhS0/ZY3C6RrY91sb2/q
5SGd18LFO2ueQdSwsOIxzV2HKXsqteW90ngRVE76z0gO9r7va06gtysQn8tYh0EIMTAJYpvzcr55
chmmimBhUBNHtM0D6acseTkj65WxElXnv7RwF5jDeAPIAJdmNMK5JSqcBiOMVXOqq1/d8FlBaDN9
q7yVmHplA8+szK+RDwcwo/I7KGXenCjdoVACQ6EdIFUMyyFEvJkaMxaSGWuENUvfIB2hKUxrifsY
RvllBW+smPizWq06gZvpnaIoKwrkgbryEL6IpUszi7XJTZFNQ2kCaDdruKAgQ0IXu//tISIq189G
8Hsc6yOTLvk/+sjS7uLanfpiSCgVVydL/9xH+2Z8G6LPt/1+jhUfneOviXkPyURpNSwDmq/SGU5q
vz4Z8Xe5RnweOCla7FvGWeDyZrpG1Wx0m1ei9V9F6aVZIgdglZnjgJL3ubeUU1oVhTcSrtVd5IZv
8jf9NXzs7ryH7I/h+Hc5FSNU6Z36mPh30bASUpa+KjOYQdiiQ06xaG7rnFsfURv0PI+2SpjY2s+s
D46RqW9KSdvoqrWSOl0gz5fGFtG6SAI5SH2pOVkJRaSdCFMAUn7ZyNhZh9iWPQnxeDcMRKeDmg2G
vhXkrA6cpq3gCNUMzQv3nmR18/R6IScHr6wN00nikOk4PUSwe1N0tTgdZD0B56MUep045dRNf277
yTKIsAoAoHwpUI10RZasWbwrfb1Jpu6kjF20F2j/7OMxuGcIKTp4Y5Wt3XFXPtF8sLlqKeaBYFgc
ubDIeyVNkv7EZKD8GKaN8FaPqXHUwz7YekJXE16KicKiWHeOEhfCpigUeHz1qHN43slOPsmHqCio
NQqCfIwwRuqVrk7cLAsQ7MtMyKgzZU+WRSg/dyVfGNUB6uL+FLWeZetyfq9ZVf0tmaTqIVEixR4o
E25LPQ+PDO1IdxUCJSvAyMsjPKO/5vY68C9u2UV8z/pMKfJc7k9hr/Z3lH2eBKgUvqpV0WxDYcjd
NvTeDF95kopujY/9byvy/CDPLSQiP9V0XrVL8Hsijwl9dGU4Rb5culXiDTtNVkbaR8HkkKOIu1hh
JLCVhO7BmhDb1dMuOADzLrapX/Q/oiTKnuJGkZ2oF6DnTLSeAgaKb8pQG3bcI9+YBCVxtqiMO0Ty
SlibuvgJ+sPeaSz1fzj70h5JdSztX2SJHfwVCCIit0pyqe0Lqlt1i82AbcAsv34eSu87nUEwgarV
LfVoSsoTNl6Oz3mWxMeDCCKzTWIHjja9OPlMI6Wp9ESU8yoboQIQPg8E+aE/VB1cqOq62Xl2blwP
6MZCvhfSzUuOvwbg1WkpWabl43NG/+kbI0wnmLFmn2GjdfJK43lMgMYyIiSCr/iFt7flxja5CL26
IdAkhh/NBFfd2rCf7DJ5lY7+daTlU6vuSoKS++1wV/nvstzRel947+iIQ5v+crm3HNp3o8bGZ70o
4EpmhQVEfYGQDZhh+g3pArNrzoQDtpJa0U7s68v+MvZqnVu16l3p1uOzcie4iwkQc2YjVOzYkx9V
4gYGTcKphn6H1ZbHIY9czQsAmTbZHvRxa9L/vG6gRgtmyTp1o4U2KzFKfO+i98FC1ZAHKHD6pvY3
EBc7ycfWqHFF4ceiAoCm9GrG3Ym2ZqtmbLCCoPeY2PrJllT+/TqCzONSozHxfgJX5vK7emZWUa/w
xmensmOVwXnXAkHwl0Uh/fK+8x03pg9NOAugTpxXODuXf/+QKTZu2qGJ5EzPeSdOeWb70vssprMF
Ys40EF+n853d0k81PAQz9J0x1olmfuOeWvdnDeB3Ldnx9k9a5+I4u/FQRdEBTSwU5tZzPI0ysbnI
5+c0sfA67ccWqrmAH+cTLuLboa4/54KXBJ8Cg8flvX4dU9h5mvVczc/wcR38HMn/IWnMOrwdZSPp
wFWE4wjaNwDKowiwmmNl1yTNpf5cpqo7MJZ3Z65Zjc89azgOEzHiCY17iEKnaZQK0w3BiXdDqOt6
oa1mddRZ4j6UtKmjNKvEY9cw/ehqgxtksod7ZKb3Zkwh5LuT8G7khSiU4GixUeoFy2KtraE4mzzl
FebzlFYhKhbWIQt7+tvqfYdHNuTXpqDw4TEIGYw8hMBi/XVe9p30+V4xceOou/wpy5f8sEzRF3eJ
XeGnOHdOUEdZ+Cx/wF02EnupzpLKXF6h8PpAHg1QxuJ5v5ZHMelQDrpZm8+4/vzqIO70sIh+mnfJ
fR2Ur7cXxsZKRyy8+HCUQup2TWeY+0ZLHR2xOuT3Nf8MQ1VJ9+BL17niH/OSBVKL5Qdw0OXMQSJV
ZW1Rmc+yfId+X1RM7YENMJTM9qZuOZaupg7pnA3v8KUpsIqUm6bwOqcxn9k3h5zcgzhOxbGWEWpq
5G5uguFk6361Jza9sYdRBzVASAImbCmHXo6vGHIs0ny2n6Xt3E1isgLbLunhr78UzuHF/XNB6Xhr
xXPTGHJrLKX33OlKhm7ZMX+S8mHu8j1T+Y01gXX3x9EGkkfIZC+HYxmKGWNqeM+FTfLQdvMutHqr
CmkDWZvbg9qYOTBONQD2IfUGOtnqMtPMtquywvWeibAcWJkYHtw6xz1ntM0BLWc5JCiBoFtHcUlr
dnwk3nPVmvKskIXmuEX64ksHS5P49oiuYiHvXbxZgDdAGQXtjcvJc0nKGc8ZfW4NrYnLJG3MiBjw
RPclyHm7UqLX4QCWQU/XhHzxsihWOVAO+pvHXZcg12c+hV0OTb675gBr3+PQV75Zzs+TiCzwtB0p
/FQmR/y/DoqgLZnuoJWvviXWP/Yd7kswgoAiXn1LfaB23iqWxlMD2QsYWf0u53TPZGAjCFTHIUqM
FyD4BuuynCfgqk6ol8WfDjtnx95fXq16jVAd1z7+MjKOYO8auzoBFxjMh5+9nFsf7g6365sKvMYs
nvIvOEnOtvWJfC2hn91CU47NkWmd7fKNZ091OgWGfEwN7X50AunRnaR564eAaoDlgpcJ0Mer5anp
VdsWOIzjzipOWc5AopEdBzXWrf0y32PZb0RDHQ7/xUMQ7fg1qYokOmFQZihioWYfGxOgQhVqGWTb
D7d33WYgWLUgC8cFAoza5fzizOVlL5Mi9jxyP8/DiVbzP4VXBm66q4awTNHFHWP+MbtBX8EEigIv
3ctYdsUsDyTbIs6L7Hnk36r5qKnXnh3V+I+NRFFz/EKH7ROoHDNqZkCLokXgS7jCF/86hD3fHvmV
OANOGxRg8C1xi6MZTldDr6ten1pNlfGE5O+Yt0Vt+pQO3OdDdkcLWr+MI1zGDYqqdaE34B7bZXYe
lD3cYyqzILXbXSL01TWMa0MHXnmhJy7av8up9XG5Uw5T5NEq42Rgb7D1/FR6/WHSlG+8NdIMzOZY
o62M7FF5Wgat9dlne8+k63RtUdFDgUpDzwmtX32V8cKUgGUdXMHixrnHE/apKGNRHjPr3Ljn1sAy
JMC5aKV/+3NsnMd4A6JCBX4yapl/+rYfRg4lrtRDVaWMkT/7+eIUwH/32R4uauOswg2NdAN9ECQD
67GpLNWkDahknOveGIhaw7NTeSS8PZYrCDiWlrtIlkPaFu7PgD5ffkZeuFZiewOLE6OCy3ckbZTv
s+5c20eT1BAbmgKmoJjRjL7e5aH07hX7BbRlKAEIs8hjlZQ7+/yq7/3nJ0HzDrndUnW0Vl/VyWxu
Jx1AsCxjrzTxzqqRP+0hsmv6U3AVTEnik+k0mf/CsLMrp+j2lGxNPNLYRch6aUmvmWeEDLWjmqyK
6xE4YH2EiZKdQoP3dpSN0wz6FAs8DK6GKCKutnRRWPWgV10VVzC3MkV+nua3uSpeSfVfjQfYE5DY
AYBF5e7yCyv0LlVmOZjOuoHN9blLx51FtLUhUIOE3AaaaRjL6lrN9XkwjTyvYgnmQNAOzs9k7KE7
Tuo9zt7Wjgf4Ehw3TB5ugnXeWjLAj3rB63g6ahByGZyonE6jEyf5S288k+lNaH+/2yGHBxALhgc0
0lqsGODXuaoAj49LZdgwm1TEp8Q8a8b77QVxVdHFLodlNq5s2JDoxnpBcNqkU2MVdWyZbx2UhAMN
BUX63kGxUL5IQ+wMa+OGuwi3SioTWbgzm+o61uwG6h6TqcKed//mE0TxmaLyzvRS8vdrHjFRBEEP
xsQ3XMV0VKsn+oyYhf7v3LPItnhgz3H+11DoJTuHMx72FZIFWEitD7UkqYjF2jpO86AraKRPh/Ed
dLMaVQQNj+DbX+6PNtIqW0A4/BfONXjPe6u3YVJ7BexqqiYu2Jw+mLmVH5KuVM9GW4+hNnvtcUi1
MexSdBElN6xISMMIXOLAaSQtx8hC8TpobNilSWK2EayrTBDtLRqMBXfOYhy1xSUiC43Bsf0iK5p7
rWr1E00GSN6l8Puqna6PJM6rKKfjdOB8Ks+y4MVDK3LbV2APvDN9doMEkwL854BDPM3ql1Lo7Cgr
+IyrHs1GIrowJUZ2h9I2vzNQ3v7UzhKGLG7fH29P2XKEr2fMRNMdxi8aygV0OYM/XKHSwG2Df2zi
yaqqo5nodYScfwxsFyXmsWJ6pKQr3ynr99b9deEea8PS0NJCgox8ap0dZzM128rCu62HbIOlB0o3
jt58HvJ4tI+lLEKhLdcdj0B3Pt8e9caZjxsF5BbIXuIpd3XXEm/2RFc08eB5oE99VjmP3eVM3tln
W0fJxzirC9Swe6OBu3oTJyIyy/f6k2YR302+eotkuPqn21MN3zpLPsZbrf8O/PYU4Jsmlvl3T70M
EKqndyVD5RGr5/YUblw1KP0ATLmYJiyQzcuF07hlCjQRrWNh5NZZeTk6Lx6clAfW/Xs70uYkQjEW
NSZIaV+5zyWqalhdYVCWemhGO/DQKHeKDPJ6P1Hm/gLUWLtXCTW2RodyPBhQyPkgk776cIQqJJ6K
4IDMQp2f0zzzPfkjt94Go/dtVhzS6uTZZeQ1QZNk4YCEu/DtE16lfknu0j5Alm3kYUcfJo3dOQpe
bzbgJd7b7am50uJczleUWZD+41ugE7g6yLvMo1lBceDxcCHrBgCQNjJAop0etHP7FfwWOL9l0gfR
9/V26K2v8jGycfn93X728sQum7juvIDPTtTyMpzR+yHeEPFEHDSRfQYNbmdHba1wUNIW5Vg0McB3
vQzriUrPzII3sQdaRKuqIKt/5/Snw94K+nJ7hFtH44dQ6/Sz500tpYG5taUpcTVAn05nw6PnAOhp
zoY8QB0DHuGs2lOS3RnjuuwyoudUk7bBmTzWr7PT+5P+wAUPx/wrK3/dHuTmZzRx8C+vtsX863I+
S7PuZ0fJJs6S3OfiUwMGePlJ84qDQfOngT1qcq88sxXSwbcDgg8AZ3hXXobES8vgTl/yeIY+PqTT
xKm2q8rXTWEFLBune6rs1EennhyzcR5PXZY1kaBwwRjMGeqkTv5rHmgftsLqTp6u2KlOuDoZuOIT
PavC2xO0dVVAggltHIAUcE+al79WUS1BQRG3VDJSBRJeVZ09Bl5w2pAU0oxyD+C8dfIszy1o/ICA
CRrsKp43czaTisdjdB6Dv2XeL+fFx7++2rUzY6OZJ/jrptdG+vBaVt+YfU4SCPFAb/LYNz+Ul4bc
A1Mlvj2PfwhZ60wDBiewswPyHlbaq3dWz2s6YRPxuJv5ISnvIdb02pk0sHLvIIz+tS9/QS7HGe9G
+SJY79Pnmd1PNgvwVEa2P9xn2pGUcIMb7iCJDsntu7TwK7KneXO169FRBhxrKfoDEXLFQdDmwmmy
gvDYcSfI9YtgTB499dBq2kk0xRuK6/XOTbr1zMYYUG5HHwXNlLU+QWaNLaXaiJlRqTpmcsSjn4Ga
BNuyOSikwe4y3Hv+aIzi1Nn29GQUU3XMzZ6GaAcae2tkWWFXHwqHAThTS3V9DaqxeqH3JeE8tnh6
EPqpFX6Snmv3ribB/GK6ExwQn8qfO8tj+fxXUUHLMNCBhKCJuVqZqJBN3ezVPNZyPQKwvoFIRfqL
Zdz3UvtfyccqEKP3vayjsh594qWPwzAEA59x+5OvKWTZLJGeOPndmrBv2hWP2Tq0QEYH5gKvXYiy
rX4eh7OWo409jwc+fEemSgPSQj7C8qrubHBIoZilB3iYItaB9E27Uwn5k2+sZwdfAr0bCH8t2t+X
p0Ln9TXxasGhTDpDMlSMFWqOhZf23yjeOw+DcJKFzTLDnRL76aSUgFgaVWZ77orC4P7kpvxes9r0
C697tPmxoNTDaFh8WLpn0A+vzPLb7S+6md//AaHj8ARdY62j4BRaKrilYR0Z011jj2dHJH5RI+0d
0kP1ajr3WRLM0gogX7WTJWxVJ/C4gCoXMkDIza+lv3So5jXlaGC+vpb3zPfwHxO9672SxP8xxv/E
WV2fXTmWbkERx6l+u8lj5i1OHi+Mf5ulFwC/cKCOr3vtE93L9K+vCeySRYZ9kcbB9K5OU8FaUbsV
tksOOCI0d9zsV7XLYtgLsrqLvJFR1K9xWxhxOje+emuTx3TwfCV5WBSnir2b31z7oUS+CSBZ2CAJ
JTvZwpIMXC58vA4B8wE+BvyXqw8pbJFY3TTgOrRYZFbqTWl7ol0biwUvQfgeoAYIDAA29+XmgpC4
pkZZiVifsqAE74U1lg8qyTmvHrIUAn/uFAjtc5PsjO06z7uMu/z7h7e3lpUD8JWI6zj3s7wb9aNF
j4UbmHvAsa3viKrgAiI1QUhdQ+SqxvRIndYibm2Kt1PWJwGxTQE+bLqL1r4+xzEoXPM4DlHygZ3e
5aDkSHpI5EoR1zBxzTvrkcMW3l3YfCmuK8FPvCD3RgL5Wlo/75w4Sy62XiyQ7ITIEfQRFxTTZWyR
zJMYQQ6LKeCyUBZAouFqmQPsYeFTcDJHMTVh60Cot2hbdqjHXAbeNLTnppVQJ4aJ987VfpVM4C6D
261joT0CVM26xJHgtLOnQROxWRuvQMe+OKrG/Ls/G3s611Z9cse9k2+5iNZzsFT0EBQ6vtg8l3Ng
GwpaFUMjYtUWBzeDCYTDz9MQo4xuiCkckFqjEROUUPStJ1iBJvPOmLcWGyhkS5l24axZqx9g9uCL
oPuExeb0yCyZA819B5kDjAH3xnqdm0NG4kOo5ad82EBFVzVzqcMTRTXz93EskCr8Tgf2O+X63ezK
QJrDQ+7QQLMmfyyr+1ZZQZq5yF+042SfRr6H/NoaOxpFOnph6LxcyTL2paCidJmIIZ3ia0zz0YlV
fC9h3Bo2NGGX6i1cuvEmuRx2aTFYRKDWEzuJOrbc8FuN/sstfoJawWFnS21sZ9ToAGFbPqgFUu5l
LEtoZj72VMZeQg5C44GmvJh10h8rVOdmRd6ahkAoWpSPThbdDr5x9gN7TjVsH3B0gJi6jI2uQ+NC
GFIC6/bWOD8ndydD2ZhH1HhA5DIABsQVuvz7h+XDDa0etbmXMRjUxACiY3402GO6B1jaWBQXYVYn
Ymb1Pbd1hJFfzdB67t9uz9LmnwcGHkgGlOLQn74chWwns5/7WcYMJByNHSZIk8Pg678IgtQT1Xx0
mKFreBmk1dyccaBu49mSgchgEYQW/PC3lLaFBAN4zf9GWS020aeePvWIIkPL3zmWNj/2f/72uquj
5aqDxwG+QlGpyGUk0MzfwvjhZf/NovoQZ50zpVou2IA4c3f2Egg3pdKnxZGXe+fsBhZhmS2g/GBf
gLN+XbondV8MRWNgazKgHyCeYyr0Dyo/J4Ag+RRKzdDVrY/IPrN3pbzj7RWxPZ//ib5adiyvy0HA
IDWGD09gmigxOhBBVlAGgBD17VDLZ19daaBY4F4HZQglo/Xjpx6tPGla1mLxOVpkCsKOxFBQ5Qbc
hA06hxakoS2+9dWjA0Db4Xb0rf1lQosJCBRcpzDlulz6wHs1egNSUDzJF3BtIqYKf56anSgbRYCF
ZglI1x9bJSACL8MQvW57w+FtLHId9EehosY0Ivh23dtGH9GUPPDqBImkM3X6sJjNyLbJ6fZI/7zs
ryYaWp9weARRGv2zy99guJCz0j3ZxtAP/8a9Rxu4fo1oh4kyH/aSPQouvCahPRi+4ba1L3TxQGbz
lMk0Uvabnu0VYzbnHg8cpKwQCgPw5vIHZYnjNSM0tWNQxWY79xUI1Nm8U/BYRnU16g9BVjOfNhO4
oLpqY0Lm4+QI35ueTPnDS190DTotOx96b0hLDvvh0vGywiAMmL2YdBz0zL70JyeujGZv02ztz+Vt
+P+nbp2GMY0UyMXbuEt8q36j3ux3xtd69xhabq/r2QO1FdZYUIld5/tK41bWg3od45UEdyPjkGZn
SD75rW4dJntn8rYH9Z9gqwWaV41d2SmC1c5vSr+l3ju61iaKx7c3wtaBszSroc8BrKyzXnajaJA0
jFMXC7yPtPqnsr8qQAWH8aiVb0Z6XzZfbwe83v0LwBLvTGBtUGj21s/53FSzYcM0Flm7CPKhDltb
+ALECwDsqXYqH4peHO0y920gbf6WDA3l4AWQsrD9gB4z1hRlb0rTvGxQ22L0HQldITu/Vcbfzinq
qhCuB80O6SSELlefLu0mW5sdBwWL/mU8p+feidzkqJN7k6kw20OuXu2yVbRVJsFK0peTZnPg9GI9
6YPByn1h7AGqr9tvSxi8QBbOBL4eXZ1Pbk2TIqEejwVBHcYdHBEwV9yNqUZ8vMGs58EsQKLAQ/NU
eXVzNIhBDh7rzUhO3T1uS+GjxDOE2dJtv72kNmcAaLLl1Q883jpjoxAELTOV8DgLrPKXnN+cPeW5
q52/DP5DhNUcT6yAy1uBCG2O9ySvIxPnJbN9+Mw+munOcK4rbZfR1vlbL+xU9i2iMQ4KKuS7raIL
YEYWlI33qDXKl6gudkXm43QQrn66PZtXT5FV9NWHJt0ws252eWyTBHKYzpwEucv34ALLHrg4SxEF
0C00f3D02BDWWt0NSHI8lWCMXnWc+amwT4qAOXmu0Ppzd/bj5oTimocBlIO044oEbvKp6OlYitiG
jAaI579c+SoG/cBL+H+G0tUP7TR0S8/tAPGK+PZ8XtfclqHCZgi3BpRvAcO4HGo9QViskpjQzIKn
SfMbnIewsbq3zG7isSCPyrXuoLvz4sx78p5Xd8ifyAvPCZxhFBZX+dzcNJVul6mIO6EdO8hmkR+y
pUcI0p1vj3FrBwJUo8NhC1ZukHy9HGKRSagRSRRCNAZH81R4ZpB5EjAJdBN3dsf18sTeAhkGSneL
Wcm6O6H6SVleo4uYzWwORlc4yCq6PS/kvSir1KWpia263BHxaIQJ8YUIb0/YxpJEefKPBCGegOhT
rtY/YczB/eaKOHtr+8JvRs8f2BHS71NmBk4SjSLyqidGPt+Oe+U2iJ4T7C+Rcy+qYNDqWJ1kY2e5
hd7meMtIA1iZDGmvPSJhyjVOjhB7MdCNdgrQ/sshHCBfAq4t3JBAjEB2oNg7gLuQZEwlfzGtbDzI
WnubIU99muCSGgzaUEUVEZFINGRFlvbSWGn2WE6uCZElNkApxlJRLj1IdbpE7iyM5ZdfnijLyLDB
0XCFptqaxzTPQnkmy1BCMeWhkNkB5JaogRT5M+p/PZytfaNXh9vTeX2KfYzprEmWsIyCB9ecyph8
qd7L7/Rz71d4M+ycX1uLEQ156kDQFY3T9VvFBsmh9CqOsgf8EgOlQY2gmzWx8za4UlddlgZU3MEw
At4E76LlZ3xI10ktGwgbNTI27Ps0Y1/GqQ2Axl6k8VE8Ona8CB1CIac2hBr8oNN0fspmkCRhTeXl
P02nwloBCa4JOKq9JfvEBygRoJHNxdfbs359rC0/FPRWOE4gF1/fj6VZcbT2KxlX5es83qfvCXh5
+g7Z/vrKRxBkJIvSLMQ01wR0wBXGmXqoyBnJs+jmhyJXQZ9Zd6g4hzTbUVa4Pj8RbFEBhHSO7sC4
43Lq64RC96WUKM+5ADaV4qQVCVKrPX+JzTBoE4J+vTR/1s2RrMMGNVpNxh1kjsK58XI0fEztBG2F
PWnnzenDOxa9dWAtUbC7HJE0IRQ1WrqMW+MupxpkuU4ZmGQs/ZJ2O5O3tfHR8YFqCMjraMSsjtI8
FyItoMYV9zn5VS0+Dng5D74mAe3QUSnX+BdN7IFJN4Oi+QMSEpDTYIxdjq+ZmxQUB9SE3P6YJNCs
VbkPcbcmMJHDVO6x7H/dXvTXjGVsT9ys/y+is343abPWGKR2sCCP+pmR8IsZWNEUlaHyk7AJxgBm
AQd5NF+9INk55rY+5sfQq+WZDE7Hq5ngY5KEvNpU/Mj0LuRSVL5bDTUENkxvp8G1GRI2FqgS4ShC
qng5v9IVaV0s9RlRnq0DwxHe6eBkHNNql+p4VffHxEJjFJLOkL5ZFutlKPit6Ggboigyjd9zJNtB
YUVG6YS6fc48OxLaC5V7vjlXyvjLYQvfhUXbFOcLUprLoDxtUfHMsza29bD5Lt6b9+m9+JScSeAe
oKD71SChu6eOuXWPADyJ1y8Sb3iyrGJ6mdGZeiPaGKgLgG26UP9bsdY/o8KRCYUalM5BkLocVSXT
prb0sUWq+1LU38f2xMCNoNkBTPBDltaBle0VmbauYEg4AsWEqMhsloX04dbySFlYkzRRN0vtO/dr
0fRH/YVB0xlCNJ/xZNzJMvbCLf/+IVybst5NEquNtXbyEzjHKAGppbL+Ic1H3bjnqGPc3vebAdFa
RfsPJI0rxBRLG5f0XG/RlbLnKPVKOHzDOP1Y1nV1osPYHZoOfbEEzoA75+rWbYEMcSnUoLeKx/Xl
UD1pFlA2dDCzbb8kpFkbpW5RhU3asfD2ILdW5kK6WmRH0Mpdq+GqTIyTTPIuZlMjDt1g1L6b4ta4
HWUrb/gYZfkVH76dqc96qdGiix2W+HlhH6zsJU3fLSF3vtlmIFyyC7YLMrTrbpvTKZt2Sd/FUhOB
QbLQVO+5/qWje4E25g0WtnQhjAELD4WxyxHlnMqyczMVG1UxH7Syr5/cJC13wBsbCwFJFl7rMApd
0MirA1KxZMhSBVsInPPvwADFcwb3TTs73v48G2FQlFtIcBD/AZ9+9eaqWE2lyd0uVnnto63uY9ZM
fU9IauNiAQYY1FaYsGExrCmkSrOSieZVH2cODONJXxcBH9rfCvDKqAIJ8YEPTrtzaGyODIUzZG9L
eWrN3S+LytAFyRAz/6fLPpnVE8l3HnYbSw6XCHq7kJWEmom3OgYhXduOHgBvcauhEcYG2wgJB360
h7Fh2AKStrPEN1aeCZAHnvvoxkLidrUmAB+ik5HZfVy3VERT58xQSYIM6+0lsfWxsIcgf4x+KfrW
qyVhJ7ObOOXQo0oEka9EPjSzHZgvuuCRx+qX28G23uQgieFIw0ZCaXh9lbRcaVma20NMK318yrrK
DimRRgw2pn0ieM8GmaBQBhXEiJiWG3fKcFQkSyhx3f4lW8NGTwoMZyQ/i/bT5bYWVoE+t1sMsd45
9dEiwMVLfQydrn4znPLThOW9s0I3qvKA2KEWB6o3OGUQ1b0MSVvettQiKnbmHHcnEKqh1PM8orzs
0OvkzVPf1VqI3II84b7h91VKUbLQQBrRXLLnpr6RXV/8mtXVQ1BMGtXgqHjsNB6aTdIdlENJAPGo
OhxLM7/ruQkeX9/2d7pK95BFG3cuUEVIJoBVXgQ/V+Gp6PKmqqohrnHRutL77raPXeUEc/d7FvMp
S7Q9m/rNAX+IuDrIQcSkMNlGRJbBCkt9E+9lIk8LkwrCfu7DlH25vcI2jguUXcG+RlUQnd71hduA
cVAnTjPGM+R863igo59MqP3sGbpvnHwWanSgNYO0f825M11l2/ClGOMC8ug9HPDQlbur9a+3R7MR
Ba1cC9wlG7QjaH1eLl4PuDvJjGGKpe0+mARc49RiB9K1e1o5G6ceblvY6wJDCULwuqCqDV06Qx1u
jgvlkDv4bLSh4IbYSbyuoyxAB4rVh1sX/7vai8IZJgGxWRWTvAFAU/rWHpzsesIQAXhaPF5BTUEt
43LCRJaSNE2w3NpJHKgAM8J1iwD+wXvHyvIyvCzKLYGQAwFWgNxOWwUqkZYqfeyGWJseiZk9iAbC
jHPxsjT6DJ/P3+rs32T42Q97Mt3XCxxdquUd4sF3DBfi6q1j5cywEtaO8fgzpwcF1FMf6ubOJbg1
jQubyEHpGx/MXu1aM1WZDlrtGMtJwKG7A4m5CTrv9+3VvbEcAMRHkwSWTtBvXltXtYrAjxzW6LGW
fuK88Pv5n9sBro87LAUwVfDXYVGDZ8blatCVKqRTp1os3WY48EKzUENxxmeg+8K6WswPYQR2GAe7
2rlxtwJ7qGri9QbUHS6ey8Bua+usnHMNUH/Pl1PkjDBDI8GoBbkCNoHtaW9vfC/0f/GlwIdFpXPN
AMu9pBwslc2xGHtfG05OqfxxOt6ezWV3rpY82EyoGeKgWLhmq91bokSFM6Ga42Y6Ve0/mWkFJXy5
8YKym51QG4t88Z9C2gftdQiSr+oyE6/HwaRyBlPDi0amXubBCQeYBbpkPt8e1cYitGCEifIzJhBa
2KuUBPVg6eWa0mJVMRq4vZaFUoo9A+aND4T+HGjS2LN41K9r+InLYMxCRy1OqyGoWTynInD3VLuW
5bz6QEDAQ/EXax4iZGvn6jKXpEuIqcWiOkzzJ1J6Aayg4Fx+NE2ouFbJwdB+3J69jQ8FoUHo10OU
DHpF6w8FLHhSljbR4n60YcfUVtATLobZLx1x7kqq7XysjSWIlir03KBNBj+UtWBFogvLEo7Q4+pJ
wgFNuG6U6Pce8Exjvaf0sRULYjyGjSMQtYI1KKbpDcrbxNFjVOLzfAzbMQ/yMvvEjfvh9fYsXuvG
QPADYgcwI7AomrlrPTxz0vtCstaIObGOyfiYkRR6f9J3INTJtX+m1oeGPgRi9Miqm0emkoOW1Yd5
4Oc+0594qiItoV9u/6iNM+zjb1pLevY2yLPNyI245PlhzsMxiYhz11nHynvvrW7vQr0uVi7lNVTX
UDTE111zNMfMm9HWLbWYOCeWVn5ivuWShdBic6unkryjyQumZnR7jBubH9cDTMUW59ZrX+y8kdbQ
ubUed9WU+YOrRlBmE3PnNNtYSRdRlk30oTzjVpZy57bQ42VcjQ3mlt7BdGYOUmPyzWJHVW4rGgrq
mEcDLx9wRS+jVSh5ZaVQetzqEKPngZE8ghY8dmHV7qyQjc2/vKvM5Vm1iLosh96HcRl2ybUktfQ4
l+7BLlQJv4JCQWUdENaa7ZWzN9YjSicGThu6gL3XrSRhD/VgT4ke06ENEyd9gl5HYb/p6rtO4HE3
xLeXxsbDEfkjOEWQJUTPFRnX5egG6ZasZkBNGCioCfU2N7/NugtqfTrb9mFsSOQlEKsuH2hJH1Sy
p7C/0RZZ8lcUcnHZImNeXxmF2zHHSwX2X/VrKtIvE6QeYZ5yJp1zx13TnwBDKqV5ROYUFbr2ox2n
IHXUWTQx5A3f8yh74C9gnN+elmtdXBy7mJNFTQteQvj+l9PSM9hDCRfFg6aTockQ03qWXqwPEfO+
FUV2QOnfQ6Oq/LenfgrqhARMm70rKFq32r8QWH8owDFL6N4P20CjLD8MIF9ACykEmlbfiwHZkAIy
hvnC42WCu1ORTmGRc991+0Pae/5kQeCFTcd211lt4xhxkaqgzosmPUApq3RFFwOzOm8w4r6HAa4i
SgCZTva6HFvbDYQsiEJB7GUhkV7O/DDYeg34khFb4vM4FKHdzihlmFFS76mlbRwhy98HMBzYsOuz
uC1yM/PMyojr2QzLKg2BdoHUT+rnEN/h3uH2ktqOhizZM5Ay47F7Oa4qHU3oneDDVYXnRsLGsyYF
FTYaIUDqjyhZ/CZDVv99JgE3WQh5oVH1B3l/GTR3nDJz3ckAqOKzXbsh4NGHnjwOXX906r2qzwbG
ELcLnqRIn5f3zlqKxJJZ38HB3oh1Mh8a2Ej20JBxUvMwa1MIIYUgcfjJyZ/S/AflxV0//OL6aTAh
QTINOxt4axWhMAJpAry/QT5dzfboDLqYjdmIvelM2y+Deivc12nPfWIzioWShQsSPm6c1Smhq4m6
YweRbK1gz7oaH01ZNUfb6/5JqLMHVrnGvONMWphNkNxDX+KKsjU5RdWUOLHiqkXlWx5pGQERHtlt
eTdq7Wuav9TqJ6eHrrf8mWoHg3Uhq1z8327oij2m5sbYsUOhRg3iMkoDa3u7uR7GuqiZFTfVkY4D
RIIq3x7foGN1e99ck0eAE/sYaDXJaWKbNRtLBLLuyQCESlqGUw9rdzo+mHX5Onkv0DWR+rk2YGY1
s89VS3ac2TbeNaBoI9HAvYzXzfrhWbhq5pBTsOK5TtL/Ie27liPHlSi/iBH05hWgKS+VJMq9MCR1
i957fv0eavfeqYIYxbizMy8d0zGVBJAAEpknz7HCJu82XlTxNJfRTnB7uAuH7KUpFhwDWfGQL6NB
Pqc5f+CG5CkGi+JtE0srN/emAO8H+CbencyhAAL9Ig1l+cxnjfJQiyjxpn3ObQdottvyehVgyR6W
EJkkvArRX8rYy6C3pvTYPeduzKxKaUxVcwtFNv1mpdC1NHeXhuYPuYjUhJaPI5wHmLsSDDFZSHr9
fHvqlhwBWx1YSZxwaCKYv+DCgt5WSTeItXJGMaiEGLkG2PQKcGlpm6MA8I8NZrogEVVofFopMDBY
Y0GDemtw8V7wanvkt4UILPFUnIzEbId7Q+l2bXVXtG7P2xWaXm4Pd2nlLj+FmVB+pi9PgZ7ADZlY
uVjTeVJDSLIYa7f+4sTikkIgD3UF4OSuJ3ZU6hFvRkxskoALLAMRlCtGK3nZpVgXiWxEdahUz9wU
jBFDLUsQAGjK2UubJCGxUCPOLBSkNrWqM3NP8g+i0D10cqolQLuHW8lDS0reasVBl4O1NoPFycXF
jM5YMBT/IuhVjEzKs85TzkPrZO2+qw+Ku+qwa0aYexDMdd5Ygu7wnIuQyZr2XnCfeBH9d+t3MRgm
FRi2wNjxnaGcq7ggafQugzGx41aimUUnuTDCJLGQSUvDGBIcoLBwxAGSIA9Q+Lnt8UtHCEqw/10U
ZoPnrZ/5QYVxYK5q+avX/+eOaNxmWHGomRkgGhHYq8QzALHhjUo9B8ZXJUyAg75NUotX6/ftgSws
PAopP8c7iDN/UZp4IMvqQjmDnQDUVTXUjCzoP1ZWHoflEa1ja+NaSu7M2VLUotDqCSQf4wFaUTdV
xIfqueffxBriOtpJ6/dZnZ2SwKcqyHDjUb0PVSdSSapoG73Zdq4cgy/JytZInhcHj/zSHJ1AfZdN
EbZyPkUZON/OHl5vaf7AVZ6pVSdjXOv1WHAXqPf+Y4jZXm3V6gUAHnAX1SeovILO+38PPeAoSNoA
Q4RMO1tCj1HA5ydvXkdxIEWEtDowZ97Dv3CWCyOM1ysznjTwS/VciYdRO2jpHtQp/f/cXQ4yYWBq
kLFFVRyIFMYKGJIb3Stadd6+KNMT7F9wl69cWQsoAFiZXyE8Ki6AdM/vsIsruiuaQBmR6ziXSTQe
esVzOfCXmV0JsJeWZDw49A3QDOK1VGyFTtedeIpBNg5MVmzfntWF4wrvShFwFVw1M9D0+kskoHXH
vEu0s2C4mgLhbtUuVwtli0Zm+TvQzgCwxwZXY9gPfak1GlLuW/A9SeLeq+9vj2NpN6Hh4L8m2HG0
fhELOUwYEjJsgfDRFq9tgt4XYQXCvmaIWbpACAY005TaWare4kA3p87123PXrpWB1+ywcQDnqbze
trBTb6deeUz98VSE4d+OXwlI1xaHeboomZ50lZdr8Hi0tg6kDnSI23zfXp4VI+yLIez7xBPyQjtH
PErNaD/uwl3qmbeNzFNyXXRB7hMFYDyAUMKBO1/7stY2npqMBtKS0Fe1cO6JVI1HyaryyaAhujaC
0A82gd6s5UN/Kr2XlhELomKABybqcUgSspWrBPq3+dB4k6vcTS3xPEuHYA9JHpNDt5leudKpn/Ut
0L77VKfqsT5GsjMMpqaACQ6EArsGFGuF9RzYKWiQz+3mf5uWn48DkmCGOGvIFDKe5OcDryVhx7te
qVa071BRy4VYJUURcEQcvILEU8uTcOBK67blXzxrs2ngdVFtQycQ8qfMfWtAXR5s8D3vBhERz5P+
MIBE4WP81HZV7BiCHYJE6HtAIotKEAk9hU9BuBIrsY738wVA2CAhCEYSdO1c+4QMRfQ4DjXeTZSk
x2ZNRyKWgkYLrwtWIr9feOvZFg5SJB6BYsSRytwdvFK2wVDnvGvm5L0k76+t9V6/FmRXOLfn9VeH
FWuJ8fS6RWOwxKe8m5LOVEhMcjL/qbWAStmojkHQSUVLIpl22JFdRu4Vpw1J+zSaK/t6cYUvx8zM
b5ho4OhW8CWv+c9HHAWyde7JRGvzsItotqpGMx9H7Fa7NMicv0Xjl00m/V+DjakRs+uIWdJ5fJ3l
U0rRU7Z2XS850aVNZgdFtS9KPtTG3P3R/vw0Ts7ONylPHjcrR/GvNBK7rsxZHPZa287t8u6+s81p
X9jylqZmdzRXUgSLroqSIiCIc2+TwpL/K1Fa6B1qrW5OQCX/HlRW9TI9xDlRPUJHErTmn+jvbadl
T+d5bDNfKY4B1KiRjrzeiUnkgVylHnjXVjgqPHAT3Z3FNRaXNSPMSqlih12YwEiyNchwAD1bB8YB
YqzcNL8eEuxgmIVKIMs14BnOu6Vs5y/Jm7zVnwFaDu5AM6BZyT7PiRZSEFs3uhVoRP43jqJC+Q6k
YHP/CnvV9TlgzOnYC66ZEjz/Y5mUMhkTW389uTReC4rng4vdc+AK1FDGBBgXhYHrpUNKQtfRVzm6
XC6A3G0vpLx92zl+MYTPE3ppgjnRSg1anRMnje706MXkOf54twVib6t9R6YHgJ6IcQQLT0ZO1mYD
kBL5s2J/voluDZE5x/KYQwctujxccGBUVkrM96fQyh3dDJ2436mwjMNlw+Fs8Szlzxr7+9oEM3uD
F4Y+TXRldItkOOlqvmm5ek3NYR7BrREyWwPEZqqISuroir4d1I3F81u9KO3aK59uz+WioZ9+RoCg
gA1h9oZSBYo8SdHkCoELzWij+c4nW17rnv5hsGXHg0oD2C/mhkYooF87JdTChzTXvdF9lgjuAeF1
pK/Vq/l6J5CngaRU8MlD/xZSyyoIDci4f3Tre7p2ZC9dDZdfwawc6OnSqIq40Z1775Ujp+77NeqJ
pfm8NMEsXBIKaZlmWDiIO5AY5JlSP5KqPUzimuTZr3fpvAtnVl4ofsjqzHd4PadNKIn5kIWTG22V
13Qj7MFdEn2m27QgCSShPm87ymLYfGGOZaRTyl4P4hiT17WkpfvjEJiDaWfmNqeORg9Wb1rum3f3
8oWAzbI+Hs/g4Vpx1l+1ambILDt8n4Z+Kk/B5IrjsdQ6CLGfeR105BPpW4Eo9QdyP1wcrmFsFhYV
dA24fnGcGnO33PVMg+LXj2NBn9z0pD4DgSbY7U6r9rkdTVtI0p4iwkFd7xBDENZfCWd+UYdjyFA4
gyIPyLFABMjiVrUExABR2fJu538M4mOevIBYFPuUyNNHGjbO1N8HqNcFsfzYhN024jynRI5Re20V
UqcNOrE3pWemzUcZ5KbifyvTRPj3277x8zRgtjfCBBSskH+c+wgZV5wmNRFj9Ee78vH4KiCg3uNe
GL4GG++VBLFKXpnZyacioY++eX6+bX3JKy6t//z9RYJm9MHFUmfj5A71rn3oNZJqLzxnDxIa1Uzs
Pm5lTX6l/ec1weWKQhc/vyLZPEyW613XCerkegPYpaEV4xuWF3qgHzyB/KaTAwglqDv+KRUtUVoj
aPpVFP+xLqACj4gQilAsKVuk8mEbNNzktrvaeh1sMx+dhLNA8Uwfza4na/Rsi6srXRhkjs1pRC+6
DuopdygVUgDO0PQ073IQQ5jDZwtWLT2hVQZ+tO7L94GrOXHCHTfT2Zu+6vSyU4WW0SJbYYCAdGVr
zqZZx0PiG1IKoGxHDzsTiajg5Wi4tMGnCeRdB1PbRx2v5EsXTQC7O6+5hswrY6JqvMioOmzAlIDs
YNoY7vCcuLddeOmNqOLy/a8R5n6MgeNoVBFGoEluijSnyLg4OFhVatqTXRyyrXKwexXINxMO1Tg4
AsrHYMfvs2Nor+Uglv0b7XBIvwNUiI7F6/NOEopO9LWCd31N/ora0BLrbdXHFpd8y96T2tsR97eF
zL3Qk0wxb0/F0rMKqVawyCMqAZCG7cfT8myIpKnk3X7gyNC+hoRveQqtyzjZtQPUPZOeBJlg55CZ
4YrnJFpJTi49F9AEMZMeAqALfBLj7m0yga8qwFp40WOrvhbFWXXaZ92nQWDLT/KjNID7vuZBce7U
ICmD+l97hx6TlUNmPjJZz0av+6xQhmP1FzUDDoFCDROVdyFrI/H35XNlmOG2Dky5MqtxJU+6EBgB
hox8E/jG0dfLdvZqej3JfeILrqCjfoJ9JMmkrVfeQUu36KUR5pIYy1Icog5GjNoZ1OeoImDGTrvX
Ff9hAbHz8Xhhhr0w466sRZnj4D+jRjXjreme02gfBGddOSaD1fU5Eba3bS5OH8AIoKVHCC2xRMH5
oEF+dgoEVxIt49T5Kz//S9rtZ0j//D47pAaw1KHlc9GVfB9MozUvh2cgggvR9nk1yaCwPEEhBuCZ
6UPoqxRs28h/Er8D7bkZ4ak4ENnocDPJfhgadj8WiRUp3pCQ3sD728paIDEHKa9xg4ELCPQRTYsX
DSRqoDXI6yV0XguvgcpE2nPxHwijte8BKp5A6FQTbgSklMD4jGY1/aMZx0kDHdAYQ6++7oXMEZSu
byjAGUixThwewjQrUuWO7xCbWKmUyM+5kOmyOQK4XqOMByiMU4wTMPHqpCRQly6516qvhsG+vWSL
QcMMIPl/ayYxZ1zd5amRAgXumg3gEETbpE6KrNREAWjOnNvGlh7MSDL+Y0y8PlD5XhpLrosEtzoI
pl3Tzky2kx1u9L+2SJu76UEkzWk86DZvBvv2KSLJClLhF/yUdSGm0t2CBlxVytlF+XudszjQc9d3
inQoE6uY7n3eGoqNDqXMpLL58hU9gmanZqbsncfAjpvOyvR7I1nj6ZwfQ7/OuItpmV/aF4FbALXB
MldxIiS1hYOHn2jivYik3Nye/qUb/HL2mRt8rKG6MxYw448kkg5aYHWGIyHTlNYrO3UxWkefGbjC
EQ6DkoiZZgN6UpCvwUIrROloiKzuPnzutq2T4kCNSHngD/IGpG+bZBed+8+CJuWccV5Ngs7e+3tm
//kOZmbjIshy3ksFN+3M5r6BftZeP2QTsahevdye3cV4dAYezH3fAjjLGVt8kAztmGeCy4+W6vjJ
RoCOpGAaZ/91533Vd8VE08eVJV0MUS6NMmvqTWU6jmouuMEWURkIqdR5ioFerk39rnOrwobi+O2B
Lt5fQJSjzWJupDGYGE30A2gUN4WArJe4y0FFWlvi/0ru8bNNL2wwsYfvF3VaCLDBSZQ/q5nFZ25u
5gBhjyth7eKdBawebiu819AcdL33sGaZUqOd39UTx0s+FXXP5ytRxXyh/3JC0Ibx6ElDSyQ7YU0O
Rd4Bz0U3zy10+qKsFPmHQiX8PQRxQmVl761ZY6ZuDPw2kXJYqzxn0Ih4581pkLihj2tNaYvnycW4
5mPt4tjipyb2xQ6W9MRsEAIH92Vkdd0nsBS3PW7pfERD2kycA6JVNBhfGxKr0Q8ahE1u+B37xFab
kAjRW85DBVv9N/fhpS1mUDkyY33WVqI73fEIJoyQcMKXBOV0AzKPd9WuWMuqLDngpcF5PS9mUW1D
RRsNGIzlDtJIG0l5Tf7enr8ll7gwwaas9EnocvCOiW5L5dSaDu/dPnvWBTNYyX8snkaXhphgouiH
bgRHq+gq5bTlfB0SmM+eCAzxx4Q1K/3TID+2j2XQkiFUV/x+MZK5NM4EF/qQg4slz0Q3MHaTB2UT
gLPgICQ7ZzQsVvb06lCZG84zhhoEyRhqDTr4hubJ1i/uuXpXHML8YeIHmjR22G7qtd6KxWsGVRSo
Us9tU+g6vfYXuZbLVESvn5tCe2PO7pi6hrb+TVXcDU+Qcc62Q+NbemGC5ES1pzX8/1IVDt3QwBlJ
YHKGIiuzQcQ65zzsUSTiGlo1j1lBRxNawZaU74TI4dVDLW8H2TTujXDl4bSUPb8yzWwVThyrpsGD
1VW+7Hij2NMW27M6cGQyE9vmqIeWTrAQU2+rneVNHpBkJ+5Fnoj4l3M4Rz5MoCpE2uD29lq6EP+Z
EaCFrlckUuq0R3Kad1E3IEi/nrWVXMDS/p2BatBZR6cCYAHXBnyuLAavrwQXLZ2jU0BrtgBciPpP
SLquBMiLaQfIJqEfAlkYNJAxyzvmSpP48oBY1BQ+PfPU0B0qSGePrimLLQ0Klweqc6BWgZ4es4HA
a5XEfi8ILpAnfQzcv5GbQIBbfRfPHdQkbO6TYpXOZZ4q9i4GuhxEQEBSQiWcCV4KT+O7sdDx+N6k
EMwActGq75Vnj6T3Vvy4z/drsf1SeQKaZaB7RMRkoOLDWOzQOz2NsSG4MdlXh2PvJBopbeqb8sNt
N1w8GVCOVKCWg8Gh8/DaTSDNEgdB6QluOL733F9O2/b+H7XeZlbhVBEVwUjDW1VFw7eo35fCyiW9
uJ4X1plxcnI9Gl4+W1f3be7IH6X/Euvbyr9TkBVeU91bemFocwMhQjc84sGvfD3YIazxV2MouiNw
hlQEnN8g5fQqZRa43kkdI09kVccs3qRfdWk9gvYkR8IsLzbKVkC7t/+d+QB6TG+312DBvQDZmYHI
KIaAB4q5AOsJ4mu5LowudM3JVIImCCqmt00s7dArG8w9145pp4poI3XBvGT3XGrLnHxQa7dvN0N1
jPzjwJkBpAeLvLfz8k6o/r+/gNm6WTWK7RSj7p2PVlh3TgW226SWrQHRGdj8G8/fd6VEwE5E6n6w
ZSPdlvUKRmpxpgURmWgACvAWYdwNTdn10A786I5S9z6ArZmLopXF/EX8i1eIjgzsf20wcaeuAfxX
Tpjp0Rmd6BBsg21tvd/5BP86DRkekFzayncqeds9QhLcvL3QS/UGmIeOGMALP/v62sWjVhGGZECB
/fX4/umTnHI0dZpNTB0U9l3cu6Qn9SZwzmsC2/PcMYfkpWG2zjc2wGlAa2h028mp1ZPWfvTZa6Ku
vLzWrDB7RQdVbN9V8CKIxUGirmzv61TfTBFSbnzL2f9qMg1ktMGih4OY2TVF8J/JbGljHo93mV07
4CUgDwSz+aaTdlvaj+c/a23FS26Khx9QSQau719a5dHAKyP0/4ArUHex/yCqa+0BPwcdu1gXFtjg
XpAGNMzJsJCSfqT6UXXQcUPunuCcCYmejaNxHGhDvlI6wG9DkpmiNWwD+oSyyt8Xwu0aR6ECRXad
chLp1/L3P0nfW9/HLDOXNIqfhfg+gO2QX0TWL7EjO3fyo3fvbVPqWCc3smK7clIbymUkoz3h7Iwi
6LjtAks3MV6P/10Llv0j1XsDsIdpcoE3lCkg1+/QKz1OpzH6N852aYk5IFWtEurSQB04xZDredIx
ZH0bgJIYoJw3HzXKR0SJ6OJwEnp7lD/B4K35nj3y4j0Z4zRJDfXH9vsT+OtJCZhlsAUjMf6ERR/I
/VdrF1ZHms3fwwuUs8gjUr0UqndmvV9FCS1eVyjgAN2Mwj16c5jvkeVakrxgGjEX1VMeb/KzbvbV
SZYeU0EwQztDa308Um17ex6WnoNgPfvHLhMNZarS6k0Cu6IDYfnX+q9nEJram5VTetXOfMxdzHcX
9lLvQ5EZ8V1j8zsT/QjU7cmfleEsnZYgcQAVHuqQeHcxw+k8KRRBgMbDjPJ1d/dUOlvIS0bm9Jxn
uAc23mnltbW4XS4tMgObfNQMhB4Wy+I+UxqA9WifIJ24VczuEBwN5YR+t5VRLhStQFWBJDWKnnNT
K3PjcrysQrUaUMhjZyL19x7Gjg+1M9LGdI02YHHhLm0xL50QeWFdjEc821pyfO11cIVr09G0lLX+
8p8aCrslZ+IrUF4gJES0cu0iejB6RtkLwFjzOm2dUjuAVvBe2KVbhzygvYnYtU2/s6Puk8Q576Wn
Z/n0bJh5jaNwbVXn7fb7W5CHhEQASEnYuz2qpykTZIz6GL36Z40KO9o44K4h39j8K077Q+l1yxhz
9vcaGHL9al7O/WR/vtvvrdM7+s6G6z48GLQjyf7+6a/1Yn2U9KVyBjehm8QyTP9x/b35ixBljuaQ
gOXRBItWaYXFSPSDHicGh1pA08nZfoxTszISKDYBtWPVQNbvILIXmMY05Hc85+Oy8kZtH2dq/hyq
Gb9VUJpzIn7STl0eJvjfit6RJlm7q/EPmu18Y+UEW4z/ZrFNvI2h3IzPvnYbbgqDYoJOLfIKpudo
PJF76vFmtDFxNxrbc/75zZmbvbJtiU7X0C7zTmOXDozo4E+b499fYOsyK/Sgz5GBrydrEj4l4Wnk
7ICgqXdlz68Zmh324vzUI5ALe0j2u53mvsttAYq7c4EJLYQVQ4vh/OWQmPmMVCnHkJBG0TJivu4R
j7Qo/VrVG5qHFAs5FQVdCff6HmrfHPmzeV4525Z23tw5OtdMoMLNLmdadYafpDBfVD4kwo6K9FeO
YtKGIZW5bw+6LzxH5a5ExZHUxU7wrVienm5/xKJPIT+A5jlUrQGeZQ71Jiu8RI8bwc18J95PxPh4
qW2n8cm9Y1n+22m3O2tvOHWgqHnbsrBwgRnz3kMBGzTT8ClmnVNO0qYK4MF2F5Mj0i69NY2Y7woJ
prN035KVcG9puQ0kXZB2mSf9Fzv3EOuJDDEUwd1LAXSEyEv1naHHoyAnglJIRg2z3GdU2j5vNreH
Oo+E2TozgzYeGoC3gQ2COe7LAeePVIm8m/W2kb2X/lfTHyAE3QJfL0VmJ67VR2bHvWWQ2UKKmCn6
gESbG30J+VETKlPV18B+C9sUD200xUJJTlZxIF0vXyrynJqXsJF2x7GzJhpOZtasUTSsWWHcU1bz
ughCWJlq6u/uwnO84S2JCF+iAf46U93gTtyk/TNfWCvuspTXnjMJSNGBuwittMxdFaoBBC86nLY6
qBh8/dEQDnlqpbEFYEk5tGYFob7hrwZVLY4mtZt/3naaBbgVDgfhhzJpjlpZ6tmwkIW0mxoR2FHx
rH3NUIzYcgTtxL+Cf20DFEJtedZ0f9vsAiDi2iyzrpMccJmewywUfdTRN8UMoLqjYev9puqIjq7H
QrMNE5+QBh/KA488h2LKh+7ZiM2yWolOfp8R+BhxppAAlSFSHszO6fy+jvGWFRH+bUMS7NeKNvP/
f71Rrn+f2ShIoUt90k4YLFhuVG0rhwFFapEq0z6rHmVI1PP10YjMctzm07Hp1nzs90a9ts9MNpIQ
IPOZxwfivvxluK+VJy82vfQh9j6mj1i903qq/cnJSIBfvb3QC+HutW1maxXa2EmlgrEnCUXNqqsL
wuX3w0tZbyrgpC25XislzAH0r9kGHQ6I/dFgCmWV6yOjFZsxVkrk2qW4SYDW5DtwJmltggZKrVfl
x9gT+ce2DjsTQl7gr++zQJFIUsWqSiA6D2hhlyrSCIUNPdxPaVwUZAz64TOe+vEj59PpT6754Cq9
PVG/jyDM08VXM8+CaQRDsqECIVRBlZCv1Y0E3HYc7JWhhtbkmkrLgkegaWHG7c5Yz19yN4LQFHqO
Zik3VF7kcqtHT2lr3x7Q7+sITfmzdhmwnKAiYHEpbaL3UjZ2MwYmBZoxoWNZb7kgNrXiWUrMPklp
nq+lQH4HO0h3AbwKHg7lR7b5eu01ozXaFszk7hRXkROkycfQBWtamQsxBaxA2m7maIacCEspnPVy
6nthILpqDXh/sqsrEsrHFowyceLZXQdurrqaTL21w/QVXKhtek6zkijR1xq2aqH4gk+RwAeCKwS6
IyxXtF/HLViTU9H1jsVTSUtTsbbhrtjXpqWTycpkIq3EcgslaJiE5+A+hnIvyg7Xc8wF+tjyCkp1
4zknNXLDKZVN4TTQU2wq/yJ+QxYaDdmoQKJhHQt7bQ2PJk0L+wQgggQ3EWCMxR/+Q6QpDakuEC8g
7auK//jQv6zxEi+83FCNxMwCcSSib5Cd23BUIa+F4MMNcoI61kjCjbdt9tqpQfJ231i7v+UWsHsX
T8eVN9jCEXZp+ef2vHicoC0zTXyxkFyhAzNx4fA9GL0A3bSmxPSClZNnbZwiE4Jw4gS2MA7j5L8L
szxJ5tbfpRTdoN5dZcloD/OQQGycOCDlWj1tcStdzPHPw+FipI0+yakXw3ZxPzQExEmmv5fQc0f5
wKJQoG33mF+avvyLlM/V4rLRcoMIHlosMKwVZvwh0+ROGQ4K5Z8QYCTRSoCxdAsirwTmQqQG0SzG
CgNlDZJrujEAoTLsh452BvnjK3ZhmMBG98HHVK9BYpYO+AuDLGOOOAnGFHQdrl0A+EcyiEREHHtA
i7uy6w8f3ssuwRtk7fW+ZpXxJCS6h6YcYHVID3xG69Zp1X81MtBGgNIDh/wvgluuF9smjiTgbcTn
hpO3kJEyGyEiiuiWEtG5bcrr70L2XXt2ItpitOG8Tb+mILRwuSngDgbUFLcoOATnv79w2ySI84IP
M8nt6bBNPtutb2M+12InEb/CRDKXVthFLPIhQf8hrMjHlMjvgwkttffyNd+ijL+WwF94t+K+x8N1
bnMHyyb7RB8bXDOJ+jMkM93IDUJyOjzoT1/9l/7lisQQiLoXj9MdGn4DWyqI/JCtvfYWzr2rb2BC
t6GelDhX8A0x2m/AQxLeSzuIXvefwZps8cK763q4zL0SJnyktfNw7yai/nF8h7wQafedW8amXitG
LWwLdJAANDVP7ZyOvfYWrhq9aJhtHRXrz6qXLP863nAQRQVQ8QeycOGLraj6uSHlklvZ0COidrp5
CJ3a5G0rf4ObmLfDOmHhMYPB/GNu/pwLc1WsQflOn9eIVHb93TsAVuM65O/aw2O76dYoC5fCDRya
M54b+BlQrM2b5MKeogtlEWet5HppRPpdJ1mifow+wzMoXIh831UP/HSos3xtnIu+aCBbjYMG0AqZ
8cU2QjKtj3vRNV/F3YSnSkRPARnc/hGJo/MaXmcBZDbnqHALgJQHxE/yHNleDLPR43YMmgLAktQq
eDM2qNeGZsIn6GGMLT/RzcxLMAeHogAPZgEleOksaAjAgt7qRldI9sG0S3KR1vmmAQikOMSiqQWP
vUDliqrvUoDnpcl3fxLUURJnxSmWJmtmEgKDNZIYoMS//vqgAGq6V1rRfTYnkXSbbUy7DY/DES+8
Et2nD+LerDXki0Goc9v0Qu8eJu7CNLORo75UwPWMO2c8g0kX/XuN6Z070yBKSKQXvrKsN+TeqByS
tzfn1B032Wpj+6KP4iEAMqVZ2x1Pg+vhDz6augwR17tEImRxcuoJpKHoBz2v8rsv7fZLU8xMq14I
nPAEU8+m+SrvSp/EHBGOPAK0zUZeQbv8kP6yNxCYCSDDBupBtJ0w1pB90/wqxtWqvNYf/LO2H8zu
STrF1pNGnYMAChkwrZ0r9/FRct2KEOsl2xwI8rmPZ99e2ZELWRoQX//zLcxCa8MoZRKnA46NRlNQ
MtmKjOWW1zIWS64MJXZ09gM7x/9Suu2UUotHfZLcRnmIDJJmjm8NCA0zK4zd2767FHkrl7aYi2Hk
BtEbcx5Ht4nmGONRptNn6HLWaB+yD53sdpuCftMVq0u5tyurzInaodpRR70ouXMJYCTCwdupu+6J
qOa9dThURLQ/pokGG4XWf24PeMl5wWeDrIAKKhagea/3Seg12dTGKl4aOu06n/SPUf9228SSl0g/
rasioC/Kz4P54hytplAIxRqDS0aAcqHwKbWHKN0FKxH9Qk/Z/GwBmcasw4EsE+ONYuPrWsphKD3a
ycZn/wWtw/c1CBm6DSHp4QsOiifxV0f+ctanVJNgdISV2VSXpvPyG5gotFbkwBdCXXJzJefQ1hTX
ieJk0mS8GGVQuk2cj08+NDf+qqAvb8289dAtLnOBdhz8Cb2ARtk1KeRdx0xAh0g5SkSJEWIQtYj5
TzGVAczJOxSVSFlyNYQefS7Ado+8DH23QpQgT+Ur2Veiymliq16qWRXXfk5oOTmNQVt0pK+m9g14
/HY7CUMLSS6DU1xNrNWnvMiSezGvIDlQNmJR0mwElxOVMlXyrRqIJh9/Dsa3KNcq5EqFothwcorA
rNEMAM6DSD/GipRsikSD/l+h+n9EBTVf2spKTpOsyQQypV2z0zOR2yZFpoUkEQqto4WYtNBTyBK+
t7IKbZgEVAKATmdB9cFDu4Ynat+3HkWjbvyZYqpqMoturqmeLt4Y/yzdL/XwPuzQ2Amqfzd6KiEQ
TpVHYwTdWk64bbD3LMO3/WAlIbcY8l7aZE8bXa3HDCVXNzioNHi8i0z/LDgCeCESK3GUlY24UPPD
DkEFGQ3U2O2/Ogb0HgKyUebBO63gYHb28RhvSgCTcvKq3IEB7SMvqFyaakIplzvmym2xPFoVuU3U
VGb6DmZzKHLojeqQyq7cmR13nvJz/CyjUagi/BY+pUkgLKqP7XAa17Bx8y+zlyaE4f5jme0X9nMx
LSYllF3jVSxoTKTKEfND3jl1d3++fdotngCILcBdjjMVYh7XByp6QqHxPWQyHtyvxnhsO4AGVqoX
yyfdhQ352kZajGKo8LBR2cc9yEXAGRSYD3892z90lFi7zeP3Rts+66vv38XBATIpC8BU4+00//3F
Uc5JEzcK/iS7+xBmbk/cHLj8WqOL32YitlZFj6E0//boWjs3AADw9u8vb/ALA0zkpClDpBoFDOjR
xnMCAAtf8w4lPRnlPK0gk3TOW5UY+aFvVoK2n2jz1tiYq6nUUjhgCdO5dTy+39lAa5G+BN4HbIOH
Q7k9nXYiMR+1iPjm2rW4FD3NMNf/rBmz6wY/KiI/4OW57eA4fr/jPUJkCw1C24dk7xTfL2/p02nn
AkFy3iCH8K82/T/mWVQqJxS81EcYevcqHO7mB4BnPmh0vHtsgH50ohUvWjxk8GBD3I/nKUD2zFQP
U14LQogjNQba8ThSSBQ31vi0A8/OH2+Nz3Fpbi+NMXMLUY7In0YFaQTZincaTR42wtuK2853AOs7
WDucKDM5NdgOr/dc1sU+lNITGakKu9jzNt2c/2zatTfbUg4BT3rkKyAdB5p3NgLFvtAVDSdkWFHv
2/4sSQZefvJp7O+2b50VPOiVeaJSTP4PZ1/aJCeSZftXyurzox+O4yzPpttsWIKI3KXMlLL0BUtJ
KcDZwXFwfv07ZNVMZxBhwdR0dZu1LEvp+Hb9Luee8yyf8+Dx8hzPeYiLtD0kiSARii84nmJhDyVt
pWE+c+t7q15V/VRqr2pLKvsMIBYxxIdhVnPUKFROrJ7Cer0sVjP15QMHYqr1vj8lXor7YHrejfYJ
vNw3vgD5Lsgrs53ytMANwN01oOJwedpnTw+wIUCnkkVBZ3V6mtRodUPZ5rP+TbsvxsgaDhDKRgeF
tVHbPz/Qoi/sImzE9h6vr220xK2dlD2LwLF29Lse76sqlPm+cX9dnhI9e45Q9wIl+6LjuEYVQjRX
a8oSQ9VhH9qe9jjvZuoXh2+3OwiGPKJp9y1ZklNQf/hU/AorL38ClWb5gK7kLAC13/Pl7zlXzUC9
GTxIi84YkDjL9354seJSc0mS4mgFt6N/C3l0D2V9v/taXJc37Cq1/MHfurHGuZfs45ir59lhcaoJ
qOvCBFFkP0C/tRDqTo87HDMv+uHdhKL1w/1Cwfop+LIx4XMbgKYjwFeAdgJ8dmUuemEuTAewt9pj
U7g7Wrw46WcKmqCpCsF7xqfGd9oI7peG072VhD/7xn4cffXGmpmca9NRy9Rvg+7B/WpDEh58WNz/
Bfa7/cZcT0HCMBdIBy44YeTH1xm62YknomWW+VyiHUYc2ijp/Cq1g5xL9IU7wcQDkf64POjZt/zj
oCsfaMhU1Tdwb+Gzf3mJbwHl8m7ve+/wNj48PHytb26of+fv9/6XLXNx5liBMwD4APjv4FmzVrc4
b3nMrb5kz8YvkJSMSPMG4KqZtOjyBM/4eEfDrG5MbSZFLqYGxoLNTTRzB2uqZdxXMSoQl4c6l20B
tBueLGgEQa67DtkTK2/YLFv2jFyktzCmfo4eIr/zUu8ReNaNq7Fcu6OHFI8bRsO9WEjWkaE8NgX5
rENejyXjMzjjkyAdMLFhTIdwY04nxnYZBiIdkKBbntN1P9qITDzrEkc+T/f5HQnovrxFWvwNdF1R
5rPbryI0gz5w5aeN6b2z0J/M78PAq7vHMsYrMNqMz4l1F3fX2qM40PKQpTugWqV4tY2fpfJT37pB
0029y9Pdd/e1MMMS4bkLPZHeg7Ln5zbIbttnNRzy7Cv4KQrDL27SqIu9XqI7ow96uM1h8lTf14Uv
b9xnwr86pZ8GZeJ1xf3URKz1+wx0YPvm0WofOgiUQjpUaR7fV68tOFB6d5cYiHPNfYM236sMIFB+
U5JgNILSz1Gj9Cog/JgTjhRwFEN4+d20dO/ftqz00BiEYrvQvoLNBHkBM0xvze+832xtX67SpaVc
9vjDq+HGGYrRji2fGRr6v/StTwXokG8IyPzwMfYnpoV9GjqfLx+d8ycHNSmCQjikOtfvRp4qaS8b
SHbpvY1cVZx4W1R2W2OsrJesUdzvGoxxbUbofmuuja07fWKU38//v2exeoCmqVFOm+Cagaw+qO4F
oApfchwRr72OXy8v2CnWZjXW6siPqq2YJMtYHpoFWb2nRcg+3cVe4xG/3Y3XxH90y412xbNLCAgM
YmA4b+DMPz4cpbLaXug5BhX9sBti6Fwpkk9hPR66EoijSUxfqlTfYqw6xYUuk0UxY5GiX9RXVgtb
1ry0K4mt4/ybPqNfzUA3zF2VkQVP3OseBePkFFk/M+OmedPvOyeArIBnDhvO5OKVntyND5+xWnPg
JlWlV3xcqv3VTkMZvMOU4zBDPae9L226u7zJ79XSSwOuLiNn9WxOAutttjuResyFYkDGD50ZiB81
g+QWBARqUL751oOTheUht/f1D/ImxyBFiB3qPwlQhPXXy1+1uRsr571Ps6G2s2I5enWxz4fPjPjp
96R5cv2y9szD8DJmNzmWpPJ6K8i160xtmIvTOtvyvICdAa4ehDtQXD0+iJVR9kPZsPG5t64zCzni
h+rBpb6oYXL/YHHlTXtWecWhZdBWQMsI99zPJPs60Z1yYNnDCc0vDLncEdrRER1vLfPANnE250zp
8g4uBJZwwtfZf4XqmGlUFj4SKuRXfMIGWp8q82CJKJmiIrvK2bfefWD0cWODzj33oEBYmDKorSPy
OV4diqiy1ywxQb3jhmSf+3nyZygb0zZ74PTbZOmg9LnqjB2JeahBV8pyv3XDBvJ1HQqgyRH6BA56
9QiCL4S3q7Oba7HdswFNVi9m9IIT4nDP+QOBZVRHUGgafCDV1B4io2i6jD8DWRVYtxWgJOz9n8sL
spiHD9fo5FNW66EBUgY0/6w/64C103z0cv0OYO643JjzOgZYD0RW9pGCgkHmGgbqwHCYkZ9T/OC0
DfTKjZB1bCdKv7ymgwBZzjc1VBvWYmWdTgZfOXlJNkuz7nX9WdRP9WtcPs76VSb3GQmI2FnaRnJt
9RScjLYc/g9+AtE1R2gK25ujmGM9QSgIsjmQmuvuy3yrt2NzXVfXPS5cfaoZ2jCrgx4m/a7V99Xg
TyDc4WjrptUeYuKb9Brvu7U+NsBbgFiBWOBKeQ/4P04x65QNmV9Q3wKL7kSQZ9lx0GlDLQLoS/J9
i+Hm7CwXSiOYCgjvAOZ5vKQD10GKCij+MzdDVvhM7PnBpftWPcCJTItfvRt1eHFJ/OPy9Vhrwbzv
JZ5XHWlDsNEAv3s88Jy3No8V2s/okMZfrEGN0WSgolZXieHRMlXfVCbLL5pD+YHottqXmkIbXlH/
Uc7dr5yUY9TbZv2pABbufq4N4JZ09tooXu8vf+m5i4xCODqZqGGZEF8+/tCp1NO6iPGhWb9bZMJT
EtUBdTZloVYG9H1BFk8DCBJrwUqt3FEp435EOQOEoF2AOpHPH8DS+VB+skL+c4wEaO61kIU39i47
sGgMyoO+a1EqA7nppzxwDxAtgL+e7bQtB3O5wusT+fG71iekJkZMKb7LNt6sstjLneizcEJaJ0m+
2SPCGFr57M9R/++P6f8lb/XDn7+//9d/4M8/6kZ10NISqz/+6z8HCCy+Ftlr9Zs3dG+vw2/1r98e
xavIepH96P9j+WX//Zf/dfxH/K6/xgpexevRH8JKZEJ9Gt469fmtHwrx/hX4quXf/J/+8Le399/y
pJq3f/7+ox4qsfy2JKur3//60eHnP39HYPrhrC2//68f3r2W+Hu3r8Wr6jN44X/+tv/+K2+vvcDf
Ju4/lga65VriNQO3/e+/jW/LT1z3H2gjXgDSCK1ddEXALFd1J9J//m7/A4U3gowgTAfoMPGv/P5b
Xw/Lj/R/IKUMB8YF/ADdCMiD0t//a+5HO/LvHfqtGsqHOqtE/8/fl33/97lAe58FaAjyIwagDKBu
XifK0SMJhlbZ9JE5zOBuZfAI58SCjk0c840reG4orAAUB5e8LV0n2aoWsp89430k6GDu7Sp7IRMo
lZQBB+PDBvw1yY+TOn7P/pyUAbZrlG0pspfrYCPNi3py86SPdHN2g14TKoJicBPamt3vaiINSBEN
7Q1E8JqXYjA38TDHl+2v8W3DocgbmyDFXHkNc9kzoxn1PrJbbXqc3aHfSUX4zs5p/Myyikdz3PIf
Mjf4FRyu/LrVAVowjPlvov/+60sWTRaCnoMTttFWDs2gGdhei0CP3QOFrfjkWKnym9QqD1pfohNB
WU16ncYEQqRjVd5WcZp+jkd9GHypUhk0IhZPuVVVQcpBAauLsf6iGOIFcGC7G27QsZV+/1yknZHY
slF2dk9aFdiUFTmfZhG5qot9ash68IQjUFfgk31VA9H0dPmknDmTtg3RW4CfwTiFlt7jZyHLDRd8
fxhwgCLxrjKcJExi07qONUE2TPAqJPtzctDGA9AE3H/wDlZjKRdC8PrQ4VTo8QSWalHxQ63rUgSC
1uULFO2q0AJck3vAsZXIPXez81hQGFKvnGl1nxuOnD3wTYvOzxMr+TpXbQd+zZi4IUslaEoJFeaV
xXMwaVA601BX4GcN+ZTFqZ/yfIE0UrsrNyZ2uoY2FCSWdDK0JCBSbB6vYQWhwURlcR/lfRZ7VKPS
N7mW+fHcx97l7Vpe6WNrhaHQf4B31V16kpeL98Gv6jXppkNe43xkUrsbzInpHqnQDRD3jn2fWgx9
NJXcor07M0FgpCzsG9WRNn/3vj6MmiqRsdThIjLmOfd5AbfVtvveNwnkCy5PcFmrowki/Qm7tZDo
L5xHy2PxcYJVl8047rKL1KSPV/3E3ICYNd3YsXOjoMcKDeUGUD8gKjwepal6c5gqVDSqrDGeXOCg
9/GIaW7s1qqsjBOPgg4uMcqv0NdFrWE1TkfGkvNWbyF46cT8QDsQvyu3V5BeoJ38Bm6n5mecK2EG
I1a+Q6WUWxD/qh2NewoeZ37LhwR9hGbBhiRs+wkR0eX1XiXDlk/Em2ejMwr5dLyl675hV8kWNhAU
8wNoIkPm2BXkanvkR5Oa7edZ2qA5nKyAWloSlNIGuhGP6T53jDGwhgEkJGQyAauu22tRJ85GpLQ2
hyCqgycJ2PbSHAc6yeVgfjh48I47AOLGKtLMWfd513+uJTTfR1x1MRub/YDrZ2sZzoFDQgEFNAy2
7h92B0HKTmdVNNZZaBPQR0o6AHdUfulytXPcASBdk6ReaXS7bibXU8c+Xd6O9U17/wKb4gqAAxDm
eGVKLJZlettaVSQFusd7V5Vo15qtADaQRJeHOrO2eGRwxxA1gQXvvTDwYW17CLg2aIxBQsFivmUy
xElGsdBndNdG29obHslxzIu0N7KQ6EZxsKxIrLC1mwWEYGVzQxXoSOcloCTahI7egRi9Vztl+yAc
5ezRLUtpyI1G/i8GX0RYoPRl2Au/5fExcpxJDsJpighgQC3AvBUK5rY0roySWiFoanvUDAbyOlqz
q2+YmrXFxsTfmTIA+LCQhV2bgAQFMKmTtojmFsoZxErznXQ0ed8kEGqc60x9ybjRbRyjk0HfcR/A
8OOhRYPVmvG1ItJJWjobER+J3Esc6t2MY4WbU73FeV+2XgJiwPDygTrZYgyKXBXg5WB/hers6rLG
hXBJnupGNAnu3HQdJLM6tBLsFbP5XpUOiXhR5T/GStvKra/N+QJqW44xzBjIUfBwHO/v2HJ3bnrH
iPIpTbwSN/iGic7YYJc4Mwp0w0B8Aj4QBArvDTUfLoxRSqUmJwXeMOmlj+eDhBqdNvWDEdkcvYCY
DOrv+A+iH7ita56X3pnRY0Q4jTTIFO5Gh0OfpyJNYCd10fkm6/WroVDTXqmqOdiDRq57YGF90Knr
UamL4s62AfzZeCZO7BIk8oyFtmMBgSIaWz1kmtJIWaG4HHVl28M81knQTF0w5Xp7uHyKTlZ58X1h
7PH2L4159nLKPqxyp6zBgkiKEaWGXV8Xhp4eKFdyw804MX4WOpCQr1nODQTU1/nlrETU16LzO6Jt
hSqQm9mRnmVJ1A2GuRfS7jbGO5nVoqqFsA/2D0Ewe5em+TAr+DttNs9mETU2yfcWae1ANfNW8uXk
BmIU8ADAV0Mvu4no+HjtuKwSpHasIhJzPf2sZ2LdtH1Z6x53rOzK6pPuykwMPQtiwvLg8r6tQ86F
oxjGBjEfOJLQVG4cjw23Wo6jNQF/3Mu49QZho17LSQLXtKbjAa09LIfX00OTyygS4dlxU27UmE43
dXnJcHQQ6NGFrev4E4TZgyAoI0WUwxP55ICGFJLXSBx3DtBa4zAaG6jBEyuLKaN7HrNddCOxq8fj
ZQ1ockqnLqB4I8ddbECxryWp9ejkBER3PHdBqJuK/eV1PrmJ74OikIfKzYLqWNk60+5mRQEUipTT
s0CnjWR40YYCsP5aazdWdJXHxbO9Gm3ljiPfic+o+yJqwa/d+tPck58D6XJfaE3zpbbsklz16aT+
gAPcKX+0hoYfcprmG7M+3VrgsOiCYdHxf9y1BoZMS0ODyzBGDRpdytxxfaaAj5AEBXUt32p/Pr2t
73QayFzDFjE8aMcbK6mu1ChA0BZng72r7NwG9QNxNm7MSXQA2nJANBcIHzSNyQl6sjJ4rnFTk5Fg
1JJ+ikzazmyU/D45cMY93tg5UhCMN3v0OjhZMDpoMc/nKr4Gi7/2bJAM0N+azhCmKvUc4cPlk3a6
Cghm8ayCccyFMVkf724oujRN+zIyCiw1tM2cneTjVqvwySVCLAuYMRxfUNwvZerjtTZbZyj0BqMI
xwJwoW5Sj8+GCkxlt77orC9Egybp35wZuvSRlDINgFYRVrzD/z5Y4wlq6mPVZEPkwJN/yWJW3UHD
ZSv6O1m/ZRTwi8AnAaIfV/V4ZnmvI3gx1BDFzeAemB3HO6syt2iQT9cPbesIMQmcW/CGrAn3YQlS
fWr1IbK0YgQFb9EiklPGXcdg8uFdQBarBZDiby8gCEMWuwdDjyLyyh2AilndaDWyRoIge1MWlQrc
Gv37f3sURM2gfQXqCvZjLWFYWJmm4b8ianRrBu0KpNp2MeH258vDnFhUeI1oK4EYBh5NCsLE430a
ZSLSDph++AKOFihuDn7rMtTj6qT9u24AuvIRWqLyDgZNAwH38VAOKMcLI7bbSPWs3xUps0Kr1n5c
ns/pucMgqO8jmbbwra2Tv7KbCyeprDYaJXVCR6XxjZvEciM0PzcKzANc/oV/A1yrx1MZWZWmsza2
Uelyd586SPZOiDc3ApnTvYGKE3rFwbu5KBKsRSRTzmQ79kgAFPHgXCOpnvsDIre7QXbtxjE4nRAK
lYgNUYYAZP4ETk4gxJ4mTlVHGenUNWikJlBWzvqGe3vykC2VC4RliO9NLN/6aYH2VYtEmi2jIpkg
Nm042o98KOOrGHikz5lTbelTLSfqYz4Nq4eai45+ZkRkADKuXEI7ie0BvKR4OEGfBUReZ39mdQzw
DUS/+ittctyr0ra4P6blsOEene7d0dAnUZmhWKU4EOopSPlCVcRo6VYmCdN+KjYsxemqoufegeML
xATSeuvDaLG8YmWyWArbqm+MviTfkmKY3kg1m/vRTeQW382p1UXDA2qdYFImsLvrAFsba0O1hRBI
nszWldUBN+wtxE4hTTJxzTO9vClYmYWXb/aq4xfuGNI0JuQhMKJrgmJgZT/auIuVAgnonmYtmpD6
sSxeiryS110u3c7nSZ6+zFleOZ5uwa7tJ0HzaYdKzPQ00KpN/clN5s9MY+3gVbNeWdBbdupkT0ut
LB8grqicnVnUHajKasle0bkpt6TZTr2eJUGoL5U9ExwayJgfG46aSo2jqardC42BNA+KgmlIi5xJ
GNzSuGKOkXAvd1MUAMZc6/kuFXL6wriMtcCSGmQw6wG/90rMkNT12hKq3hunaQX/R+kaDG46g+sH
5w9Op73yeidtbCwzdunBkg3KdQYv1FPcJfWbNdDkJ004fIW04gbxqOE2eYBeaKLA8oiyvQ8KG/Ro
ISzQSAioffwJvb1Z6sVmr5d+nzNlbDgz6BA8veMWRSl0Ub1DCLZ21LLYrHSjAvMieA0siJrnnVOG
ppGLny3IjATkfesm97O4NlnI0ar+0mbJ9GY2NPteVoJKz0ZZ2AwrfTQrL4b+aRuaLU+QcIX94n5f
SXWHpIoEh6PqbRHqRQrFvtgyNUhRj6zIfWYN8XVD4dD6ujAzgsZcgjbgwcnrQz6xPMwHYiZeU2r2
Fz5wtDgn7Kse97by3b6Qu7J3tF3WJUnpOSYafAOWjbr0u1zXQMolTfqUO828YDVnaD0ksaE1YPhF
2tpT3DIGnAgbjUcWm0fzRjGdkX1bw332VWNkD1j54fNgUpAHafpc/eirdjy4Elkpf3a7noPIiYHZ
rU0qHSKuaBuevApO8UONiB7N1jVLHsCtmZWhNugDvRaqm6Msz/MkJLIpX0aF3L7XSQVinVnKbtrV
vE7vCuLmrodp03IXF1kcyT4Higy4i6nU/GrMCi2odLPoAwtIGX6zJEi7gFOi0n3Rq7S57aQZM0jv
unkGr6R1Xoem04FmtgtRdJ5MGpaCdbE10P7XCQfs6sDg/zGYlbhunRFpOLPL2nmfzHZ3PxPHAexj
ZDTZucZsPtmp0TOPOlP+hfJBe9Xagr5RpLfKiCBmP6hYiCSaCzoNYYdK6ejZSQUGL1nyhVyRVaAz
yYTDg9i2i2JHrdR60eJJlb9sWVEz9o1sHvTIzhIGME49tq964wJKjy5+zflhcYK689QQuhvsomwj
MTmFfmMp6dgHGHJX+AoZDOEvpMeoNXGZE9z3zHX2C4Cy+xmruVV+S8EbBTxgZQIuPloFDZJJiPuu
7Inc5WUOkiOozEC8kFMbipak7ZK9PqdlfCPFWEDmImv0HAivgU9ehqq44wkyqN4rdD1j3mQp+qhz
lg2eqin5pCcWYOkGL7PJk22mXgyV67WXuOl0Zw6x/qhIkc5hZvSZhvNfyscEr0fqWWU+xV48CDHu
rLxAp5zRZMviZnChfOm44Pazq6T7mcSu9q3Ra+1nWlS24cXxMyJHrzInNMJ0yEeGlilzCaufzp8G
p8Lxahl3ABvVa+um6uZqZ5l2PgZGWQ90HxesfSbdCMobOkBjzMtUZn0eCHw5JLxIHJnMnuadpo+u
6/HUQWANT0TZHkUB9bHLSedgzVRzM1Pu5uFYp1yhnz1eEKJVDM3GMRv62Sd6MR1yeLUWGDoT6Cip
QSUaavn1PHtJmxbXPaf8CSeNP+SJBgJePG/D4DWyRiKqRmj5CorHuApoj1PlT+DA/zbVo+16XU3U
g4CNJtAI17nlE3vMYJoSll7XsSPVLsmKFEJYeacX3kQc0PtBQtmAqo3T8mbnpjkD3NgQNNAbor30
sdH86GejHnxb78yDmZRD648M4PYgrksQDgx4P5GZ6kzQpTuxDQE4fXkAW8tQ92IyeBZpCCenAEAu
QJvaKq8eC2seu6A1MhPHRIrEDQ03cyGiYnVWF5ISuO+Q18CmPFpjWaIZYulWDuxqaDVvnMEuDTgw
HmNtpA31ErN0wRfMDLlzZV6N3gx4DLonbGQPsbrTrCMMH2bkXZNJ3uL4GuhaovrYeEgBx+wK91WN
1xMK5F+NWhM/KF43G8xCzP5uZzkQu+5kzY+FXrYQFuGy+2rOJgP4sAX7pEemCUrx0qLlmx7jG3Al
Et7tXOwmGIvZLIK8obxEpZ11PzLMwobSMAcx69CDtscblGJFmLutlvttxnu0rkG57EllWVN4Bo4e
GDVSvZ2DnpZd6XMowzcQaqvKwQNIRX8phBzpXUYgAhUAIpeYQWpLyw7x7hskmIYeHxqTtOlR4KbF
Q5OCLNOXU53diVlrrGByGi78rGtrDVU7al2PTgXXrIo1PGGGw1vrdsrIALWLhAtjl86phQk4WUv3
HSRp4/t6yssqNMbKtj0RwxD7tEELsmeXPdDYVFDjym108tkiyv4xFy6aOwQ3BPSW4bzku7FPBRSV
KmL3z6VVUvUEESSpQocCM4Z3oHd+ldRNvsCyU93Xu3gA0Cib5Oce+Re4bqJHj0rbx1QGHIwo1Edq
i9yYvdNJfyzTJPc7yNtlQKs5eHDzZIKNKzNh/DIT0N8GNHHzA9wLm4N1qinIziUzsNOgpAbWPkn6
Eq3GE2rVPrhp6599gdRS2DeaQa5NEeOlnKYYzCPtnJrfG3QEoRMuh6V70IWuf0VBpAKJc1FoxJ/y
uqTXNYAyfA+BtWrYNXjlZTDInuq31BlisD4n2mDepBUt572BcpyxEUMZxrHD8+6fITFJgS0FeSBw
F8cu5KBsUenxbB4Ujs8trFtpo5TXpaPXtCaJ/bxFRtZDmUu4uDYdRHMbmMSDUY3jUy+QzgjMqYGv
USEbDzwqMGIktIXj3KomS9wgo7VJ/BxY8O+d5ljVruTudF+ppil9g7t4xS679avI88/pLNUeF9Vn
NCSuPGJ34gDktbV5ECweImZ105Umxq2OiJWX+D4KCrBwvYG5A7XVKtHGKpelZttYBx28KtfmOEKv
RObpwXHHrUL6maEQj4GLHHw6kCxcR+1Sm0Z7yhLrEI8oe3jEoUhU9tCquGImHPrLq3d2MGRP0TmM
cOwEVSdbSUAsV1oHRM+Gz4eRRJrqYCwY36pxnB0KswL65p0yePn5h7yh0lHLVbWwDo4xdfC3Jj0o
GK89mJd0I8O2imiX3WIG4LpI7qEjF8fieKimhQLA3NroCInt/HmOe7IHH5KmvEQDoYyWQgjg8jKu
EgV/DkgBGmQWEEaGs0rp4RnMbQ35lsNUqBc4T6HI+2cNhdxe8F8j+CA8V2VbpIDnBwX5J7wOxBJr
ONPYuU4BWB47xLqTXrdzD84AQd2Qp6MVDokG3zbT9XE/xOYWpunMpWM4pMiIMCTJwNd3vMDuTBYS
nYYdxhznxBJ9FxXMnjeu9umJWbKXED0ArQvSMM5iyT6cGCk1UKJUcj5U8eLt2K3+x5KN8VO8Hxv3
4HRCFJYQlErLHUApdnU4E7Op8jHTJoAaETSZ3Ox2jpBfL5+SM/OxGKprYHHUFxjuaj5qzorG6E1x
EHlT3aWNayCL2bj3vaDtBhRyRVC5ROHUdlCgBYwBRTYMebx2sW7mDbRWh4PkIr2Kk5pcVUVrfutq
oV1NvTY92CqxfcOWdei4ibsvTHd4cst8OIjJEnuU/v7Ccx/BuT/iak/PK9YWYH/kBkCPCC6b409K
gH+TRMXdobRyqClSjbxUljbcNqwA+dJsz1coXhfXRe6wv32QFvVy4FehuQSm8nUBOSFVQgVaZA5w
LCdvVu1wBSepDpxZb6LLe3x6kIDZxSDv1UXAUBfT9OHMNlXNcuIM5kGfDPj9gCgEcLO3bOmKp3bZ
XhO5aQZTiio8ikCrC9i7Is6bFncfKkrsNkmgjG5Z0FVAenTaIc1lHJCwB6VWYxs/rE6CSysWnWfO
Q32luxD0GkmXRAjciYf2MEiWsjF7nkY6+5ZS6Y7RPo7mhjReZWWtr1lovkXjTfX3KGH/nIUNS41k
Pl5u7M3xYiEZnaU6zcxD30HBuSEDQlHBXSjiucWWMVkO/CqXuwCYYJtR/F24W4/HIrRFg/okW8Aw
rdpnTkIe0VMK/x1V7sg05wJkosU4btAQrY4Dco5ApCwSUsCbAiq4xolNZY3ATHP5Hm+fHQ6ohvvM
jc2N831mlPcOAZgv1FxPhC5tlk5Tbtj9Xq9GAswzoqo9wCHGFqfXOv34fuyAJgT/JPhTkEJduUFj
W/S2yxk9pADqZxFrY733QaJniKvYkOmrzAbtm3LsuPBiWhf3FDEOqFdnhdWtbDmA0gDJSSRY8Tz/
QoUo3nqIVyuxfCAS9Uu9cGn/OwHbTonD+YzUwcEceBs0tKAg1TOr/d++5IgrkBDErgJgucZ9NyWy
lM7y/OVpnwRIztOAlcMWxvB0Lgw6caAVQQcH3M41zAa0IU4HkDA9dNL5BgQBKrxVRQEEuTyZ01cJ
rh+4doEaRuYWGJTjizF3LpHWnIAHnff6E+IX6qmGQdJhqLfogM7NCGVd/AMSVaBNVsbR1IoJyU+E
NMAHSDS+ErUDWGmrHf7chBjgwqBUslDYWJPad4100DUmjUNJSnbHSTw9MIVedYCWthqzl7X5YFRw
3IDpgt8M0B7KGRjueO1EZpQjlLcJEDpj6gSdU9s7c6LT3jRTcZc3aG5D/qhpW0/01RaVx5l5okEF
Zx34eXhh644A4HSEkdaIfDLhtjeVLNoAtEfqyhrYlr93bqgFjI2QEUmPE4daz3sTjS4m5jkjnUYJ
yClkaiLdmdckvHwcz5yRhc8eoy3/Q+HyeEnt1gBhZpMYB0DQ+Z5I6LU1WvK/OCNgtjUWzSkEUKhc
Ho9SxK1J48mkh6Qaih0mF/uT1GVgZPUWle6ZCWEoF5+LAsMiF3I8lKENjj3AXTsoo0L60nYylA/j
acOBPbNDeF2AlkWWEtWttcCiWSZN51YFDj16HO6QjZo9MTbDZ9jyrXrh6iVdDj2Gwh1GhAobu46u
qtSFAHwujMNgjfxThoRx7imdjfQwWWWyd81ues5qqekbUd3ZcRdQyILPAxfistAfXCu9mHNUhjrj
UDXpHx2y454meeRO7nfTVCC0lM7T5aN4dk3R8AlvAWBHc92aMjFzcO2YG3hMXBSy3AxlKmDZw2bM
//5IOI1LLLWcezTDHk9NjkPR8yKjByMdyKeWua3X1/Zwj6zg34RngYwMVXowSC+Ychuk4csqf1hF
e4wdoFLwQhojyAB4Mfe3vTtrG9i3k71aRgHQF3cL4wCBdTyKA8E2oQoc+rQyptazVds8CFtD96pZ
UcsrUOxgiMbT4o/LW/bOKHRkkVFTBnoTat+L4hKu1fHAxCjsEowd9UFIaUsvB2b8yWGVfNbMphvC
nPUO0q2S8L3QWWIFpV5Tce2kMkHisurQN3D5g05uPxIQ6JJEpwzCDmSOVuashpHT3XmoDrItZr9u
q+xpnKi+gRZYlnM1a1QzFq5CoERQw1xtqjbFzErUWB8K6sahhtTmXk11vCMJfy6gg75hbM5MCs8A
elIhfYSgas1c6KhJzsycy4MQKTokGzrsijbe0gw9OUOAaMKRAyLBRBoA+tVHW3l5G0CFf/JWI935
LoHpLtgrvJtHv+7/OFZJeDzE6b4VjH7pwdSMPm5dH94GmbdvSKbPNaBLFloaUSnphVearoSwEwoC
D30yai8jPJvnEd2gv9hkkdLX+ZSDpysbpzjEU2X3Ufr/2TuT5bqVZMv+yrM3LtxC30xqAOCcw76X
KGoCo0hedIEm0CO+vhYk5UuRYlKWNapBTtKuJUUGmkCEh/veyy3Nidu6hsie1baBI9uZqAO1mTGW
1Ct067xfm7WOy7zub4KJQlUEHgsqqkr0lVQ4fV9PrMbFJda2Nql94EQmXYnzrOPXFxPsdIN9DRBA
mlX6IXWbJtl1SpoJbRGX9XHxetLqea8V+q6px0RG3Sw6CpVUHx/boV2TUy9RibULDHsaQ7vKUD0E
WmI8O3QBKXf9mLWfU4G1JSoKSvzhlAjrSzPMhynPVz2sO2vw97nwlzqe59W5aRFgighj1VCFiNkd
9AiGJmJZVdVuLiy13iyoPNBi+n5mU+MQaRmaY0oBY/Ls6RZTrZ/t9dyTTojisLKiFcnhsbLJWBzW
rMtu6hHJQkygl10sbt4AaJ57YimTIsZTVToiLCefH4/YYdKyz1BLiwRjI32G1kiVq7xVBm7hMMvp
nRFTtvcoUY/SOpeeJsAVoe2TtPHu2tu+r7HwaEax3KusGa6dTLO9nVYUJgLodMXx39pu+9yktrrO
kmbxQ76x0dhV3kLdpHPqJo/JuCCvoPhIblytSiThMJXrkZYZ8xRmgx1Eg5OKKM+05dwqVJ7GxchF
xz4hfsdxyfEegtSDzDzh8llOyqCaOmq4aAliQgtxppVrle3bNvFuF08zP1mtT4qm7IfxPpidtdj5
w2w+lHYhXpIBpUPc5076NbUXAafGKeaeZ5S4TNDJ0zbHQ8PVTpiNGZsVswizefCOsbEZGo81Kz+n
kzKeTTFzwkOk5ts7pB7TJSeVgTnpMqWjdiiIPjEFN89NsxRZXOg5GMCEk96Rthb+k2Op8TQzEYLE
izUqNyR9j/rYzAKbfh36XCbhLIyxOridL5awbJeEHG2gpaQlAl0xq2y5CggunfmNY/SS7zqqzj2/
NEie5GpMBiW8Vp4MiXJVuDptdbpYHf0/GpD1j77q5fUQUIlpJpHPJDOW0iHhgU9516/Iz+Mavvq9
ngbqzDBrah+Zlg7Xq5vJe/QEqBhnkSPWSMdx4YrqxW7DVBnri1eoIDtd26a3qZ2n5TFFsWkOOWe5
lNUmawkivZrThyzXnacmSAG5LqY+/200WVXF/UBxjipyJq2ocrUeVR471hctCNQ3s0jkc93n3XVu
FtOnin183hdaUT+UTTmcLxLbMxAducgozRfvPsAT7sbZhOAoElpXdZE/ZMWLV6apfWhsvTJP20Sp
+1RkWk5tiabHUbPUKCHSIfCfKjVr1c5VrX9M91e9OFKLrp5yARo+0uXSQNMkPXO1Knd5nmuLUj+q
Ivk0lgNZvGy2y9A2cnnR1I4qd7bV6Zer6dK0jKKounVyqWsc9Skn7Yy5M0QoU1U/93gbII87Wgm5
bk6pO9cDIqGodUk7IgzrqlDv5swJtR590rEnfLyKTep2VmwPlceVJ+swhe4UtEU42H1LKXHMazNc
yx62/Yzdc+G/V//SZEZ3rJ9O30UUUAaFNMVeLwH9Qy1TwQBOb83oBLPgkb2muGtkGPhk7uyVxv2c
pl7uP5mNzl5AeY50wmr7lRW6umCmmI70qt2UjvTAVBA4j4N5bRTQqVIaR41rcxdKyew5tTBYh3aC
KzcyHGIOuoiD5on8KsNQbVq1+RnyP388GRz/2gkamyV87NIu9PWE7zvLarVH+8JS7cgle5R9rj/N
ftmaoQry9DxIdac4rJq2vRttXjcdm91bsVRpsERN38uEIiwE+l2LgtP8nLZlz+plK/dezggUjijL
SLhM+uTeaz6fRhiQQ6L+rPz6764XybJz2NIyVEKdA5pXGSgTqGTXDz72rVNZGZOIx8YhGLBXBa0Q
TIMaYxjUoj7qmq55EqaXM/UgSTw0cy1gho09ksLCCAbn4FXCcELUHeqicFfvcZ26Jj9Mi2HvhAjo
/TM5ispkRtnbDetC6x/BG8JeI63mfGpLR/taYB3MwyV13CM3RSwWrXNRvAy6xkdItSCtY1uHM3OE
Mid9WcZcfqHBVu2EGUo6inhAFOjvUDSUQstSdFq06vX0gKKAmxgQrNGU10ZVEeXS1KbTyVto7mhk
U9/eCZm55hH5VkuL7VarprhfucDI1Ga6vNp113kHjTZwc4wmRCG88215Sd5MGLjw3T4I03mdoPB3
CwqnqJns0jzm9DMEketJ34qa1Rj1O3c2YCn1pSrLuLRT/3kxUPOGeZ3xYvXUmjiJD5p2X1RFbx10
MYE7KFY2tkjze0rOKH6Sm9xBvrAug/diT/XykjhpiqRHOosIa+H1ZuRTFE5ChWhHRmRWcj8cURbe
k9Qwr83WW75wEesXjBPrTWnL8m8EBcHLNAsm2kCh/nTSJBeiNX6zG91lZsUU2YOGYOJvY/YVfJh+
qynPea55sbYUycuc9OWnsrGca9SL/rUal5Topmj04US09nzkjR0yC9KQZBqCDrZF3GhlQEErs5w8
RnGJ2G7QOh3YHq6Ir7Ie1/w8L/vullVK93bN5I7okloKtTuZg7KL+2lUzwP5tP6AXnpqcP53NZ1t
etCkcWKXMjmMbmEjrpizdtwbMqjdg72W5gWfcDLH1BeKYkfRd30OptrNDrOB/QS+WTV/0oeUZvK0
cZyMqLC99ko6Iv9aJClXKQwrQahnyrILWwovI3bhGXTcyub/WQuQAcb+QuLNHcuAXnOpRY/LoUPC
s2dxETdFX81ntW2NT92AGJDbWANaX1Udz7PL+2qJrGCB8JZXPiAq12n9aJ5N+M/JXPcFceD2tVDI
I1SsSRPTxTfv6z70RZ9eS+lMyEsG4Nc+cz8Lyw5wQIQmkVBTn9CYxYSE+bQ3Ryugv4s3FkyjflP1
bOqb22GeS2xErtP4ISqi/O+RI4N+TOg6n/r0XlmO/Kl/0pf0KS/sNA8JUjj7jXqxHnoCzru+cjP6
VDmIdsLFd5qL0srRJjLNPNCjdspDKszci8m96WNs+4MrI4ykVhLRSSW/gBVBg2I1jooeOsprx8g2
ZTJ/xvuYfdU7oZ8rvWi+TZo2XWiErc9GICzjaFpAS8SiQSIUNcJYOmqzKmkil8+2iApD463mVSW6
2Co06R71wuTa6bhiP7uJMu9StOLdXtrtdFIUq3sxsc+tO09J/2JJRgMdY1msaYjadSC+R6mT7Mc8
Gys0IEXwRRmigoFXNrwty2cHjadRm2RMHsqYTwOldDPuzJ5FdtYy7XlN6ecC+rtEvVkJ60Ry8KVl
c1G38yfNTdWtNaYDCg268+R4oCDKhzMv5IlgwcMvmYJNZvMyeYeLm/aXuW5NTwkwqzb026CnvqOG
9twedCQz9iQ9Nxqkg1hznJHGRYvsiPWGomjRYhZ2IXetKJSPxCPIjhYgfmdIF02Efzmq5ajy9OKJ
Llnag42gipCXuI5Z+djUxu1YB5D6V/NUE8ODtOYjWayAGTr+J20X2j5pTPcs6UPH667gE+8d29+5
yO3XQduvOJw+JdLCd65oDwfgRHbsyVLMj5hSzrtgHh/Kset2AEAhYDn8l+iDW4dI4LLQC/MBiWpV
hyql7rsfi8a/1hAohY1M/QtIAc6um/pd6TWxKodra2YLRIjqIJWaCmNHtgLFWiFP2tm7zW3hxs5S
7efAllGV8M1FKME5RGnOGcKfk6XLdzqNd5AfVheWh9O5S0qIaohybaThkTHnQZh49qXZw5M2S3f6
aiSm2nlLnQLgzzyObN58UuedflWkQXBljN5ghL6Zn6xBc1J4Qw840fauRm0cY6u0gHB2VXDv2+ih
2uTOIhEQ5zJRZ0GQlDcrXPJYl49aHufDMl/PpntRIAKTKj+aWB83vzk1UCgo+uPMkuik4+WsysfE
RBSKAWaHujWSrhZ5stshRAz9zKV7tXk0VvOl56nYbcYbPT1HQxoXRfot5ZRYlse6MUrcnPOd0L14
UqJFEDWZkfLuOsJEOu1GxH7RCCZhJj+ernWUWVaIUoOUcly4+RelTr0JdtDkwRnVRLrX0DWEHD/i
bFE7kZ2NOmSmwcrrHeVRFScBHtWWV0BudCIWWIYr31vIShqpt18rWHKqLk81q+p3g9E+eytHC43i
0ZkH/+aeHZ8vAUG2KfdG0XJudg0aVTliiZXrAn9KhqM6U7HNnjYFDZuAFFdF2X7r6Eno06AwCqbB
vsqlcway7jkXlYpXzZt2LtauQzDIm8pP8zu9zc3Taez1b6Nch2NEcn7sqmyIyjmI68VodrnnD5Ez
O9cuVqcYjP5JVYibzLW0065o68iqrAeDgDXKUGaHbdN0IYeAc8zl/aUuu+DJ85pHi2RebLjC2SnO
5JHTiXNZTQeffTYShlrBrOVfqSd0p6lc4EL63ZGrN7emVdysrAyIFedwke4xKKFv9Ly5s+TnypDP
/qj2g2WctL6OpHOIg9U42Ll/I7G1Cz2ll5lKkPHhg5hcTjGsCgGAj7jVgqOq50ctuoA2HFb/a5lZ
D4Ftf82EdW+R9TTR+ydF6GYpXICR8yOizE/rgh2PwrBTtZ9MO33y+jZ9SYu9YOk13ZL9q0xiMa8P
ixL1NYVFpO/NFxohrBfItZdbGyb9qVHCYnV7I+L7PZSuR2q6JFh3+uOOXlqhUfVrmEytvLEaZMmm
Vw0nrVcfsUCjQBClriIntcFoL/4LRzrWF8eMfatK46YY9g6BT2i32X4Y2n2TDV+LPGjp40XLRU6O
yRmRcvNs527wPCV+ccuXL0NgNlRnjelLwhF8vwTWubDS29IEfKTp6XKRuA0sb1uVuohIju7yAvE/
Yf7posGmNm3agXn7xWu+1nafA+atZBFJX12xre2tyr+w8/moI6QfEe3lfbqETl2bx162QAH3F+Pv
JVB5GMwBjhe5z+b5krnybW0+dfRl16V216aCyL+zPw2+dZkCUkU71S46F9ee2svxUtgJu6VOgWE0
RvfEoN/qSWB/ZZ6rGNk8DEDMhhM7NWkc3BPXUhQVDVJJtMROMBgnpuzdIG7zgr6evoU4SoJCSKp0
pVNlZY2HQDSpRQ2mkMve7Oujoupqj53GoB1tqQ/kW3RyDpEtRrJj6UQItWerFcceYDw3oj+brh/7
CWswqKusuAHeKapzvS9M7dYWHS6xECmsqz+wrPVeZHSepR13ohH9ZSbkcN8gxeWBLm3vXpAuLLT9
XNVmf7fWWUN+RLXyeCSDIXYYhnAUNwnq/wPluRQtLv9Hg4vUy+anjuIJtoJeZ2KKwEFjXbctELk2
EX79aeZNdN8sv10tNlhRxPY4599ss121Pb/OQk66LNlz/qq0XVEizNhlRY9u3K+nGY3muMzZoc+s
tt6XZde8YI/VaDDq1uYRWh6DLAoa+5d6dtnyhgGMw2Gq2+GzWcn8W1Bb+T3M6tELCznNZF/ITn9R
6ezdsA3gl5ghuT6SVzFBGidqAaBPev9u0BHuR3Mt0+mMB9WyXwhL2BEY4PpqzizeGbIqez0WJvaq
WB+bIr0kGZoI1rayu80yf4BrkmU7Tv6zODb7YOR8KxsAZAvp0ikCIlfOe5O15wl6r+RPq0XD3GEs
jsFH1re35lzlF6PrOrtUb1nEqmK5kKQz9oHeygcTI1N7ZM+YHWibriEPR9VPXl8biDPDSfEFRpaz
qtMuQw9FaldN81UzZvkTSmwcJWsOXDzMfCPr2fHznmB3HOsHrU+J2pW9fQOr8tsvvEe3jIdhDLAd
WPmEQlZZ8pvXJbqFP8n3Sl5NRQwbSKGTTu41dLEUG0g7Mf/ZJUtjbD+zJYgXb83RDHemRPVuCLM8
Vx6QvzgbhNW/2EvnkjhzLC3KTCwsOOXG5QnMaWaE5SpIpaRu1V5lKqEndNHV7cj+VQfs4EGX3IlO
zA/GWidJbE4uPQhs0hRRkVg0g1wbMVexqMFHH+X64M94dEQJqtk7T0m5PhZjPY+XllDyJHDcZGGf
9FdWrt4ryVPnpFJZ/fKchHRiaS9DMIsHq1ytMyOzFm2nLzrxmd+VrbHr2sTt8UO46iavVu126vKg
isbZpm0v9dLcC1svN+7dUXm3QVLLem8aYrqm20BthVVh9A9m5raf2k5Vt07i5kNInp7gzBrStg4J
kTdVZSKwWOg4uA6NzGfxh7LK73UO30YovRntTOoqb0u38IycXpbJcGwvWhLDjBkvle32fxjl95oV
pyJ0erASsCjS4/l1oeN/iXxdp1Tv9ONVa43pQOjuXgdF86VDurDDImfs1sVNjsw2sG7R+omTmUzc
3qqd5A91nd8KnnjFUQ9Z1NBQrlFHe10iKWq/ITIWSHS7rHTDqVhIGtZaO58pJ/P+cNu/16zcTUOK
Mop6v+m/LSMvmTDKEvrecUs67zBwjPs0s4XsVtfhy28d9+4PJaCtpv+6SMbb5GWimdvAnm/1ssbI
/OI4Ox77ZZD0T0Zvu48A85C/1a2A4M4JLGjiKrdXEsNT4cyHgC+HRsbgEg8fX8tvE4t6Foy+TY8G
XZOC6+sHPcp58ugt4xybk90yzNIfGojtf1D2vDMKTWvICNN7xaeQtr2BX0q9Rpc7zeoYiifcT4eg
LsVZUFOW+vhefivToedBAsURD3yVC4rj9SizL6RV5Ik6TqRrXHgc+46ka02fXOREHLfScW8lTh59
POg7MxUnIoJdGHxwc96CLxB2ORg3PXXc5wGFMnY0ikcAP5COqD98FO89RXRYFjxW7KG/WdvLXOs6
a/TV8WJW6sUYWusi9e3+DzPivacI7BXAG5/epit7/RT9hGRZp3R17NqldYmn0m1DMU3Zfhy6Zl9Z
HCX1FHfOx4/xuxz11TfBDW0EEfR8OrKKt1opJ5Nrp3WuOqZilQFSTFYiTHcozWeysTMnKCAY41bO
Wj451rzer2RN3e1YFNDrr++thZLEvIXRemmfmV2qkcyVOjXK3thsVx9f7TvPCAENYgyIkBwX3qok
Ft/rdPr/oQefyXjZEqZsM4i4U9oQ6/mCgLNFAvvxmL+tUhS5Nyoa2lFev/7W+JELnIANVeHjjApb
b+ZlXFkFdbms+FJT/v14sPdukEBpQzezQrn+GzmZ9OWcE3Hpx7W1Arhr0gkim9TyYTd7mX5T47y7
U2tuPH487DsfEyJ+8JW4oMEAvFV1Znaw4Cb2yNwNojxNHNQTdcXpoHH+aGB/ZyiELhDnAPds0sbt
CfyyJLmrQLQpzeXYDupuJ4MJX7SVeuNxVdflH7Qg743FN+v5LPhIUd4qyfxstXyMvuo4GOz2wXRW
CqkWyaRQiDX4g873nWkCABjODwJ/QEvBm0WQGD6ze2dkEWxcl9YSBMg73a/Kk5TX6RPEkcb7+KW9
syxhoYbLyIa2oWXfjNizTS/6tgKWSSP3tS10Ui2VdfPxKO8tEOCykFKarHzoS96oQyetQWZucGMl
oMUnxey9xCVFqX3IGvNecyf9vMqxCaOIra8DNtNTirvu41KhQgxNK1/OkiRfdmOeIKYgZZgeqDuv
f3jT7z0LuHdE/853+cubi+zzumk7W1PHNsK0uFd9Ew/jMP5hKXhvlA2sy0PYZLJv0TBzugbL1AXr
caJ881DlVEmkkf5JW/zerA2AHqEYdGES+W+8S1llDMmUdOqYHhDaEf3H5/1KRYZjP+KS7y/33wLs
n+dPXdM3fw+v2fmvqfz/57J9qW+H7uVlOH9s3/7LVwz+/z+g+5sW9n//g2v/G3P/Lnv5r8Nj9e01
dX/7nR/Qfc2w/oIMsGn++K6ggG5fxQ/qvma4f1HuQwfLQZ+fYaL4H+w+v+VTDGQnRXMMlWxTA//E
7vMjNEdw+j1UU/D8Heffoe6jx2OZ/Oe2DVcDy4eJBYSJAtECNOrrZbTtF2NdhLg2lxz/8qa1+FpX
HcU0+AZgPRws4e0lpfkhuPOmoEfc2svgTu+c+Vm1Apd+qvvFCWV/2AS98MU966K/xFpbBMeib6z7
KclNHaaTbsdBlqubTZWE5InSXHYiO83Tzih/oxeY1zH/NA66/NpR6ZsOylxmcmNd0stzzrekltNK
pCiROAYMYa1P126ZjGa8SOl/DcCnkGzP01lGudda2FfGZkJpMSm3ikhmVX20mYHnEHVFDz44S+yd
G9CqIEJgCKBwHSdcdasfCMrbqu6GPX+SahAGQJraddK3Q7/RE3zrAszbbJZIvlQBU2SXogGgM6c1
BlR/fBJDwWLTAt1dyZXue3cgdZGkM4gUp+wnaqnm7LURksKihpi3THctpI6LYfSUHUqpHA9l1oTC
R9kBfuXOITMckjVdVgAJUoNdbWfrTtN9INkWgpT7shhwws+VLe/ntsSkYGD9znfustRT1HZFbuxU
awp8/dYk09DzO+8i15RFtS5p/TbU50RfjlavKE3q3ZlDHw4O3cuRJhro/MkUIEOxlfnsGCSU9gEJ
DBGntJVZQmk1ZRZOXlPoAD5mrd9R7sP171e6l0ayHHNBPVJTd8NarLrxuTez3KIajCSIPIpTDkdG
Z5sq7FyqI+SPRnEm5mIZ9l5SlWk0ghmrdlAplpsp19OTCh+JiEkQL1OI3kz5u75BtR6VhZHR37eZ
Ebj9Z1Eb1u9tQbZTzr9e1c5p0jwML68aiWy/8WNNs52/MFk59LGDc4PAb8M4/1jS+AkYJmDWG75t
CydYTH42EtEM8y9iJ2ezZ20rGx7J/1nStp/hiKYHiQ78jZ8SX/1jxb36sVb9aObyficRhv9lRdsG
dj0rwIi80fgIQt8EhpqkQgRuyQ8biouHgljkbNxwz05pPSWDXx398mh+Dv+rF/H1AroN56NKpjEp
izkOnre4ZZt1E7s4dU3IAWZUkn/E8pz/KZ5/QwD9OYxDpwEcDZi53xoPM6EpSckzCJETuIgHZHpS
8uWSiyyt0xXi1CFBetiHWkdBp2MBvWgW+09eh++j/HO3+HEVm7+bHk+oorESvd4tuo1wuLQzYoe2
a74VfI3XqqTNbFL83UDoee5ZuxBviP6kcvGMoYOa0JwhYNnVZPKuXEQyXx0Y6lRMrAosdpJPL91U
ievR6aa70ZlhATVDeYb0lMVKp6h+amjIwiOPpiF+FiT+fqSqcJxO02JFndaQZM/0pNwVekWJ3CqG
p9ERAHnc3GP82aXNSmqOX7O6nr+qbr2ygza5cAEzRL7Imn3AtnWHBLKODK0rAOv7FSgVb+5++sj/
EyD994ay+9dLyU6Oj0PT5Y/ivw5I5144T/6zO9H2q/9oTvQX3m+QwYgOcOzgR/3HmuL85bKkkBMy
kb1jOdhSnj/XFEKr7V9viU6ckZwV/hklacZf9MnAOLA1JtZJg+BF+zeWlO+el3/Oe66HrIZL7tYi
mGNM500onS9sfH29Rhrmbn9nJ2JyqYOq1g2zKq+/aKNWfC2CppFRu+qVR3FI1suhqo2hOxdt6tFg
i24iHGMcxNvhgs3S2yWTW36pew+YiAMZToSUX8anvNG1R0c6uji1dYh9obL0po+V6WggoDTbv9Pr
NXGjAErYsC9QdF8iOQrMkB4CIzTnWo07DXRXtk/sjMMxNLD6bPQ0S8Ifs7vx+Je3+c7qt52HXj2Y
zbTmUBqnjYzFgv9mQUDFjIzN2aB7yXyi5834xUCFC7xAZWei0GDNY/IEUgbE8/7jkV+vu7wSRg4Q
yCD3I89NIP16KUIJj5TJ08I1TekD77bDxboY7R/M72+ZbhYuUCYd2xV5ZYON6c39rTNZrdEto36E
oR1ZnqRwlqvSudY1Yy0tnIdg2U69wZHltTYRlLLaZbkRZqgq0MHPyu1yqDktuJZw7dqZXq8q7c5s
jWwjycaVHgyoEizoPcKc2n212oOHnswbbVTUGPwjG3XoJyP43oCoo9oTKm1ZqGotCK7icZgHejKm
FnCuabVvy7axn9dWSLQaGUyQ+aZUnriBxbE8dNLLLpBjmX93DRL4uE31VZ2Qf9AfcU80JZkFJJOh
ia8+lo1f1+GK1eZboHrx0tKZS0UkiC15UlnUykADLVqx6wS6qPMFZzmahqYCZdLDT6NDiq3Lh7KY
bblTkHNeUBqtA8waTrtUoRPq1zhEPQHMTCTIGdfR1Y9sHMHrdcJsvwrQGK+RMJup2NmtaXwxYZkn
UaKNNP3I06l5qUZTLTR+knS1qgfdPlQgELbe1QU5eNygeRBT3EvKU3Tq+RLNSkxNTOwLZqa12RFC
pVPBBQL6zUZJv0ZmkPX97uMJahAh/fJtkJMCLMuqhmOHdY3Y5s0M1egqUYr+uQGIdeJw1LmelgHl
ArVBAnZkTUq2ANq54Yc5K5dQ+NZFVZN8mWVJZsnI0h+Ryn/2oP/eTrX/eg8KX0SuXkWz27//eUD3
vb84foOTCICtgJ3dbFU/D+h+8BdtUjAXE5SCBNq4xz93HsPnl2yoGJSvWRuMrY3KP87nzl/YTeEl
g7/HRwVa+N/YdxjhlxnkODiWCCmJmDcCOrjObfX9Jcc5mnm6JRDoVKdlxz624LzuTlL5p7rE62Tx
z2HAfgOutOELfJ/IvwwDxI89Vq09xGrttBn0vVi/JdaztWRXwi7/ACw2tr3yn1vGz9Ec+KkMRV4k
2D6bX0YruaVNqdYftqNoShURRfT8BT1vF3lVFUSd3e7QG8kQDxA+6OyqmDS0bdVt7eXnrcqOl+7G
3gL6JO2/0Vfnbui1z7/Mj6sfF/NrTP+mnejPa8Q9yfGBh/9b+dKYrcRcAmppFFNyxF9Q/RG9h3DH
3LgQ2m1myDtpmEdOqt20pUmnao1vGeX8lV0EZzpZ6VLLeoRkwqSPNc3jgObvP77G71vr2+fIHKP2
x7GJRNCbc05mQ+EsXdqA4HEdw0SuoTF2+6mgbD4W5omGionO26gzJYq+YqEojxTPkt5hsaqjLhud
SNfGh6yTX+e6vlWkH5tGof/Qkz+Z9d974wBkmMF8ad5v3nZty0KRNukPqYnTu4VeusvzJA1RnIZl
E3hHbPU9kmFwZ2rW44+f0+s44cer3KDiurt1xCGSfD3d9NFvSRTReVB0+aF2E74j7eHjId5+puTp
Nk4U85kjrkGY+noI1/dzGxJUT98X/xRy5VHulAcDGOTHw7w5A/L3t3E4VxMeU0Qkd/xmHNpirUWd
9Ycu6F7S2m/P+zLPd41Fegf2Gg03fCxeOe64GFNYGcqiu/n4Er7vWb9Ouu0StlCb5Q+L8W9t7FG/
whktte5Q2kFJh/Ri3nVVO33z53WlOXTTaSfpQHUvb3MghjgCH9LSsckMjv6Z7pRtRhpO5C9TK8p2
F3iNHzmVtVAzdOcjw+FP7SHE9F+XLjlPZHDRkhs8d2ovgA8wHatCtXFmG6Ged7CJp9Y4IB67HFtt
POCvYOdMvcupbPZLoZJPTYPedSjSsy37esRlnGl6N+3WUnPA1y/pHWJlG9AlFqLZplOPnTSXfmt6
OzsvdLJ1BTTuDtlor2dneJUElTO8wGSySP+hj3dJcmVDqd1rs1bu9SCtdzjkvtlVm4YG8RUiem3n
TkeWOZs7axqCMyfIdh+/ju9t+N6+DpANAXJUAg32i9czAq+JDwt2Y2ZJsIVoojYu+5xFLA03HqsW
fNsbjLX5QS6b17JtM2RmNQdoHGP6y5g7n8fRmi9nVPkhRrdNLVV5B3rVrDhCfNRMU3reT/iru5QF
mVvW7peOH7ZdKsOOmsXXtKhB9xXjEZuIE6eWhDaq+39/fJ/vfWC0nUM/YzMBSTC9vs011ReHOLRj
Aem1TwK293mq+js5ipePB3p9nPnxhdFiieMMhUXSWG/W1Nnwg472t92hhSZ5VEuFycJfBLy3UWfV
EuM87KZePBTMgx/Zxn/JtHrvHjlgUj1FIeDxeb++R91qkJIObXfo86Z8kb1/nrmL8ZAoGr5/fJNv
t3seISl/eFGUMw3yVm9GwrPgDEJP2oOqvStnlFnYCvs2JcyAQ3qVJ+3zx+O981BBdOE6BRiAb/qt
cd3QpqSeS7076ENu73rLOzFgSuQO2l8aYZ/bpREN8Es/HvSdx8mghN0e6YPtbb5+nABuC0FqrjtU
qYV92i3OKDisoWkvf0QZbc/rzUeIqosX54GyABb0Zll2Zs0PsEl1B9NrX9K1fLS8WR1QO0TA4NPY
mZfjeRz+lnpfR31VPv0/3Ch0dCIpCpdkKF7fqCt92mQFzJvOoj+r45zjhNn3cvnD83xn0sDJIDdL
lIwy7G0XlWAUlDKSujs0CiyuqerPeSfihsNm6ArjrjXqIPr4xt4gor5/jNvZiT2bTDPZ5u0V/xIo
Gobs1AL+4WAOgXPv4ng22/44ywNW31Xc0AUuizXr/zJ3XstxI2kWfpV9AWzAm5u9KBQKVfROlKgb
hCiT8N4//X5Qz86wwArWqOdmI7r7orvFZAKJNH+e8x2zPJiDUD1breMXuym9oTWLnWEi7gin0jxz
O39qDYaVr3JSQHL1fvdqdlJp5+gbfTWQd2hCgT/b07fS+V6POQdaxKYeFqM76gmYi1to3x8/lJOv
wVlKLVx3UP5Sj5+JhVDYqAen8imVPqCZ9INsulLN/AZ/P/VYhAkft7eM3fXYBv9H5YNDDYek1Wc0
mZIAJ2VUfjo7iK6Lz1V8LhXyVJeo17N4cdQi5mi1hgkz7tJgJsFE1KG+09s+x/hYTzs8pV+ELC4x
jnzcp3cnECZAShL/bHGdiAEqPB/rfKLFogy8OFhiIOuS8m/ef2uMUh292iIbWy9sY2sNzd5gK0cR
6KVv1JvULPeUtEYfdfE32MfXosL3jP573MOgO7McnZrEAKiwslNw5xBIgfPtFzA1So6HtMNyIMXP
VjpeD1p1Y8Th/ccP5Fwzq0GVdF1omh1AO7Op5K3UJq5Ix2QbyMO51AnzxHB626HVcCI50YlmiqM+
KXzAq3sv66XbtDOfW+yHH3fq5Jf6e50j5vR3Hfj44Q2WrIZw/Ss/hh8Hvv0q6UCuA1S/aQAdynZ6
kJJ0L0d64VuGePi49VPfDUHNJuIyHR3UWlU4jBHJCSVDLFNzmTQDu3/FYVl++c9aWa08RRvB8mBn
Rghd71Ir8LAwnDl0nFi84Vyiy6QAuvAhV2NjdIKKG3it9OtuvO6L4cUZ5welie+sMHiUqyzFj4Gp
8eN+nXx3APF4crSKtHc1J+Rmp45zaZU+1gE4wvkoPBggOdvaw2gx+QVR7Mr4cfZxnmqHQNGfzvwC
y5e1nvdYz+n3Av/jCzwePPE4BaM6EomQlcrXoko/SyF30mYyuIrIPo1V8qKX0a+Wi3UAvQppEMW5
NHPnxFfJWRnhCKwvjvjmaptWRAwv6K6lXyCC8Oc6/RnNygOuawtZgGSBTZsm17DS+2qotYssSwa/
7VUvjOCNjJxTtxRTkvtmCkJfqfIL0QBgL5o+xS1kb7XSHLfViMUu1SdiEsLSrYv5BsyM2LW99NjU
YXNJFtLzJNX9Jh+Ny3F0Er9tEURVuBB8SwsiV9F6edsO0iGt8vlLB2OeZIIIJ6PU5GTFTw+mNE9b
U1LyTaQGWF9L6pyTljwOYZpi+dPvyto6xGERXoSOMWzRtStuOGTXuSjbK9z2qBTmyOta8TT2KXqG
RLsY6/FK2JHmJ2FVuRqYRjebTTQBUiJvdWoLOlbUBnRxlO4wkz+a0aTuJklAwZ6123DUDIBY2P3C
ZMhflJmbE7kIoA/Ug9/MQNrBO1z1hZFiFpVM1yy7gJo4sg69wXaU1DZMkzr/lRnWKwqxGy2fDpEU
o4loMMYrRW1cYtyVDvBd/nzlJxObSE1okTIL8upbD+JcczJ5Kv0W5rs7D4hTQhHey010J5z4gT91
5iM8sS7bHLhsx2SzsZwVjj8B5NKU+MOq9PPOmdySMDO3C2UvUJIL7OmRO7T5mS6+K2mxMNsqt8wU
VdlbGeuKuV6HKegNs2CTWanbypgSj8JX/FjkFp6NPPrWVfxHs08cr3SMe+hAP8uiveJXy6+FWuqb
oAzTAwglleSacbo12jx/xY1JvomCgyS2F3bLn88UtqYuNgcUB3yqqwlyQpo5OY4o/abMrmyrvOhG
qb2Ys/DW1sqG0FPuqIJ4jrdOpf7qJftRr4du+/EvcWKqQCzGDgFp7YJTXV7lm52yPlSahYSoYLXJ
MN0DSuJeyA1nyz7T22WQraZFoNbLfMi9EBWH1ZykNWXZDcVY+GqSfTVjY8eB48wOe5na3zVBRR0d
yAK5We9wqVZUXVz3hZ8M6nMzkIHF5f0zaqQ9dRlUVOx+TKHdWw2+6o+f4qmlDikHeway0RFlrhed
JIYGPsqFHzfRBejonwB9n4zFiBrmd0ZhTG4e92cuGJeP6F1vkd2h9l1Up2uUWGLX2OVahd4mRu1O
wfxYGZm3pITs9GA409ipR8tFAvXg5bbjXXUDbNYCnHJKCOvmnQQzytW7jIAF87Ik4xlO1aNWmY9x
KH/98wfL7QXiwgWWRr3qeHgaA1kXkq6UPoo8Kr1eqeLSTYuo25aV4hHFlbItSz5/3OjvE+nq0VKk
JKUNGA0lskVS8PajSPomg5gc0upMJgc3rldcTQPQaYxX5EGCi8TJ3Ngj4k5oQZSXtnmSXCoTCbBS
M/NYLKeCypVmOzFMsytqoo43LRwRD33LVtTxd10vqQWiexMSmVY5XiHCQupHKzFenaR9scpZ25az
8klLEDDjCLqZrUTyGwkqtV2E37iZz+DfoEY0EvuSOg00QT0BfeUkoVc3FZfqVq3ussSRtn1UPX78
eNRlXnr3eCilLRoKDXzpat4yUt0sUesX/thkbKYsSd+oywGsbORNPRfGhT4RulsG8gWm1RKelVp9
TSesok06P8o4PNoOi6NVZAdjxsmuWIXOw8BwGUf6i2nH+O9F5OwKMzxXKTuxMCHCUCFCUoZAJr56
sa0wojCpS1YJcxToUQF8d/msbIdmFFe4YQGDVJglP35eJw6NUHmpubMe4kn5LTZ5O5zSdDTUejYK
v16EF904grwHQgylj9qpmZbyLpqzzHUMCYt6SvaarnCyiOMcJFKgfSI29hVB63PXB8NmkOf7uDT1
C2y7lScXjnRmJV0ZAZfaybJJWHDCXK4sIr3jwV82raisTs99GQAoJPQnLQ9aooSK2q2QUC7/ml+z
DfHfwlTQYE/tB3VQzqxL7yechZ7IDSYPbZHjrWZU0gVLJbCJDZWm5DKd5BsZLEDSTF4bKtt8cq6G
iC2s3Zw7Zr4/Pyz+AsD5FDlRMDBWjrtv1GNkBD0+6rQrI2h8jl+GMx6k1sb79FoH4SOjdDMa3XX6
Zyxlnvyq6VWfoWopMBVTlsh22ifBeJgK7g/K/swbfrfkHzezLonbvZqGVpXwETj9dZ52FFcByxbn
6k3vFvylGZyOeKR4hegOjx+kkHFf4Mkr/GHU60NgVsVlqujn0Kan3xc2nuXKnESHNQZdne0O7Xxc
cE+R7NRWfwxN/caMwtceckknMmAsqbis6mqvdrZ35stevoWjmXDpIwu+aqGBB326mk9KSFccBgSN
l9JF3mn3XRD/mJKWJLHyW9VWBxGHoAPrp3wqDmfafnfOXLW97A/e7NxikpXDUNC2iLqdsQABzOWm
lkPfZGId7Z8qPf4y2tLT2JRXWK7ObHneTaVL87qC2RJ9w2JFOG5e5ETPDdCi/N5+BRG6qTNxOVS3
akqqlO6caezdXmfV2Kr4M0tC4gBt5ejiagL31I3Zw0U0oHbA3/z4uZ5rajVsA5nLQ46GuQ86YVMM
S1Zlu1H6B5Wi/N9pyfiddrsguVczjaZ3ZWUqfCBda+leaZr5clU0cpSdpxuA0P3f6dkyv/NFYgJZ
lwQzbiQN7rRzf3LqbhepidjUfUogd52p227U0jMj9OSTfNPeaoTg3Ow7NeOlRaK8s5ThuqmrQwVd
Rlbb/d94lMwzWEjZEb+7R4knqsMpfhNfiVAClLZ+4zSFW6c4S+rk3GX6u83+Mhi5V6B4jfvlXWBI
g+Y3wDxJvya94TY386LavOmc1muq+RCn6BEk7dPHHXy/KnNzTz0Q6TS1JRTqqy9Ar2VJboPl5YH6
KSZV2pI299oCflREeZD07ArWWbRBkeblrfWY9vWZw9WJVePoF1h9F52O7UYe+d6rCNlNau51bihS
e3j4uKMnVg2GDCe4xZrO9nu1+0gr0phhivL5KUpITAx3xyLpzg1NBFfvZ+4lbZd9GTtBtP6r2bMh
ngRPPXtYU5W+RpEcPOhxZu7YEbhpkyO/lMP7qRwHb9Km7xPBhKBiFUi3agTWcpQfIZD+srElkj2n
9r4FHfbQdtTXIJM8JjjVd9Zc7ye1uawK7Toe1fspBzkRR+Z46Bdp+xDB+g37aoDwBe6OPb7kkm75
ifpUczUVwvFbyt07Uef6JWhcEGgatXYXV3SRu13AOOey3IHmpwHmaPrM/lX0stjXJNJfFT1krVy6
6zstuyRRytjinHJcZ5AvlA7g09xrl8GQtLseBsrdnEve0DvJvq8V1c8tep9k84+yTfSbKtC/COpb
25E738qocQFlLRwnXfqkxWl6xUv6auABfWw5HbtAZueNqpXzfhQgn+cpsPZmibtKNdLqMPQSSE6p
LVy1ii87RJhFmaYbJ5M4rqRddR/Guu13uRXc6nqm+KjkYCubaCx0g1OTqbRbERrRJgrkl7LpngYp
kDagS2+tJfpCIWiKuz3V2NUN2mrkPNYL7BIAvYbaXGUWUGpNSNM1ia/DNkRJCkLZ6CFnx/UFl+W2
W/GFXYS1bG6MpXiIrjL5idmpujDVqbyRa7aeHXjKCXS058St4ZmCzF/bEIUrZ/qhRjXr6WYrH4Zc
XCmSxt1Plg6HSFd6aC7KozaJb0E2xJhUHyNFGy4iBYxsjxnCbe3kO97Z8qaf61eO2TPddrZA1KuN
o8+tr2lp7A1ysR/QFng6gjDWwGQC3Sfbe4J/AFrHIAWhLpJbD7nTmTRPxLGx5dpY20tmfkvlnXc3
BH3ow6G0NkQwGV+mEloDoLK4u0ScA4LQ1oJdGrdz7sZqMXjEMV4M4B0/KYhcQM9U/caxsF4oGch6
TGfFhd41455kyxBe0AJnE8WXwm7SndAg/A72MNyTX0bQkKp1ZJoF16U5yZ8HSRgXQhXJXR2UmuQV
JDABIgbyMunBlWlLOiRMffhq5HXs5zz4xiPNlDBFgJdyBTlRka5N+J9k0Q9ArzcKuGYHQLJqEavX
a3Nz3+Wd6ltznzA5I8BOe2N0qefmZMuW5WXGVcVBIijaaJrYJ9nV5I8Xz5aMqwwd8jeoBwVgNOOB
c3TyvDgO1E2PAvJQ9Wb7DeZR5sUqNexNPjXDTwNZtL5J9aGHVaNWg42+WYqxlnVPIIz2FgWLjZqF
kIxGr5QGlwTRlsC11rwYVeMFKpZyWckKursytRYS0nyLKJBkQiHtupp3MmsdJ+Sq6eqtAtkSj9+E
LTCfnd5PlUpiSpGG4UoV4lsrk7iHS4nMZY38nC0ghPm2LZGX+QJY/t0S83NDFGrAnFEDJCqVqUGX
ns3qDg43ZU9b1LNbqg0SJSEq1ZcsCIwYAUdL9qy4KG8lKe+vrczpLxqFbwZOXZd7Czz6MZok5QBb
EBYzfsLoO9j/Wyu0iWXqG9MDKxu5vRzIi87d1DYD0CN3ysz8KoiHQz80N1ooBjeo8h9GJ42GW4aR
8MrKmWv4awY1SZDq5kFpDAGiJKmHGyM3HhKNNPaWE7RDFeYySSD0ZmWgbytpdAFB3CZdfIdU8X5Q
9F0YlJ9xNP6op1LCcCBdGml6Ywt5b0XDhT7DcrIiE5m3FYZuVyufpXmmLCMjwehs8Gdmml5MyGx8
TN2XtpnezzLQSDuqc28mqm/L+eMLegSIMbnZ7hJZ+WwZrBiEtBOmLLQ7u+EYMvaEM41he0fN7kdm
My7GZhq2/SAOGCQHlyXnWSWFGUiT9YuGOhda2HVb9ZdBGX3KO8AYWGLbGSVm3X1uzOxzKHMm722J
Q7JcPgxO+5jY2rWU5ckmaYsrO7K8QdIRPVUPsAFfdQs90GAOXjBPXEpHe8GTUSbnXmoDPrFneFhY
CkzZS4t8Z9vddW6KC8uGi6o4A74ralHbqaKQatbhFfnCbtBmP+OeB+g8h4XjVqXzKc+jHbXuQ6GH
vxaffZw110jyL0Oj80a7+0ly6ad+IBl4UIaLOVGXYim7eBPRWKw9Wop0uYjuFQ6lU2T4FM9vNPGi
jNBFlSD83JfmtZZYKgCnmNznJL9TtXnvmMwFo0jzB0nhS0/m7FnrCfKdbF8xilvuil2zbw2uoqTv
YU+6bWKKG/Lgt8Tcv0h6c68nY3Fgntl0tv2Vb+pr0k+uZRGgOSr5q0PBj6yDS7mubV84D2Zg7iRl
tL9lRXINf++6bpXUjXuG41BL+ynVIcGTX6/xL0YtKGBohuQR6Ma4BZ3hJkbvRWxItrnTwl2bTIwa
9uzrVfOQgEUmi76/qLi7h0HcDMIc/dDso+bLFI59dG9kIJ2L+6CwxtBDI2kSoJ3MF1Qwf328DTt1
rF6E7RoqcrAj+PaOj3fBGFidBFzeh7hwZfUhekB0fvaLOkBXl29R4z4LEMmdHZ07U584WHLnTrlX
JlgYB9eqZdxPvcQwKvwGYjo5bfu0ldxEeoQZduME5p1WSoSNcqMKFYtX+VOJjIuptu5bxbqcm29y
Km3bc4qA95tfVLomw42i0HK8WB3VBr2QhLC73BcBcHcVGA2eQXiru4+f+vtNKSgqLs0WMomMiHC1
x04SNXCCPs0Z+K2L+X0jScwS8wOQa1DI4baozhVE33dMRj1D7JpKqWsBhxy/ZnxicDSX6slgANxS
epfN9jXk+e3HHTtxFOSwRG6xzg3kQvY6biaMI/CmBe+0b7oL4Rh+FkqoIeudXKlnTrmnRu5yMGPz
A29qiRc6bksvCIRqLdqysoINQLAzp29q/qw3+JC0vOFSSNO3E6XlkhSDj7u5/OhVOeht02t5ZJHV
QR6RR+FP6XQpIu4PnHRZ+ssDsHxQ/CyIHQizXrf//Kh91PDq+ZKkKtVw0gtfC5wnpW52Rl7uMBLe
qGN7hph2asRQQgBHoXB8QpR//HhH7PdjmVN2knKOmppyzxEFrHx3+/GjPDELQKHCP4cqkve4voIR
aqGYM9f7fjeAFXQ+kwHClZO2DxtopJJ1RqpyatAsCLjFxkPVmcPnca9ks7PUhb/mM/9emHJ/kRW9
tK/t5HWuS0qIPN5NMGmfRBVemNY5HeiJZ0qj3FzDdHH4LVaVkiRMk77ICl7fnHEj0E4gRS0zcutO
0c98ie+nGBnv0VKvA93BvfPq65jKpo/Guir8EJDCZWlk8y7L1J7LhyHaJwYirrmZR8+eW/PMtdGJ
k/2blvHWHj/iUsqZGyw6aTU2YWYZ9FXd/3jQnJhmlhoQrxFwCtqj1VsUs0m+VcT3Z0ztZW7uscVp
HCcMUzvT0InRibgIZQ1GdhX+22qizkynDoOBOcZO6i9q9VBPyY9Csr2qEZdWY575uk8ND3woVNFx
iXAnufq6ZyIx6oTdtc+VmVu35o5wmY0Yzz29Ey9oOR8CFSLwiivX1VpQR+k8ke9U+EgSvtaLNNHQ
7z9+QSeb4EqAYj3uLCpax2NghNErl5Df/TGars0sI0aptZ/+szaWQfKmLi7UkWAEhwkqzoijgafS
JucuHU68EKKCmQANxAysaavvFdXLUFLOyP3WkZ/tIvrRl/o+lKe/sTrz8xc/IAdVNMOrx9WPdjbK
Ju2A2Hrus/i1Jypog2rc+/iRne7Pv9pZPTJLF31llNT2kOpIRAf028G2nyoq+h+3c/r1/6ud5bN6
82pIhtHQ4NEfLH73sqXdS+BYzqzBJ9swsBctfioHluFxG91k1qZD1DjH18DrAnVf1ee2GKebWPAB
SJuZbFa12NKe7BFZAgVgYszjNr/qe33/8ZM6MZNRakTUgY3QoC+ryVLuidFkKsiRM6W/9KC7Jnbr
tWqyq9k5d51/sjcW93NsazXl3T0dMaqpyevPfWjPDYBputT/sVYFSQzqGA39O3ow6zdK6s2LB2ma
OH1i5j46pBtHKqpNb/c7nZA3ObbPFKpP9WfZ/GGps7BxrAPuzaFNSTCSaauV7+fmQQTnZphTnwvE
GaZ9/LvcUK9eTqHUxCAbPS9nyq6WU2URJJQYozPal1PNIEGBaWqpCm9n1UyKgMQWAYuMZsUbvRgp
UXLq0c7xYdQTu1aWS4vdObcnClr64y9mphZuA5jMfYrQtwUZgGoIBRkyclltrdLYkUC35b5j29bG
waCcowjVH5qXhMSj3FQ2UZW7CSFeyx5i3ugk5syq4ycFjOasvsgH/TEvZk+ykn2tdRtFI6vEOLNA
nliOj3qwWvebsEEJ4Gi5n7Ya1eXXVgcQIxfXql57ulr7H3+bJ1sD/AraA4kxN0HHz0s4HXGBJYM5
AtAgz7fSNG2kEGZ98QsO7JlLwlODgJ3GPxtbTc3ZiH3PjmhMDqnV2oQ6dtbGMj//nS5p6FPYGKKi
XO0w8jBpG3vkAY4G2XeB7YLQ9gW6dwIfCtM6M0Wf7tO/WlstnwB4RFwWtDaTVG1ppFxI5OWc2W6e
bgQdh7qo47A5H7+lALZxmpXIWGwJ6ll+L4NVTurqTFdOzdPs2P/ZyjJW3kxsaT/LjQWvyJ9ikrCc
y7kdNzalXkX/D7uzGuIl4uh+Asji91qxtTMCzV6MSj0z2E6ObJRKMLg4QbPfPO4Na53dEyG/7AMa
Xxp+aWblF0taljK6UuWcOXSdfHb/am3tpUG7EHXNQGtkxXmjcLYzftCJy/2w+2PxKeuPs6ymyEQW
euZqMJiVXILVnRgMMlC6YthltnXm2Z0cb2+aWI2EpgOy2ksjI8FSt1SV7aLbhqBzPv5QTz4zDLts
Plnc0PgfvyHuc6KA242cc+q1Eco4NwqvlDkVnzNBnm5IRymg8I93gk+hT1ZuWqyiLVduo2V6k0LE
IWAsPXv60y79RoMTz4wub6HXHncpV0tHjiO2Orlh7jStOjQNNyRVdxtz8P64qfcrHU1h3lrYmL+d
usdN9eqSgovlzQ8ka2dX0zPyBz9UwhspCf1Mu+K6No/PwZvfDwwapcZmEiNPsLq1GntEp6TEYMzs
FpLZk0nLLNKbrBnODL/3ny6tAGrinMi+kUPJcdccpUOznfG+hnj2sJRwAZh5ifw56lWqCuaZd3ay
TxybqYjiCH6nXK8wlRmi4ntqpWSrYDRJJe4Lh9H7+H2daAaKEhANWnEQJa46xS0kKXCQjthoqS47
7it6vqm6/MxEtPyY47Id9XbuznT826i41kcGeUbhC/I680UjJ+bWhqv5ZMeg488Mv1PdwU8GcBqx
PYHuq1VW5ATAtg4ci6zQH3Wj3CqDcYe55Y83wIu8XsMLwTkefcpqjlBmWJ6ppWUoSIGD2wYayUgy
zqxHJ8abAYucv3U00myEjsdba8d9ObZz5qvO5BlqcZXJzlU/VZ4KgyXX89ePR8K55lZ94mhN1Icl
Z341TDuuJG5tVYX3TixdFW1hC7/8jeYgjsDvoViNSOS4d0TtyGpv9jRX1i6EHT8wZn+JBEnhLcfc
DX7c3Il5CckLM6CJM4Lz/mpgTE4TDrWcZf6wxA0r4psxVx7yPgJqb8jl2HeTtZfEuY3/+yke1P+b
VtXjTnbE3cxTkWc+agS3jGZUbqM3NZGfZOZfH/If8aP8n8XNt+xnsyY3gzn4XpRTHYmw/Z9/jwT9
VGT8tf5B/w8R0Hwhb0bCOwb0zc/hv77+/JZ+y3+8hRv+/lP/gEwhsPxv0hFMy0anhJ99ESr9BZnC
2vvfNmktIPoxPBF5wXTzf8hUFf4Ug/d3YICl2sZiQvwHZUoywKli9bEcZiDu9qh4/wln6rdJ6c3k
yRULXz9HR34WaBl1Pduo8lhMPavmC5gee0eo6/R5gNe4wX4ouZLZql/Mps2VLXfo/TUYduuBrWf4
DZeRjSXHSbozn+5qkl2ufDiUc2PAlp8t0m8+05sdeTSHgTI0GAkUkJyXpL1WF7NGyvKYqOdutVaf
rU1Bw7Bk5j+KADzG9XweOflCbBzjr2Xg29lhzmwShg340dVmGj1oJ24apX82VfzVJvM7NgIGBTWV
44+2NZwpB8gSf202zabwI3d2Y09s/9QF8K4dxvHbg41h9f3QiSn+2u7Gbb4TF6D5Dt9IYduWZ3r0
2xB7NIKWx/imS6tVvmLXnmoRTVkbiU5BbHU5S20j93u13Q8bwq69c2/OWmbUt22io1ysGJxoFh6D
vY5KSClVBXUcq69dHZMtT+iQila71stFwqGaPjf1pdhaWW/gWiwlMvXMgpi4nq0Kic6CcoNrjpJA
L6MVXbap1bwM3N6ozXCTAxHHzMFWQnMFiWHqLmiGlOir0ELFF0pJcqtZORl281DYr3Y7CIJKynE0
NtpEiuLCX5IwXpA99BJkvbmfLbmniD065bwZuSSA8oKAz+34gKpNGqjJjEei6VQvHS3lO3Hwab6J
tab9wYWrqePHn7Ua7UUcJJt8COKnEp9agIIiBcTdML88jZOplJtuyCd9n89shDapSrDXRhuMyPGj
gJRyF2VNmWzisoOyJgpSgje20xBzoLR53FxqFfyZjZYp8VXjtFSpWknv7G2fydXozjhyDSQe0Vxs
5mZSr4cY4tEmGuOsuJyzQG1c7o0hgoiuzR4mQkLiMyNstb+zednLDAmKb/EsyWuVvhM6TmRk9fxK
Nm3r10o+X/XdJPlvpu67vwbPW/LbeuJhF6xgskVSSks6gTbHX8yEjzIpETm9ltDH3T6UkSpaSeE6
dXVuI7lWA9Mj2mKOo/xExwxtmZneTHKZFcYI81LlVR6YA2mspLTW9wqOoaqR09QjpTh7jMYwejJb
J8COGFMF7xw7+dohl9T/Wt7/XQDR8ussN2G4dciMYXFZ/TpNXQum5Imu58LcGYo0gMlqy31NfMSZ
6+fjOZcPlUmdIhUeX2WBAsmrpxyS0inULs9emB3TXQLtGWyVnbjTFAlXD4LYtcxRRxtbOFdNIGef
/uQlL80vDWPX1VmU1Xc5TDNIVzSvRKBSwQIS7dj1pkDY5RmJEe4+bup41P5uCsUJewGsuYhC1kFD
YNHsMCaV4aWKOu1uSGZ9Z/fVufri8Sbwr1aWIcvyxUkB3fXxSGqEphK7XpovRRXGBCCY9bUatBBT
52i6JG5a+vxxryBaHk29tMh707gA5D6LIzFil+MW29JOM1zy2jdiE5LXTJlt4UtGGMN1aus+v9I5
JaWbQDKpAuV5J0hLteNcJVwgApWezxRV/IyL3gjsmJWBLQSu9qpWkkQKuN3GoVcQOJAQkolUDpxb
kL+OlkPg2FASN0mm36T9MNIaq19r57W41gMAmUOjs3gLhRnTZx8V/5hFFXTEqIsqOuQgkGs/nAxl
8qa+bb+CkNDE3jZYGTAvosdFpTmMz0RrEvEaOaE1IJGTgpuawPPEj6swsXezbqXOU9Zb+rVapToh
iYngYDbnqFWSzahJQ+npTqf8iIkJLtlOZFZPAlNftJupGNvboYhLWML1YJT+IE+GvHO6SXG2Ftuz
51Ev7U9FKPif404l4jnJZIJsBbTyfU+8qrZlhVXGvWEJ6BcTOV/6dRE0o4OTFWH1nhQda77u7GCO
91rOLu8uLGeR7FMlk81dEBn9LUOxJ47CVICbVbjtL8YsUmvWCEQaftRomcE30KSlS3xlKsO8lOtg
O8rlYCwB4AEqTVVkvDKwF8qdk0ddv7HjKqhRA5QD1UVtpL40Cx1URsZ7mbZkzgzCCy1b/GpgDKM8
p0LQuHqloL8OZeHwoZsKy6qcVchqO1smoUNS23YLQhEkthiYAZJAF8+zKeyHJMmQOoS5amOa7RAo
bwTf+tNsiOE5K+QJTa1VG/e5cGr0vYWTpZh/SF/etCRlf+7RYxpbrXHi7RTPaEHktIu5HRnBO2zT
uqt2WtXX6b1SChJVQUVazSENnbjfAlHOCbYAwND5sZmFz13lVJ/reRbfMf8LwtS1uLrEIpcEHsjf
wvb6bpB+9OOY5JtKm5Pcg43tfJprNfw1ZiA6vaDSeEogRrUFXVGGLKuxFj5jydSVjTF2gguCTE3u
JEtvO7cDy7jr0Fu15B9Vpi+0Zn429ZasQaXtCiZNkGpLZq4aEfNGedGddAvCdAHYp9klfTP2h5Rf
9X4IGvVipIAKTMMqhsiVIFWVLhpW5a5EKzt7msEmqOH+Vd9pYBjipzTE2/mVrZQd/UjY+dg3bSrC
W9Hl0ifU1wprljwlw1WuqnF8JTvN2F5GxjBQQ2+mGPLO5MiXQqrzbGPBVEl2mWMNvTejqIrdvImH
J2Gmcuw57ahfZ4NsfyJT0XkppZjtC7yo5EtRO4zSRKumAh5IID1UZMqzeWnl9BZ9ttK4cB7s+5hK
zE+Krs4vcgCUz00WxOQW43dQDzUwZuKUx9KM94KcwXCbSEAzKLJgPaupwNwr/MjMLUROwlRekBmt
pRWZA/zyY0VpxBIFccd6eWuIurnWR5EnPMCqY3eYptUPKyMFwottI32SZHAZG63pTY/ZrL9H5xu8
VHaQWcS81+o9IajRc19l3dM0awUxKpboH6TGjr+G7WDQFVIOIKWYRfjY87Io+6S2zBcpBwTGG4ky
416w+mtbKlAZS8An4dP2CY+qy/uaGO9eb773wwhv3LF7jBByAqqkTHCukFM/SfqmJ8Mm3UzERfyy
rH7YVm0C8jubJeK9Taklmr7XQ3gf03AXKMRDU1FIZxS5JEAjxQ7VAm65xZvIU6W514oJtbWFfwWA
NQYR4CtSL35MRhoXTIiQO92w7tg4i1bIFeM41e4qg3ltO5iSDN8r4QCZEJnjS1lidhzwZD1103DM
phtLVEq3V2JLCciLcBxAL4GAuTuw77taki7ZoqpKPGwTvPrDBVOWqm1zC5CiR80rHdGix2Xp9emI
/z4fC/OzORpIiAcRSLcL1z3ySKHoSjLk07ncDFGevqDe1D9RZgxnt5HqNNlVqTIRSR3lzksbRGnj
UebRR7eJHdTJ7WB2FNMF/D+I7BKR2IXIittqBv/uNtjRB1fEQSZzvSpQP6OcCfstuYftuBU4Hpjl
SD7MocaVFn7xLnZwR48h3hZ1Rlkda1OZe0Opxp8I+MgKhHqW9CNVClb2Rhqy1jU7gB8bUpc7xlGB
3Gurq61S8/zMKOeKxOwQSs4OEkriMRDS9Ca4Ty8qU/lKK9vqZczh82xsY8ogFE414YtaDXIAZ3Fp
H7Qi65k0nZgcInlUGNQ5JYB2o5dWaOxGLuzKbSBsssvHrnawxEhINhBpT+aDLiXiO24UjjwQWdpL
NS6jhzwZoyfMi8AEYATVVxQ1SoPgpW7Zg81ZLXYxW6Nxo8M+6N05TCAjqFIc3Hf/y9l5LbetbOv6
hU5XIYdbgKSyZcuybPGmi5Jt5NyIT78/eK0626RUYnnXvFtzLjXRaIwe4Q+D3d2bGYIRfFa6+5tm
xaKFwpLu3shEV20H1S6HIbLUshuLefpKW3v45k0DNAEPJTlkJvBGvncTy/mJepKPlXCEGdambQr9
SxZ3Dq5OcvmNsP288wSGadvcaZp6YymsuzdGpKjkotibHrVijPSLnp45caXzhyjoRrB4W8PAJvkq
asR8iTiit5+rlFoM+aLxMU+aRNvyFLYWEkWoUkFqLJ+tsbZeIwRwZNDIklpvzsfuJUU7+F6VlVME
YkjyeDtWg3yZMH9iy2y8V0LQ/8OmRLpOhUnXRj+Fm6ufquC/Daifst9ksGBW89TaqurL6uSXh1UD
4XDXUYJ870bRcr8ubmpfKMOdcpgdIsMli+nwnV3ARN7CH2EInhKZbsHR11AJlj4SxAjIJ4GZ2c5L
VVYzeAGvdy+R6oHdVPkWtp1lMkX7zCqTbyMCTnhbunP3gEO6BUpEapXacGPGexXjzZji3c6JzJzi
QLKUvhaD4RK4qn4ywlJB+MBfsam3jat52a7CjAucXDz43/VUU5/NYgI1z62YWmEyIR1cxB2mwkby
5NtNdV+VUfLUlVDaIaiopd25VevSFJWmtW/yMhvCJqr8eFdqY/8wl54bYyC2ArSLSYwrDckjEkR8
Jygj6Ehe7aamVbDO0jS5M3obK83C0sdiC08dWe1IEaYSPZEIiehm/skZRNdcW11jzNtiiSY6LdPK
OuTUTuoyFppxiYJzH3IS5d2CNSmEp7RWX42mJI20J5somFgjw/t4Nc+x0/1QDVBFhQ6EYFMXwyQD
BVPvu8V3moUmgow0WSYisJHO6a2Z+3AaF6V7MO3S0QjRH8fsupmiWds4E5IQ12kb5XCFu0UPG0RX
5b1RZcWhxuNcQwtlQOM89nOmt9oi2YJ4lM30kmdlRN+hGI0JGqCPzUt/IXWzGLZG76YmGYOoif5D
73+Py6b6jLCbusv0JFpJEajlBn4mBmMfRZ23qZLOcW4ZLbhhn2sNLiWTMY6PGW67RiiqSqSB7rX5
vcBonH6JsNLLNa7kpMR1yhapamTwl+bZYzo0a0clw9T2ojdA1ew03Da6MK9bGxpSrI/LThOz+1LO
c/5Z9Sb+blCdqiuReKtVKBODL84yddM1qtDeNyltFV1h2tbVmx7NXevGQAS+mLdRndYy3dRu33Rf
lFZmWN7VFl5oQuDmSpu9Ik7pYy1fk6wXSUhhbt4Xi5Wp0Gj7tLs0lNvd521mYP5tEDaDyNJonZRN
jWSqbs3GsgWZHMebeHEQp0U2ovtMa2rQMELTshs4i/oPZoH+q1YTDtCfqzRQnaaetTDNyUHCqHP9
JRzzwtR3rlX2dcAgbEBFwOZakFha8kedJblvfNSsBYLC424qm5RMvW1r5Nk8yuHALipxr5QGXbUB
yYiUmuENPz3EpGHtDBRgdIyU6C8dlY6BZBpKYVN3GeRGuoxlUM9WudfbPj7ISKuvbGo4Z9cMTfrg
Rf0CBXRJCJeK+uVzMwyLF6xAiCR0/dn95StpYXhRlul3Kj95TxqDsdxs1O2llZbWxujbCHYeEYs4
HJnai19F8+Vct9lDw6e2tSeGPwE0SueBQ+G9OJl7i7/8RisfrIlThu6X432jisXoQ47tMN5wGffQ
CQxUv+1ZDvd4AHYA1GUskk1e59WTQUiTd7OS6KuH1iAKpMXiMYo2hqaip6jTk/Z2qAsIbuawPtjk
5F18XfS9ce/JGDGl2baRSKuTdHgWtNv8AKfPSGMb7PgaGQQOGQGo+tm3BcG/rhMb94ABLHJQ04Yf
6KtFvgza2B7gh/n6i5FOFukzNawdWH1vXydJPH/nIBjooJuJaV0MRlU+ljrdo00cp6hpxqnJrkZZ
J78UflM9OnVTyw3yNu5Nh8FKFEjVFl+WRMu/UpUWew1muBtIJxffIS7xHaooa58ozuMnnFvLvd1Y
/cuo5ePTIJUJZ5nq+HaVca8+D14/RGylI9qG7qrR3yMgtjxaw1C8zHw4Y0BSYD8Ps9vjqyhjp+X1
K4wVpOdH3Us0deUrNGNfXuPGILUbDcW2MVSOBaGu8tPsBz+i/V6IAXGqqZ4e7IiJFylyNtxmpqjI
0t3ZV0EdOzTtXTlXXwr8pHkrRey1G6PVE+cqdhPQAVUkqG2A5qPANJrTysydX2Fav2gRn/9G5iak
ZnrN5Aalt2z6lGgSlF5CMTMrE2nBuVvsb23d001N4HfvlK65ScBYJfZDqRkuGutxAaE8qmZtCUpk
RajxY7P70dGiocsPX926Q9jE0S+wxo4ROfQit95maUbna8Ry4nvqmr34ZnReUd7N7F6+6ealK25i
w6mdLeI9trv1+nZ4cKe2JusvnLG7GgpzML5HSwwJ1WRI5wQusjug/LJy+I2agmntgNJB64sFHMlw
jrsFUiiaf+MV7ueSnhvN1YAuevXN8pgEfY7YtEs7Kuv2yl8/LxwePf9lXNrevRHJ2OvbuG3La7uq
e/1SKysMvrl5h2wHFamEWVWtXHPQNLUbUjRz+ZlGOtq7ykjtZKcvGFNcR5O5wIhuTLMkpcGBGGcT
TAX2iyibNkwLa7Y3wona5Crxmqm/igq9aG78VMrsKw2I0npKZpuuOBviLpe8F3fc5WJ943JR6/2W
GvFnpcysCyc8MXXgcMXwiJ2Q+YP6CFZuYy/5U4zfAkmehl/1TtaUOH5K4hMOBR3CTcZo/i6fNEvy
N7umuIDqm+sbP5oZGuRkfWtmUVVfs1ilsDrnLMWJygVy4GR2xqdQJxVmEBbs/VC2I4mV3vQWar56
Mn8rbZ0GPDpFeEYxOCwDDQuR73pu9VEocw7FDe4ya31pZoV9Y+TQrIMuK+0fntWWYzgOdvVYoKlk
b+nnQ1b+f/TcDbsuevO5d5zqV+1jBBEkWmIytvz/5jnvtMjftDRdfQVmI3W+Ms5AaB+3/pZlama1
zP4z+hHjFslpb4tP35lF3nQ0/yxCn3aVkCDCnXSIs9yhQUNH9XnqYeQOkNovkUHFnQRKEdd4eg6k
snZI/3eU9KefSaOJDYI5AYvutIM6uYlS3pjI58XvlqAiP6e4S7Q7WqDlTg7GU+wl805MS3oGTvL2
QQ3gWbTcyWbZy1Mxs3ZUVoIeRLn3XbWKkcj2RpBjhG2xyI2d9erLP7497jpU36CGMDbDoeqkcWs3
iODl9GL3/hgvF1MGhE7LuuafZgls59EqSK0cnxG3skco0yY9jUJUN8hSMZKLVRtasaj/iY6wLoUo
LLDnVT3K5Lisneq/pihiQK62c6Nyr6oBX0qGdPezXfaPH2/b8VzoP6sAYGJgYLMKDvfHq9D/gfu/
5OVeE3yqMUUi5WH80tOG/ac519uVTj6vacJHw9fKci+8SF2ZNO0Qkah/f/w4b07dijkAeMgMBjsN
MDfHj9OMyAgkw1ju8zHKYCJ55X0UGc3z3HTmp9FbxNXH651o+f95Kia1us17QipJOzUr6rI2b9XS
dPt5rMRzhI8iJCicWL4WMJY2yknrS0SeH2Wups9aF007TJkxuwMq4XxZHIWehxybHxOWLWdGUe+8
WLT8QMkCsyDU/xnS/XV89DlqB0wdu71N1ESvhrFT39niaqn714/34E3chGYCpcFy0bOmtDuFSLYM
Lbgup2aP4kURupWRbWjqyzPx5L3nwSuBLxxjqNVf6/jN5kqv69Eq1B4xU+B2S/FzyUURxkyGz6x0
Ahr5806ZuRArOUMWdKmTqRMC3YY7Rl23z3H42BZ9ZVzSWy/vKTb0S9HI8RIiX3zXiWx4ytsW9Iga
67tF74xfyEyfoyWdMCD+/BzK+hUQwHCKyHYCqphqa0EXax73sVWmeihdbEegnqfORU5ygH4J5Y+x
lUbjXiYNU4iN03W1jz2tF30eh8r64UgFGLuyZOoHaOlM/dan5JfMLPz5qjRSC96/U+oOzZo+uqwb
s7gTbhn9zM1C3Hv2WC+bxSzzb8IsKy+AXGhU4Wwu1hdE7Nx7kUl9+ddYsd6SeI6t7wCM72nswye7
SpvF8Z6TItFvq3TSv5urgt7HB/fN3cgfh8HPR0tNjN/xycbWvupx93QZmSHpETr0JsOezHGnWHsT
e3b8g0XVgUHZOWO6dw4zHw0cVzg6TDhOdaTcqkE4F7Tv3qSxsCe7be4GRy92VmN3m48f8p2lkEHF
fGfFXOLrd3Iv4jBaeAgKqX2OIVUgNLJkVM++p017TuX6zegUdMF6RHWw0qyonXw2tbAjGEnlsh9b
d7sIx9uS907bTB9/OWmSXmKcfuZLffNsMOh0ULGkU8DISDOOY0LSj9ZSeabaR4qi0c71r2TVqLzm
cff1H3eRlVYRvPXhQFH8Qez8FU0R9RNl3kTDHj1HLZBJNu76GU13z3DlmRf2Nvyw1pqGwttgCA2G
4vip3JleIRb2/d6SMfwdVcnPiMtMYV4YS1gtQ4z4jFhrDfU8Udb+EHnfX4LHRFEpmZynjx/8T0J6
lEDyazCasExKWzh9/nrj/vXkMzQVTST1sE8pLIPBd53LafAHtMiYHNGh8B5kOiMLo7fOgzvUeEKk
g/3UFoVGv8VHoKPTnj/+Se+99RUngwbsml2eCsYLtxuZEpjDvofqdGsVmbZFSae5pqF97oD9CQEn
T28beCCtDslEYv8E+1o69TigqDHthevMUcBgf+gBD/qoWi2dO98jULJKU/XG9OT5Pb0CE3rfRWtX
AAByVYyfcH/EE6ozZgYJ7pCDwNLQMPttxX8amPQQrunlUdy2bNSLQ5PkSR+FeMoRq378eNvWY/Pm
URxXJ2ldDW9Oj7AxDXLJE3Paj0u5MoKw2W09WZ7JWvV33s6K+VmdqSiz30QB9MwdfS7KeV/qcbsV
jet8Wuql3mG1UTzEyHWGTYHGV1w0+ic3TdrPS2+xY/OkQPd60c5VRX8DyM26pOabLj/egzfpoY+M
7com5aVCfDr9tHSjzRCuS+f9pNs95m9DsY2b6LmRfGPxgM3vx8u9t+WWC/ycnfA4PicpvM8oY4UR
zHvmFcw75ZRu62iqz1xj7zwU8BgaXNxlqxjFSdxtTSW1xKiXPepIa8s1QYZqTsyg0hZxZ3T6/+Gp
yI5MAiKBl/vjJCIYeIKbkV/N+9FBlE4YFbN6z8i2/7x3WICu6rV8dbi5nVzORR0lBajyed/MCy8n
H8QLGhTnOGUn6tfrJ41APeQrEzwGa3knmzfZxug1fqrvZeq2131jT48etpq0dC3GSAVduwvVYvyt
Nw6og86Se6Q3isDpzPw2scuGbhcZw0yz7M7EvCMUXkKy7+s3/SrlV45peeYIvz1TJMHQQEhZLP45
tc51CrsupUDZsM6iZFc3hRGgvhWf+YzffsWswuZgvwb8FZP446jfCs/sHSn1fVr68iIdtGIzt7LZ
+Go0zzzQ2+MLaM7mNK3XDJ/k+lP+umBSzVT4WtT23rPp8M8IuoeD2zp3vtVM18zjzc3HB+tNmsKZ
ZSnN4YMhFPyp6P5ab9bjHjiT5u95bv0C1dkBM5bUcdCbXRqdpnwywzCU5yyN3rlIXT4YnhItI2LQ
KSoStUda2a0Se+BY8P6ZkgtsQJ1J3lSc7k9iyKI7+M11/8UDJtsxvY7tH9IoGkxRHOHvO4tpeKhL
n/7rxzvy9kitv2xt1ODnTWl18rLj0fEreEdyrwCsfOXTjr/BF8/OrPLOvkPUo5nhQMvh+jn5oJEP
NaRQqdhno55ttdxoNk6kIzGK6VzzKXGS5MIcy+hMCH5nVY4Wb5LrG5jiKe5Vb0wZlQ3jGyoYcRVB
cPmVZanxnOYK+6C+tLeZn2dnKFtvjzSgyJXWS1UBX+aUgt/NDbQ6fykOmHKNV346gWXOWzr0XRVD
/Z77p39+gT4cNJCfK9ifF3n8CTWG0Ia0mcoDZ4wUkXvtLgHSdyYmvD0msFPBtXJIYKOhX3G8CuPG
xkDfpT449vLTT60OBU98bT9+lNPAQ32/kkf5OGmQrgSn40WYWhk1OCr7UEv3jsDk3LjxYgYxNiUX
H690+jiYrhJ3wFnBUSGvPXW3LE2qypo89VAor7mxwfSGUxTJM0pRxvqD/0671mU4fRR6hLmV2Xn8
QIgGAkrrOQtLMhYgMkffGK9qY0iT28YV9u3sROkdswl/CMbcxKyv9oDObHx7sNtAMAEAia+M3VLq
pggocaB5TYD3LiZfT7EwSrQO+4MR6PxGVPrwxV88/wmxWJ1Es2hzg3JdK8+RIk7P959n4lzzteiQ
E09DWYEVcU9tzdaN+laMebWdi7G5Vot1DzYhOhM43ntRK5Xvv6u9UZoodV+WPqv1Ss83plIoBrsy
OxMo3hy89T2t1xA5B/b0p7UkuQYu1JZbHJo0E2Gem30o/abd5ePw6+OD93YlMs8VH75ynOjLnwTC
GDL2ssxNfIhy3t0oHAq6mrJ8gWyw+eelVhNlE4oBKRgbeHz4irIBEYtd7KHUJuMmr1ArWxplXxPd
nTNv6U3ZSiIIhwHmCjf5ShU8+XLHlKp7KK3sUCqEX9vaUpsKTD/gYlVrG9vCN5tsptYCay7lL7SC
po3ZmuNtPMfVgPa0lZ1JLN6em+MfdPLwIuqcrHO17ACyh3GgXojLCAXTfz+ezGvXWEXTGaXuU6ej
VveKoUXo+pC0OHW3eJl99syxevn4Ta5tmuMwglmstV7Qa/JA7Xv8Jluc3VQ5quqgDdqEFZbW39IV
mW6AxPvfVWFSY5rYcC9zvaArFKdnpitvv3jSY5oABEqYztAljpd3UUSLAQZWB2Zv7m1lVLjbFY4d
9uiZAYKIyZ4+ft53Xt7RgidtK2nEDbA/rzqorC8unGhsLnpvGM4ckTdJGYeWniqEQ56JCOOcbKuN
UHCVyKo+xFi4/6iElODimhT0hN5v6xwYVqxbDPQ5o/1F5GCclzq2XwVASZZwIebTUbP97cfP/s5m
4wnO7cRFCDvSPgkQaQfYqzdke7AAfd/mwrWfPOCAABdz/a7HJuhM6HtnvVUo2oKVyOHSTxWjsrx3
k5Sy8QAKcrmfYAh8bhp3CvCZ0O5qC7Ojj5/POOa3cddy6YI9pljFX0Kj+Do+TWbdVK4JDPUg3Va3
d2lR2EaQdAo4lBq8+FVko/fkL5r4qbIJA1Dg2ohIdGhQi1EWn9qJk7rBnti/skmPnSBxRl9DxBYf
gqCvMrvgj+Xurq3LsQqsyXN/OwpAyJlte+eIopdAQ5CvH5bl6ZjAmmyR66rrDn7e6yBgvO6m0qU8
s1lvV6E2BWRnkKkwMrZPOlB9MjLiiBd1sItuwpEr0S6rBlGjj1/Ju6v4fASIyK4GEiefW5KPjrLA
8h0c7OhD3cuyDRhn818/ahjCBsxX1AmRdILBfvzeO8J9kpjZcigo9XZassgtgNlzGr1vQiWSnOt9
R8Bcq7yVk/x3QbkyOdC79/sD4xtMzOLYgsOCSL2+lZFq71Jz0q6A6I35Fp6ABsvQz89kym8+KH4B
CFDYUWt+xAE//gUYhFLnmNpwULGwbuZhnIE/D4CsiglAx4ps//jtHRc53LnMh1DFQYSPPvja1zpe
Ty/7vsucZmEIWX8H5FlhNtAvU5Dmtnlp26BR4mRGsvvjVU9kSf+zLDGDNiyMwrfdNKAwqq9tfdmr
2aweCrdSJsSWAVRu5sDKCxfXTa5dNxLge8140K4cSNhkcHjb/ttA5c9PsdEnhZyNDZ+On8rxDhgJ
wLLSogeGWlgBVrtcQj2hEVZPfv9Pg9U/S/GslPGwWTWi88lSCqBuXrYOzBEYNBcVTBeQQLG8BF56
rjA/CZR/1qI64DRTTeJsaK+f7V+9ClOKIm+nXNv7dRK5ob3M2ecqlSBpScuHZDsaUfs4pODcNuR6
vg3MeIjMcM7y5lYzF/TmK9Btl6AH4auYUa2ZN0KVzX1p+1J89qMsuga3JB6FztAfK2nDe/TQ+v72
8UE5/iD/8xTEFVj4Jl1D/NKOn2JOnHZibMLxdPTOhb6h9HtL71TYTOP8sEyjdgtnpnkpTBT859Qt
z9Rgxwn3f9dHY4nPhOjDvO14/WRGBd8xl2U/6E636QTwtoRkCeZHW52J1u8uxeWm07jktZ3m9sNU
KiVUo+2tBLZ274nlypc5WLMOZsjHu7p+1P+bEf7nqf587+B6VjLZya6auTGbpebq+wJY6SYBZfWr
k5kRdprXlkFGU0M1wr+OtTj9p/bGf1eGR7wqcxNgT03Nqjp1hwpCyX7Km/Y15ebY8l9baxc0vlry
Lj03kX9vV+lq/FEgocH9ZnRRlbGdL4JPDn7lBoqSd92NsbeJbb0983Ufh+712VbaLpe6h1QDY5/T
szIgOIUppbm3CkJqmOHNujP9pvkB6RzaVBKX8feP3+MJXfo/S6KcQWOFDB+zspMl4ZgqOSSLtsem
Z3B3g2fVzRauVfww+t24L6caVHWSJdmXwTLrW2JueYuxexo2/MUzN8nbQ2VwXSFwyqCEEu70hgbL
iRuGv/Z9gXAk9CJSErNlhlxpeFkCCTPNH5N2AthZ1sbrxxtxnIP82Ye1XcbduapkvAE8LaJaIkeZ
5j7youE6X2S+0XzwyB+v8vYsgdRhoEcjks8UHfvjYID4xhJDbfT3hmgwTZx8YxO3wyGaVXbmKL1d
CeANZ5boTTrPFPF4JWPqRkWsSw9MefWNnlrFzm5xGfJEcs5h7ASGtO4dKa+GCS1AEWtl1R6vFTOV
b/D4yg515JfP2cRIDaimsY2wQQjbIarudDhvWyi81pMYMehMbaWFWDcBKoXWEro9wONENOcyoXf2
wAKRhdATLG5mb+u//+sCW0RTe6J388PorTqdXdJjD9ZFF0bCVPTjF/v2+PD1sATfL3hH4s3xUgCb
p9i2o+JQdlNxoS1lta1iS7/6eJW3qZbtOquAN+q6vgnk6XgVJTvEDcquPgxTbt629HiY62ojfBw7
gXgwuc/AHM5Zb77zaECsAFtzf1ro3Z3kd7XCkBXWT03ePBihsqzyai7Tf8+haHKiz7biUghHp6HP
jTUxTXPaUAPkMkziBkCBEMauzGR6JkH+M2g9vrxwqEMGjPE9STKx73gbHYBcfbv0dKw1N4Jk5Svn
1YtEfGPKbLrnpDcM253VXCfVbQQUcpA4SeDNrutg3RQ7l5TBmCctbY4/Fy06k3F7vcA3JfuFnVO6
OQ7G5tI9GlPcZjstdfRrO9HMNHTEmNSQi93ODLBE41TSCNZ+lxAsvGCacvvbRMuhDhpiz2o4Qz0U
KNeEwgHw+Ecli/65qG1+I3CIPmx1138EYjv87PuMXq2ZpWW9wWrJlFeAQ8XLoiHzGRR1be00bYia
kHbCAEfZa+rXttJ4zAQMUBGAMR+XIG6VcdOhjmYzNcCs0x0aA0JOaU6fx7Gkd1bJtpo2XqdDyVTl
vJTBlLa2uFGwkrQQzxd8aLHsjeQmhcssQiNTxmtEb+5BRfH0u7KhVjN7kZDrJzdvkPLyEC9olea9
lGafwzOPkurOKb1JDwqkyemJuyotN0OewngtF7OA0ofLghMaUCPg3IEKUdvCWxU+IPx5T8PUFue6
mO+kwRx6l8DGoJae3mkCl0/GwLEo24MD4y4OapAWN5k5/0qKqP6M2TOk5kRMl4neg8UwOsFPserH
1rL7HRoY8abRVbabe7u6soj/V0sXe9uupOcQaWq6pgCEnFnnxhXKC9aZS+CdT5d2soaFPSpCyNaf
lIK4jzWTkcztoRzbmoKsBfTtVPr246j0TpilqQLcGokrwA2nqhVD3ozOjGH0oemhuc7+6G/mZYAZ
EM32/2EpblATmWy6EYzNj7/cyDJH+OkmEd1f3MvCwW1Nz5V/hQLRfKbAfCfWIt2Fvw+bp63x73gp
aUIXHOy8OIjYgNvKaIPbA0OPm0EsTRy0SvoPqp7mh3/fzD/VFjgZOiKn0RadDOSIXFkeers1NqZp
Vsw4pBkuiRefSUbeZps0dEk3OR5MokFxHD+hbpapPzl+eahw0YMuDbUqjuPscrR63APHNj1TnrxT
sqPAqdPuBLwBMPjUOEnUfT5aeU4bmQnftmnohmfpmGw6Y6Bpprnyu0DUcouRNMZZlplsLabQZy7q
N+Ug7QIkQDmmHj0aZpbHD2328yTpY/FaU1hLionWnWkr+akQenKvuXjiFPxEjNPmbNvM5rT5+PW+
OVWU7ewA5RkHmGH0SUpiuThe1Uuh00nXux8c4l+6ZVU7eDzpVQ2c69Ifu+rMe377yKvkJfBwUk8q
ptPZCPqqfso9aByibqmuG4jFTVBrBapSZdV9zvIRJn3XF3du03a4m3TnkK5vohDPTO7AxrP6is46
3vLRyWPoBKZxsGSrNrNtTbfpYp/LQv8gvf++1clxgQmueuCr+wT7e7IMTXKAYYV9oBPb6UFUJtzO
0GP9m6qO8n7VzcCPzgIi98PqILghEBIho6JRnlcoqGbqUyw851n5AvEC9NlhKhXmjJ3IlAwYDrfj
qD2gOuLd9JXZ3w2llFsFzaTDsB76KVrQWDVmpfztzln1KnHzwNOxK9KNzmkzw66Z03iDUI9+CSW7
dgLAfNBhInNYnoUxGjHccgnve2ri5RXPvwq4bG4sTeggBvbNky0kCWn4+SXKVd6VPg+ddqE7A1I2
JRdyFGidPw+BJivdDmzoTw14IVjnW2Xhemom0TAGoCTr+6oqMGVsy1L7JHqbXz+lk3kd2VbxOmWJ
hQIZBzcsyhiW61IVjQog2gz7Dv7Zhe9ayPnJqRDzudCwvpzjlwdPiDBrgDjlqj11JlhNUcdmmqzD
0ko5I2g0FGGWVRZ2pYSuKzIRwIv6WCWfZYdfwhW0UWimjSDJC1UbF8lmjozkiymE+1Qb9GCDcXKt
h3lMhk86e9Jfl7kvznxYIIxPf7aFOQCNP3STaVwTTo/PHJIB+pjV0F7x0oGgZvcwU9sya/3Azbx0
k5a0R2DArtIGhtn47WpPqz3GS1odrHTKPazLUJzbOG4kLRT66+5WRZ16yeNUfPV7YbfXU4mKbKCb
Pa6xid9ON0qgLRuWFUL7F0M/IGKSSy99hQ3uLEHfQAcJypVVOKjReHFy6LRBi9iGDBbpTnI35WMG
AGYc4H2jaIMcW2VgbEt1JH17tyxLmuAx2NWvqPqIdpNVonh0xmFCid6DC7cd8ZnDAVDUdsqhk5n/
FZUuxMmz3EOAS8Yq/4q2GEaVSTtW95Rc0V0KCBx3g65ann05zTeGlxQyjOsuuuszhVKJPwsIIlqb
LV/cpM/EJspqcdmPTjVtEWFJ7yKtn+Qm9u2yQiMBYZENjov+D6fq9a+J6vJsm6jZe8mjarnDFgZd
QeSyRBcgZ870ubW0+8lW8zP9SeQFBs0m4mXz4P6ysh7iGwFYfimzwhvAfuHGcaPyKtpXHUJNQWos
KAAhwUGOjY0mAidmmwaOpdoHuypqP9S6tgKvl/f2azYuDdandWXXW8ilApGiJEkfm7yptLtCoZ+w
SX1jSi9qv/CXzdiUlb7JMb4VT7MAVryJNT1qNmmjpvkubxa47gtIjMNUoxH7ybdRlv4COVmme6eW
tgA91vQjjFk9Ed2DqcncQ9MAo9n0sl+GacCFs5yd/G6MNVARIDOFg6dny61XtVH1LYX01wV1JjJr
k0aZ1jE1pysRVAUOkwzs0dqgHpDoEM1O/ct1lPruDQv/F92O5xG4iNE9ShMdJLRyW3O3SImXsBCx
Bj83RQx9Yoh6TTGnZ0EX9RKZw3kgwygaw08/zXKy8gAlDH28qFTWoFjVp/3laHa1wryyrYetFF5c
hFov5uym8LT8F20G53a2UjuFKWYgvQ6Uy7mji9a+WmZnNXhu9s4N8mopLMNJoi44Qc7eIAqExBbo
lAQbXaEVUdjPvTddrKhP/hcAHfHWpH28XDG1K7Xr3kpnsaVNY9y63RRbm0I0qLdaPfjPK1SRmodo
wt/oqlRFnd0O+Ckl9+1ouqD/aWhc6X1XXcNcLTFwScWSv8axdD950nPYbHMUNfQXM2oDvS7cO57T
XHZiLolXcnCaTyhmit+9qsFkz4kwUWqaConuAgbud6OFDMn1VOlRdAmM2L/EGhWyP4c+70JNmfjU
ZubYG7tpnJLyk1U7eRJ2uuyKnV4NqCIwhURlIK28wr1q4hjHOGBpSJGhFQ3xdhn5hkD4d0guVPzw
oPKm+tVFwQFsosHkb2fwon/4UIpV6EX5gOybkUQPg6aKJmhokD4zVpb2VhdTNm+zWMorhbiIGyAp
k78OegM8Hw+tRdsUc0vYGjOj3Bo+v2OzWjjc2Am/D7UzPUuC2G3iV7NLbAx6qR8bENu18yXK0DO7
Rh2zumGYgG4AJnSwkRDoGG1uSzEj+mkt7hoojfybK6m5gw6pqseFa/Z302etCtAVjABfo4njo182
J3vZeSicwSD2a7juy5RceL0efccVGliBMXgdHsiz0o3QlDn1f5kr667XUK8M2nZJ8NSlVYGVrYV8
DwW56Wg7p5+ZgSlEUJMAtSuqB4kKV0ShaiyPAHx8UOiyUU+zVdW/PXwL9sRyNKsqM7K+Z+ncvNSN
Ij1zRJKys6aLKdjc1u6Bl7vUYa3ciUuvirNHUSd4tZJf9AbScMnw08ozV9/EPCRZvNL1rZm0SKFa
STzVgR0nbhzQKMiHgKtFTzblMNJi1ZFZCJc0r7StgkeI4W/v5+iiFkyYN8vomRdVRE222oDLb0bl
dCWzE5F+g/1tf5sd1VT0KLrEwBO2b5/pukXexpj87H6civ9h7zya60bWbPtfep4V8GbQEwDnHHqR
opHECYIiJdiET7hf3wtSdV/ySC129Ru9iJ5U3FtSMQmX5vv2XpsbYfutftGZYriA3Gbc5lXlPLlx
xn8FYERdeA4J7qFei+wrE4dFcLEPayAwTSoIBzderSshJwgI8bIAe2InSXFl8BqQhmicfSoYUIUo
bJD7euIstCUiKyYzIehMLRXQtJzBCyaVWfuibDilVzWTbLA0UvtiZaX/QEuYBGqHX8RmA5a7J4OZ
2qwOjW58T/PeKcNOK7LnmmhwCWcgL8+toVwVnKRag3wy15MRAbCav3T9SMpy1tdtvq+rpYCzWcCf
AnChYHtVRWbesLUDKNb4TvJ5FVmpzgq64ZAn6jYxgqXzSytoVjE2O2aaJQ3Z4vBh9dUKkUwzU/XY
VkI+t5lYkxPQYNohXzKQjpjVlzNzlJkD6w6gD5Ha5fBgW8nw2EAvuSafOG1PlKWshOXHNe6syms+
Io1qriuZIrTl9f0R023o+yo2ai3A1l98cDzx7LTmQICRJZlRp1moHOlPNvK089nTd7PuC4hbte7P
p1SiV5AOwHbP2ZlolM+ykeg3NUkIXJRNk0NMMkcO17CxzHtmbyuH3rUakChoI3D4HMzq2qVmbQIb
WFbr0C8FDY+pVBPThZOZ36piKI0PZWLGl9mgTTQGrBlIXo+l7J5ZnVVm7nMLqOBQ6B8XT/oZ+sXc
vqfyobnnmedVxUGHW1IG9Blj77Ziqp1C0CTT8mVi368Cc4akcVA9rKA9xdxe0W+hJ0j2l8WSPy1Q
NggxjocDGw6+phqiyXLm56sWP1pUoNbTItWb+mulORD4tLVd1V55ifPUeSJfAmde04+m1RrQi6be
Lk8UJ8BPdF4BDs8o3MWZA2b0IS19l2obQQmBli6jE1neXD/6mV6COANXNu0AXJBxstQe/0XKQSik
X5TLm1lf0umqjLvG/s7zU9qXIkbFBGIz07Szlmkm2Q1+Z5QXKZMG0ObBMD/KtpvkibBz0qjMck6T
/dQUg/PQwG29AF7u3GW6pcw9zX/9O0CIpYscmQxFNPAq9pGc8Bfte2WqIppJOG9oIql2xaFmqnNE
Sr6xywe2GiOz8iMglkZFhOrOWYSDb6gRu9cWRTVftF9GfTVm1I7aOF8aerm614s1FjMRb0ZHNnTm
TUno8QFrEd2qOWfiMhYVmkMxfVP54ooQ7Vj9KPVYNKeL7NhEdA40zYBej4lFwZLy2RwIuQnNpS2K
vbWURXIBkSO7zCuqmZEec5KDDgCNae+O1FXDWNX4hihmatcIdSd26p7bP4xDOrWnHGNA+XDF8qVp
NPeqWUYh9gJr/hL03eBO4VjpmRHaTETXtg2G8gDGbnR3fTKQ8b4UXf+Nk7J2B7lneGKKFvW+1jBU
+NYkE7RFjnFa6MJawrEczU8iFmvPLecwse8ypV3kHFaZMZa0iCNv7Nw+4Cf2N7OWt5w5ZCsawrjj
7srpWm3ezzontsiUxtIHc1xo8XlT6M2FRJ8BpWBKygF//2oYOz0v5WUpUeAHWusYX+e0ZfUeXQBF
YTy2+i7pBSr2GkT33kpWzQoGNWbVF3Zg+c6b+zrERgZ0uLExcEBLAvoV+knLmmYsC2tu3q1J2I8o
94LUKPooaSUh7Xrmm204QlXjWOEUSRGki1wz0IzAIQ4Y3KbuoPWGdnBLWD8XTc2kU2Sdrl0Uq25c
S1+1dmh1ZLoEautwctrRhBOVvcofZ1ubP2v6UlQwXWf0u3XX+11U98KdgbIJOw7t0dVcmFKrIved
/xPUGR0lPiprei56w/rue6v/cbEnPT8thQMcT6R5zmlOxp+1Vq0fZC4ssuMHzX4agVJasF6FV++Z
bmcEmbnUh6umi+3uymjm9dmO27o765YJ1nc8boRmgLmcx1lwvk9m54y7cfEbLRzkRvQzvMW6Las5
N7kqJNy7qV8WUOf2sjqBAQvYv/AgbK3RqNppiqZpklelwh2LB35i4dORH81hVuV1dkI0b/pZsGH/
6sbJSmCRVmo42AFb8dWbgiZhbsj0G3Rcad4NM+0DfEb9dIlqdhlPYp+uxoFS6Py9hfXGxrSa7a/Q
0Hyy7MBO21HjJD4Y9I2xlQclUte7EghaGtYNzSlmLTIOuLecOLnYrHuq88JLOa4YWUX7oZhffAjk
8LtyIP47JZT1gQOju3BApjbBumO5dzjgPbwMhpGAGKI6OoQ0HsH/1PgsQOaKOL+CCOqKU3AHEuoi
cEr9rNPlAofWHCm4myJV99m0MRstR7rYkONC7s2cnvPWk6HLgv8P31ViZ11oWwBzToQ+VubOmGjV
4lyWQBsh6mXXfdNt96Cz9Yd5zuidsCCqpzmdliv6x9OHLJdLfGrBJWjZcDXiCuJJsoSWWY9fcP6M
NFvmub7UikWCX0OPjTBlNs3nMc36+MxfV5SXi9s7J610229rDFt1Z2DbFIFarVRG/iTrO9CL3Xlq
UpgKagdKWFC2ZXcLsFfhiB2GhVKm8LX+pLTz3v4A7MOF9TnVkrM4eoKT0ZjZ+NLNtc4xnsFBjU1Q
+6HsFiiOltLyy2XVrae5c90xMAqdpRMwVWqFRsopMnBnu58C5YzDl3Wt4RDUris5SqaZdz4DDYnP
DdOi7qHYUWnBnDr93RYVcb9CaL/wzWZKd31NrEBk5677IU4t5yrPmvVF9mKwQn5W+53sZ+dlatk2
Bz736xGUYQ//NnONJ2ykhcGQ6ZwHcV2anynjJbfFCPeJ03lmjAFRil0Pes5vrlvIsri5CKovOPCS
BcDUA9J7N2jWrN1JPicLrjEESgoaKmYeaViQ2Q/01YWDpBmMIZEA/cF0uuFzN+fZ9z/XhI/E69ji
0V0Y1CbR/qNroWv7torUFMx0VTJUL8xIgUq+S+ntYb6u3l1Vc4wl11arTuv8a5F91GHVvTP6cXn2
ePSjGhYRVT55nqp64RB1yb6zea5vrcvhs3PD9NjoYaYODQmXhz8Pe1yUPh71qFpbmV6TWIJRSxOX
zWo/w8I8E6IL5g66rr1zFitU/fhOA/2XMuPRnd5+q1eKgMKBlBUPE9cK0c11ub8PQHRKbvsAEza2
3mk2bA/uTVXzzXBUCN8OB1BV04qYi3RmIypLGS7a9y3tMxfpO42xP18YLeq3I01CTbExjtXLLMYP
tBAYyQwdb+RQA1Nr2Bv+3Z+f35/fGl7etwM2FeD3nvSal6agB87drLLrP49w3FZ8+4b8ogayqyYR
4E6rF+pqweZfE8/T/M4Yv9RvtweEGgepLMIV1IFvr4JmvE2TT69eqtP+YEXuQZz+s4SNvz/uV0Mc
3ah57e3Bm43qBR35rpMvqf6eQO3IR/DrEEf6GyyEOhwlroJzL6tsZQR9UD60Ubdbz/yb5HoN0//N
1/vqora349V3ZOOW7WH8Vy+ppw5WdmgVNceDVRMzm5xU4hOurXc+pd++b69GPGqcGd3Sd27BiA42
orjbJ/17Dd/ffqyvRjiahakdsx+gcvmiCW1vCevUgQIdx2dF/47+5Jc+6I83+9VIRzNujOs3c9VS
veCmOEURGi5ux46mjFR3CbA71PR+n1ffOv1dYNRvpwkUWjBnNgWxffS+U6hfG5rB1Yt7i5DjTD5k
ZzWpDkFxsG4pyBRRfgn8/na5ILZ3/+fP+bcT/quhj74DmjKLkxle9TL6T2q+5/yXTF3kmS9aciXK
9GCZj38e8Lfzx6sBj74KhM2VuXRu9SL54vzhAVN/qIEX//Mov3+Yr4Y5+hRWmrmuBF/GFKLvP15f
g92OQBq9M8xvX/9Xoxy9/ng0UlNRKnuRLgkS7Giz7J3n896rcfT6G4slkNBzuxqYucOOwpC+8SnC
mTSt9/xVv512X13N0QcgrIJYJZ2xai909/aj+wgy+b2YVv2XUUg5pxnMe06yLRrXoyfTrnViGeus
vxjOPF0j+gJUOzoJhvZ8jZZ009a2Q3JJM9IkZqkqQ/blxdecZIBIzRaa9byXcyB9xyJGUYyhjj4O
ZWjzXgLv7+fvTYSxEac2N8Pb2dRtafzKbaXz8hPA53YdOE/9l+Tev6GGeprWVwS3vLdo/HJz3mxN
fuF6yVwOmW6yYZBezo7+cY0/LN53pGK0zN+LFPtFIPp2KUco9PYCkWzDFZLsg+RTdpWdFTfeqXON
zM2lAHFBRlgCYPqbfGea/e33/2pXffT4Y33sbdQUbImW29X/1DQh7LE/f/y/ndNeDXH0VS51n0ta
rixKiNACod8IFHBiuC668YtFUb1ST376/Ocxje1mvdlU+kDDbGvTryCm+CWS1TRUs7El46/oi9HI
UIiYi9AlCi0NaX5kWTS0Jk9yKzAFjcoBpOBYIVVnNHv3Rp99E+SxvVbn/hKvXwt8JKhwJnMaAnbH
Q3OGJsglzMfzabIokSaB3AQrwWisHk5xE4Z0bGCK/HFR/ygE83+Wb/mh+VbdDt23b8PlU/P/Q8zl
pkP5LxDsLzGXF9nX5elNwOX2938GXBr2XwiqdbhpPGy0FQ6r9c98S/8v/iV8rk0wyx/BOv2vfEvT
/AsjKXFjqKw2bRevZF+rIf33f9P9v7CWU9i3bVCX25/+k3DLbU7611vIlMj6uZkPEcaBJuN/vf2k
+8WUfdqtlN1HuhT+0PNxeZXIrl096W5BqLy3VX/7OQNl2LYsNhM5l8BEeyzmtpFMFs6Y0leZyzzq
dEtEvSG+jnQw31kJjR8T7quLM3WLiHeESpsbH5znsasaVR4yvAGg19osRqLvygaKuXbb+KYwFxma
MPKrMHVxTVIUpSOarynB8xo4Tn0vO2clpovmwVBkABP1PDmhSWay0ulT/0KnekZdtDVxHFol7gXm
oObKFbERxmJKEMPVdnGrBs8W+9KbzSESykHs7c9Z2Z7SHpjKkD6D8ncoM/T6eda7at7b9eQmB8dd
HZ7IljvanlRZbyd7mI19GcmiiIeoBPRAgIr0pHUVu0r217XDlmw3iGYpLnPgUM+qyfrzLiM55UnS
3LIuvTVxr6mHxZfN4mbP5VzSwweyLKfANvpmmSMI46uFVyVHuGIHq0+iyIcy1+LLep0LjgEE/fXk
HwwD9zIiWdJm/pl0+hcXtnQ7mEXAjKZITyERTME6Oy03htf7OUlGvfxSiXQww24SkiioeSHzJpoR
+8OApEso9XOPfkKzgIKrvR5zP0E+dJMSw+ntJdLwqq3mbtW9ypoPVOuLTRmQYSXJo1Y19fSZItDU
XtqJqKo7b6qXyYGNCmPeD/IWZc6DO80F54zGoBZUhi55j76/8yZ7Ij4NvV1NuYIub0VbeYmFmZp7
2n+TbxIu3ncrNgcp0saF/99i37nJhGzhjjd4X4BRE9qMqoHcC2uhW1Gntrteu0OrV7iphtx05YdV
uUr7GPdVKz8lOY2mfrc0qZFENAmn/qmsRE0P26dustxwARxuoybvlU3HTlp914Zb46FUYaulJG+T
+WQv7UfXpMF1LTNhfYgHW/R7oPujjGZr7T61ycJL1I79IvdNZ9Qi4jk6VWRmyrdhJHTE7DhZaUJY
BS1LAbHoFi+cderJ+4m4uec1b/p1N7DojIdVa8zkARJ/jXCJn6aNI4lKg0o+iFmDyj4a+D9oQ48+
jaAqp8bVuh59JFX7BBI4G20gsESy5Uv7dnZiTv0qIxTrxAJU0jM/uMRv8TSxcxZR5WTKpKQDLPRs
6qVdX9HS9syLcpzxlGTLmFIfbrRFsN2w1pQoGxPn9EnctttfLWcSzwy+CuPKEYXGckgd17F38BBi
JBVOUWgn+dLQ98QFiRRGq0toEXatluS8R7k1hb2hd197pUi9KuxsPs2GxtLOGpGNVLtL29CS9axr
VTmoXd8VfacHxMytaiSmYxCO3NdklDjhUIxyPNim5yZ0udJGP/S9thDGgeWKlJh0aU5o4TjQ8lHc
SLrOBLrQSEltRcFSoIzSbNQGezkqLUS8a1cn8EeRI1BYnGXQZLjUd3ThC/+68Bu/PwFwTkSInhjJ
ZcyH7B3s1kBPlZC3pvU7UZZW/lDTNnFOzIF8gDQ0rcpu8y3eCK1F2Pj6OFw6XhXnhKXQ0D5Z+twW
kbI2JpvmZODtzRwy9UWV51p6KgyvbA/dFKcvFaYMahKrDT7MKQuUMshAkiugwaUZzZDjbrd+Z7q3
nUZMQetV7XmxkuxLoNFk0yGRyh4jgwVBRkDf1XzLWzm5bOnt1LqfhIEAhnp+SVsB/73PZP3FoIsh
i0PX+Fa+flmQquofCTNZvagS3rzUj2k1LobxRRek3PFeTqTGmX0SySbbgnJAZaN72IGX8dT0krRV
1WPfGsnUrPuvY2vT8Ew4lY3Cml7QPfWyvf+//dGwnL78+79huvvT/ujuqVqfquzNFunHf/Jzi2Rp
fyHlRqCPWxLtAoe8/9wiEfPNFgXCw0aewb+8Cb3/MwJc+4ttBNwlH0qku3HON+LA37sk4HV/wVUw
WP8tA9kCP+SfbJPents3YpWDMR5Uoc6OjKTdowrwmBVb0lWZU9YnN2+3xZbBSQbK/XMD/T+Mmd3G
oXzpQDZAjkpd59jStPgOITuxQlWRNwAHcoRgzxZ9mU8czabo1RO4/rkPep3m++s14TDmZuP1R6pr
H5/mCqPz67aets8+pWZFvmRErlH5jrj27Qbz5xWBwMayzSEe+/RRvSiFKCOR73NFizBu7L4lAMM3
svRD4a1pg5obKuCfr+vtDpMROQchSth2mHz/0CjebmnJqOu9ttuynK2eRl+JrT9KzZzubpYn88n/
22BHR+JWW9ZpMdG4tDohYIfSqM37IjG1LGrnpH1nR/vLE8MLjgFgs9WC2eA9eXtl6aBpFXMmIIqm
FTd5Q6BKMtndO6P85v5xLMDYup1MNWrAb0eh0UqkfapIgWmW/BzFE4HSqM3CHu5V+Oe797sLQp/J
+rVxFyjzHA3FLgQjB/EoKVrJU4JK6ej69vTOR/W7UeBoECGBGZlX/ejjLVlnymVZCpSxln4olEe7
NLbzd0xa5tsD/Y/3jiMI+ckc8vwNaPH2YgzhUtTTCjYP5OE1UdeTe+RxE8n4O+C5VAPenGHsL5vR
bp+SDjXRRaGAax3mtknzQK6IzLEa8rUT/Om3JGvMKt6yoKrycql0b2QxjIHEjLWXEO44D459cJxi
ViEJRl0bxK5WC/wNevIdg5oZR4O51iXKiNx/ckq3XYjiNTM050BgPvq51ranWbZua6eq3S8JmB31
TrVzu+J/nb9+3pEfPBigCcydxwgTZgMCgKkSorwsMEbaC9hr363LGxCWxUdndEXAZkrf97PG7scW
mf8OtOE3Tx536HYONHEK8YK9fSRDP+KjmWxOtyRTBMZERoqGePedt/g3HwzEow3BTklMx53zdhRA
bGJTnxSBatUSGqNhn5uDNrLNLZznP38wv8ymm/sGUz04H+DInNvfDpXjZs1sm9Qxq+io/s9jMQSV
ba6wWjozu63Y6tpXfx7yN/fQojhgI562EFMfh1OQXpfVmNYIOtNZkRTO032Wecs7y8TxKAZeMQuu
KbtxDl/gGd5eWIaCOTN1gvS6RpBkvVlaZrJnAcFE/+xyDA2Ax2YvYkGidnJMiu0KB34m6bl4gp30
TAe/FbhWP9/+81F+bhjgAfPqbc/xVWOtJkIuTUUrAw89SKCI54tMgvXeefF+vWkewS5QJynYGSZv
4NtRACdaAzltMuDEK8/rGqUzNQvxj5qr293SkN3ZBpgaik5IEd+OkvuZapPMpfnSr80NSmWkyspY
XnT5Yii0aFVq7P58937W9F/PHKxzpIGw2foxLKict2NWs5PYk4PBbZIdvLSeyJcO8XglqE41elad
esp3PlnjuLHWqLqTnc5aj8PDNtrDKhtlBTp02PIkZflSu5FWnBe1pGSLIOcIJ3fZZkHd9VM+jGGn
5PK19/XJDXVpED9S1F3xfQXuZOGzHfBvejXa0T34lxzJEodO9JNalZRndmGlTQRwE1uWjqdMx0lt
iA9GScA5RmfXGsi4MKdbmwzfx6TnAe3Vkhro25O4kwFF3OmkMyrEhDV5c1NYiS7uduXU9t8WvZnW
UEwGNp14muoOtbNrliHHtSnDYz4VWjjHG/qWUPb0M7YdZ93pfpPn5Eq2TR2VxIhzUMV9AcMp1euF
0MApSWF5Is0/I7gUz0lZsY49ljM50mE9wlXk2DnbmNXWNN0rsFoalSPL/Wo1i2jvfQ1gZ5APk5WY
qHUqF1VLp1e5tVkQYUWdaf7CmbG1tdr9hEXASfkN5y2XisjIJiSMmmR3sirgqSWwCEgml70MLTLa
CM4Ylykug37CBhcZhIyJKG46LY9qf5zdk6TH4B76TWU+g+BVZSS80fk6pDKdCOCT8ZNbj+tAJCaf
dmCSIv2REEbxMhc6CDolZXs3qtwSXxsIQndUQ40sHDj7yRMUV9Nt4hG5ctrkiKoCK0/luusE6ul7
jqyzjSIt0z8PTp8+ioUsUE7MRvOlxZcYj0GPYh499jS5qFEN8H9hiwuLHoIhJwu2ypx4eydPyy2E
tFWteVaMy5jjQhHj41Dh+np0Cwn6RnAITfd5ydHgoOjtkqbllBbFlH40kaT2CU4cSRAv/VzU68bB
StsRLKsm3EeIrWicK5phIxWPLUbUR5D+sdRScKBV7rTDC9hMYznvZWyKU89usxEwQUkAKbKyodwX
bbFec9/1/NOGxdCeu5KkofulAyB9ooB/0liiMKFHS7y4n5O5QmOWjE1+i38wM0+rpeHGVn7Zjqeo
5VDM53Ik2M/WpgKzwYJ4kA5c1sDPk5osuGemlT/3bjmLqxH1vRsYWW1mZ57fDvlFq1SC1jx1xuZr
L/BdUifq1EqFDIvOemLzxTcvrcZ5PmC72DnRAqMMX5SjZ80NnvW02sWVxLGBl92wUY9RV6G6UJIa
DOGckk2KRaSP2oWzvW4kVhvZeOvoosyjFyPqX91kZ5toRwOAJ+yBUUNn8tLhHNVfpllWSPgnFsE+
SNtNSXkp6jnQCkrBGU4+dLLkaS+7DERCFXGni+IMCAjmUWL4CGJPhrV+XEYi12XuzuqaKSft9wZC
5RR8RdpsqAps43b3BXyDGoZvyIQ5yOiBYed27e5weSdecZJ2VbYWD7lH1SfcXEIfRtAKAPSbnCgT
LXCpVSf+bl0L1KR0fLpUH85XFN8z1N+1fMJKlHuB23Rq3jUNkiI/YdVEvgnKAoH80D7M+GoS5t45
oRRcm2W1r6dyhIZhOSTrdtISpJVxTPCp7Zm05S27Y6fqpx30il4X2hR6BceFEzH4dheh1nfUC/GI
6BTNsVX9OSV1stsrdqnaYQFqF19aCfvUXVOQWhg2lDpllK0Sf7435pp1MhOHnu20sc+vxFyzZNsm
1dtNlW43p5nXu1hZakpDoTGZ/nWJqrmJ2kHnt8/ZtcxBQ4Pvdphtb/qoOQnHGKKB2/ngIOPtsa/A
syDCsWjn0EEIfiNKAn7P4D5S9uNVS65zp5RoQfkI2E3H2S0/w6GKpWZtjYou64vzmjolp4qlJ3LY
M53JC6fcS3UoEdpc7fETeLfcKXrjJtHkn+slccmqrZ3y2wAkMwuqybA5qa4ETYZMOlV2ZtZe/FV4
7pbPzUnCDMzcdajWjaL5KgyShXFv4Bwy9XxQe5zNrYZLS0f7gaNwvAQ1UBkYHPALcxohoIOPRfrl
3mVWeUAdq5GwmnfG3TxXWyinPqYYo9uEo0QvHdyhK8Lkp4alswmkZgC9TEloeJT1oNfBaurtqd9m
dRsY/WZwcIVitkbDuz5gntawGQxpOoWZM0znfByEt+bQoy+tnKZm0ClNaTu8ML0dptSBnaBu6EaG
G/GDixzs5J5YYOwQEsdHG9ICsdJvWc03cs+vCXyjk6Nb8gKJ3P6Mu89pztFYu+oc8qdsQkQcbblT
naKxoyoj3Twd+qgi/H5uc6rjU0zCrvPWKfIdZZH5ng74vegSGMktYoHNQyghloZuZxDkYcdloV32
BWkxUTZC1gyxa4w9L2hh1GdeWdVUohsMabvaaAXGaioq2n5Ns3g9XXLfHy+qoiY0lVBKPdvNhrXk
uzr2F/vRNrLCwp802sV0KjvW5L3rt0v2oMgEj3e4Ovjn1Eo7viLAZKiIsy6qTrvwe7edWcOrufdu
7KRtuq9xWjvd9ymP1XCoTLilJwmrAzY0JubsZO31BedU0RhGIJhb9BPfb9P7rkjilqfqQJVcey+u
dyX0VosgOV+UYZYsGVPqlC5DAIZSJUGL0LoMRNbZ/Rmxr6xG7mD4GG9UlsSBXTkVCyp7J/MOPg65
nMZcEd9dlZz9TyryIQDNiHE1ycKwlXGak7DH3YXQOuK7m6aDV5vMoVm7ldYrgMtexCG5Zg9DjOx4
BiuX6T6b2ZQtqbApOVebU7Cl/nfVZXacU0oGGRPM0L6GgyL2C8/m7NbfF6ZZL/SyNLl3ddLdiYV3
q/gcaljn7Pn2ixzyblP7OAl6/xLqj5EQjGplbTjpEu6hvjj5farpkxmtZm/3+IMLme2aRW33t2zF
g5SAqQOvLEGl53Yp1j1rw9qFZSbsg9UN7YWZiFjufExAJqjQGdzPaJvLA5pY8aFv8YhEht853z0e
mhbY7QoHfSD5XtuNsRFnMaf6dZi/63Adv8RCc8a7GQm1OGgx+8+QQNdlCZDWd91uYuv3ySxi+zmz
taa6KOjfeMGqgeEJHRNX1BnJCBgMrUoUh9qZahVIO6sAT4JNL5Dmp/YUqqb373Oyr6qg9FNo2/2c
aZ9z5QqsvSyl7D/nzpDQhBTtHerm5i2mHLM7BeniYuPqdOlGZedyqHdlaSZBP642qtze9T3YCoov
3aZJdlc6ef3VcuMpP7QJibSHjhlVC+tiHSxCKzBoYCn1Zu/Grajr7J1k7N0ru8pZA/ViLnemyooU
E6fRnq2QFBSmy1q/cwYQEUG6FtXTOLgogcQw+z8WYnSnhdHSAuhni2JdB+2Q3kLvVRlbhNZ8UW3n
YjDKSouY+1Tq+F5U3XzupgLEmFOuuO+zqvCXMIOLiKTKWTEuk1DPUsTxv3B3lev1N8rkJY+MUS1a
6FXEDWNf0f02GHknjcB2euuhUVoCA8nBgThytvH2dt9owKEsqI+hU2fLzZ+PUj+Y3m9PUpQkAGqA
WHU0Qg+PzoiazeYUOKDEIs2m58zi40ixGUNnuACDEzt7GtzCPywNTVYcWlObBapYl+tVH2b28kVX
Qz3KmEyiFOKqjZNHWklgOc1QX5egTYkRH/vRC6F32+se/FZunCYj4RhDLapxt87MhjcctRM84xik
h8CkW/0Fik3q3umra57aQ+W4kYd/5cEiyfshX83Y/7CUmY41suC9OADUFn5AIckpAtlNavzy53t0
XFQxNu4yxG0WK8oqUF3eHjbTNm3I97ArjPa6fg9/IcYnkxsFse+5dl9ai7r784DHBaMfA3oEOpBk
Ai37h27hVXVgBE+KZcTBXE+m0/MqOhlx6GCfXK+D/k6N4DdjAcqBVOOijKZLclScKhwTq61Fdrrd
aRawnsrbl+uanK5OUb1zbP+lHEFAMBBriqC2Trn1l6SqKkarAE2L5PLms58Vy+XiZd079+7XQYAP
wRbZUqPo+rjbn7+6d3nry9YZMW7KVOXf5RZj3clmOv3zE/rdKMQQ0pDim3HQ7LwdRXodRxsOOUHq
l+OJDjgz1LXqb7nUf9vtOc45o2C4/XxKKu6m/gFL9HYY29EK3+5hem0Pqd71FJBpEQsdko3Td7YI
PaX17XWc4au8L2Yhxtuco9y648hOYx0/nmVcsDK1zumi9MU9TfWkwPToytmP/vkdgbYHVhO8Jv84
uu+k7ApCVbf77g4fzQZNcy/wav8vBiH9kcAo+nrUBN/eD51MQLRrC9XMnmMI+9qm86Klabz35L6/
fBWoNFnXGMih4UZM8tuBigooXjckLWy+YdiLCZEPRmZPhKs1te9lnf062BbRyRFxa0EARz/6BNNV
UbiyMVZTQELLXwpkksp7QJqhvfOQtvvzZrJn/gL5Tx6ohRHpFwWqYXUu6a2YNHl5VWAt9XTKapZ/
yNIadYCTwUpQyAf+4UPbJk2IVFTZtxbOJmJ7/UUmXqeM3qN5kMkmjqxM1nvD4m3+Mcr/SQv/zeeG
/ffKwgMayedvr6WF29//W1no/+Vs6QfbpKsh/twImT+VhYgETdeE5srSts0wPu/k321zi8Y4olOS
rHhFoMpuy93fTXPT+ouiK0xSWs8/ZYf/pGd+JKmH/ekBzqdmvDX0iRs5bldSMcgq4diCWuFSn6FA
WT/4WpueiNkfdsbaqSsqKeNNk5jiMCiVnQAlsE9e3azfNLm5zldfxM/fgXMAKGLy/1z7hwr31XIx
O9lkSo624aIskF2r1l5tR4HzZrH+WWfh51DcV64WvPPWBHz7HcDZ6O1R80WQqFpGLK8TKAWkPPk7
XbUfWUX/+soZCNknwQBIRslBoyVz9MEVQ+xNHmfnEHi+vVNrPZ+Ae20zyFOjc4WEK98Oci1u47bK
vCHUFumI0xaryrNtL/kltmX7bks0WyK8kE0beqvj3xWLPusn04gqMGwneodYZPWUMw/+ZvBd7rjx
pkTrk/A8mZzkaW41X+bMsHdYgyuOt6Vu9qT1DtOLy45u188TyOkxL3CxpZ4Lw8VYsGju0N5QONUT
Tu5dNVjrvkMUGIfkU7gwA7W1sUgWEn36zj5oW5+ObhqiAN539AHobd2jTd5sGiWeYi0JU/SRDs35
fTyK92jNRws6SlHsOLwDzPZg/emaHa2SLSQnIxNFErpJT8x3Yk3nGyMpXPhY7v3R7Ha6sDlVewK8
k5/8B2Vnthupsm3RL0Ii6HlNyEyn+7ZcrhdUrgYIeoL+6+/AR7oqpy2n9sPZ2lLtUyQQRLPWnGMK
cTN6oIzSFgkV7q8eVJ0QAVwUam0Dg+nE0Hm/011/Hk0iipUW0QM03OyjFnULyTXPyXzkzG9wxibb
CG05uW+7BijMNsml9vj15/cWQv3vY+eKCJ6pGfFAIIQcC2cmXLm0omdtY1RD+iQKcGrUfRaKFJyf
f8WZVS9wHYbi2TWSGlyMN/SvxAc5KRgD8HeBO9rJudH5UbEDIUZYEHRVTQbUIOafXrQYyb42Mlr7
ulIJrI26bk7ZOj55ZhYZW7CTzTUY4zhGvF9K2WULmYKJXjzBCu72qYW+t4cfRO3099fP63i64nFR
PuZowARMm+JDLHHacsgy6YtbGYQUjmTWvijz+abUIvNUxxXZ+bsvYr2WQzon7Va6h2/Kqn/X7aSM
YM31GqizIdWrbZHDJt7BU3JAHwhtPqM2ATYs8oWCYgWI5s9it/4tNFjPpTpXAyikiaCzS3M0CcoQ
5OiTwnRw68iVoWRnDcgOvRsyCNBWbiZw2Of8Oi50AKydnfpDQFBaOgWg/YZbWGuthbUBJdJ2MIxO
C+YI1WQwFkOjbaq4NG47C8bIDX/o3I3LbL9Szc3RlqJ6Pq/KVms2RayYqDqC1mUQp4l+rRgkydnA
+e6UouQIJvz2IRGRiMkHhQznkOP3lNGsMBan5T0lVJIDQd7gSg2eEirW0wCupsrb73Fh+4KI587Z
w9Gtk21juP5N68/y95QrzpvIXdvXtvKj76oonVuHGKJb1xmoQXBqz4xdm3Tk8FUpTX4qRRnquv/f
R3yyNB4Zq/53E4wAdD4ekjZI2O8XrC5vsyG3c9aRspJw5edyuDC1CEcfjPVALxM3p2hhePvObrpQ
WWJCBau129ZpomAZSqxVCHmdc8JH+ifTqc1w1Fh2QpjPlMO+/rHH0/c6WDmfk76J4Ylz2dFvjbyW
eWadWGVmIjOXEcIW5crt11dZV873sxVcaA44nJRpAqIXev9EaqLPqYtWcKxIjgwIxpguRQM+aFPU
Vbt1sxEBrhnDqiw9pz3RZv+wXVoXD46CqyiBr/KD0EK1gPWSHHdjVyTza+MQnWAn9XxNVTp+quBk
UtJmeWD5zacGwJq2Enh0uz/xOz7Od/yClepLmquD2uroTIqLzQbbwTZG4+CyS5RsLu2qqTlNlFkJ
wUA4J1bmzy7IeX6FunioGT5s0ZZyGExdxQG0rC4s58o565ym3VQT+Nepc4sTa9LHocRhhVmPPgyO
Qg5/718ytUiZ9DOwspGW5dr8KAPFdu4/D1iuwjbQ5hAPOPe4GJJPvt/mI3eVtL51pka9DX10PSe2
t5/eC0fY1UJGStRx7MfoUXecfe6Fqv68VtSbUNO51NefxWdX4VRJAgUHWL6Lo51tETFFE+kRB1mj
LaHVELlld3F+4uP79CqUqZjBhW2hpnr/XuhQoUMamY5cANPDxu7M/Gzs+un+65v5+I2DVeA8gsZx
xRi/Te3/nAh0Y0ptfBy8/mwcd5U5mbua/3Sfycw58FnP34il7QORAYz5+spvd/B+eiEUBhUxCztj
wztO26mn0WzaiElsbvjLdbrBj8Tr9Ls8AZZTLZSXIUKBcOz6ctdbv1TuP7IJioIoSv9bTWKd+01E
PUDZ1mMjJZCj+dQGwZImVp+uD7v+GZOlt5lNqz7zYb2cMHC+DfX3t81hhZMozxpVKRvB9y/WSeN2
0q0ighu0+N/42n0FIKgf3BUqZFkBzaPR3aUjgDMbqJBLP0VGl4VZRSbnhD75VnejG90U/C33k9Wj
Z6EQga+q6BMQsjT7FibFJYXs55trbpCFxoLYW5FFeJ77CduzaPWhC3qLLn2QS9/ZK701zyxvGE9Z
otfndnSvDKq14koSNrWYdZD/M7qmtgYeFBn+Jh7YVpexKQJCYXsQnc4pnfPHeZPtw6psXwv7TJtH
JxpOC/lkIQndaEWt/8H21F1qXQzUzfD/Vk15ivTy8c7I27NQN3J28FdB2Ps78236PMvI5UBXeRuJ
LhBPSyfFRlN4HE/Mnkd5Ruv45KY4r7MGr2Wzt8Xyn+dIkzeyMiWjTQ7TC9OPW553nqrPF1LVd9FS
6juCjt1vRe4Z9z0wsIMOShGhh52dqAR/nC4gWq95YxCUeNTH50ZzgMdpocnfuMNcPxvxqPZ0Ij1a
I21jYtkx6fXmNEK2Ii3sE1v0j498ndfpnDG3f3JmzWYLsV3PI+/qzArkwrlepXTFEw2hxtdz0/Hk
a5H8YOGwYOiu9oMPp5yoSDKlyT4oZP9LlLgyI9c45W448jyzXTZBQmJ6Xg+hlL3fjs//vFWZ2ZVR
VEBjsSIDNtZcP9rPkUmJaJiRtFEgzQgbHGBhpgcN8xg7HuReczgNk7DDWHroIwiZc8Cd87r7oG7L
5rLBC0WhfpwG947JAL1Paec27DVsrM9D7peoIttlrG7jvsnqHQbCOj3x9I5fFPfFEZcOCz5an0/y
+FPETyaafmgC6S7ZdbzIYTdPiXY5mHa1/68v6q2Xh3B19Y/j3n3/GUrLquNi0WoMl0V3RkuA7jUO
yxM39OGAw2C3CPLxMVBQI6cT8v4yc0INp8/bLrAJtXkhLBxYHmUnTXLcs8ebQdoFwVf+0D8AxIYm
XQ4aUwFCN/W9UF0PyszsFko+GFNxRw5YLGlWpx2EXmss7FAr0XeEdR+15mYEPI42HnJWEvSLjE7t
Lz9srLmX1TFBL4eJhGynox2tDxF5aaRsgy6Xj8Iv2p9q7B02tKl7bimLpXeyjfsJxPojWSHNpWPU
5n8Soq8Dnw+MZdZbldsQNo33j7MvcnfIAbMF0ALzXRpFhLinSxz+17GBTHu9Q17beqGjfVo8dBIN
I1xn0XBmQfJhH4ZoOFnv/zhXWGwFPUrHOltoDNbvbybp4P/1AJQh6U1RC4R5VDPo4Kx9sAZrenFH
Ndy0gCTvazedrkuZTU/15Jjj6tvDlsPGDFg8nL8MMLOnj2e0j+t6PxA59LcZlvYqQsfhAPpd9HjX
yqH4EbXDOAVJTgbOxtdsOwvodLpPNL4HgijqqL6G71kiEWwbsLKo3Z6rnAyizRjN0BtiNU1XS9Za
XpBOM+AQNQ75C5LEqTvYkz4VQVQ2w2tRm8uvvELtvhG9RUxBO/jlUx5nZShicklPfGEfVjiGBD1M
Yn2ISbDwRR0NiWwZOPiIqQ3Yio3PjVv4f/vUJRiiibzHnoTbsDUU5Hw/9ZPXqKCAUnLKwKPfLyA3
vh44R+iSdXyuewiXpX09f7JZO3qlApK9LO0pMI37LNrAGEdVApM8ONV4++RjpJJGgZzUHzywjKH3
V8J+PhSxllPZ8yu7v1wsGyqFU9pUZlWbuFkwJkNcBq1rlfO2NnpHhk5fuMYtbmvj8b/etsNZW+dX
MGc7dLCOfsykoJvPrlGiG4xK+OwAnUrGy4jP2kEO+Ve5tpr2LFB5TThmalzQvhBUvKDV45jG5fWN
/odlsj5r/Ym1/+P44Lchj+LsyHThfqAJFki7BQTgKogna+p3Yk6j7SS9/q9dZ1V+SBs/NzZkdVX+
bpnnAp3y4CGfsoDnXtSj75xa4/63w/t3b8tGhIlldUFSOjZYHt6/OhyCootjyJqLIRUdnGixKR76
+SLWOArooJwgvDsTJ3ELLN4bX2RX0lfNMld7KdJZf+r6yni2EL88FNkMmdwv8yc4p0seEtYyPgtd
TY/UqaLHiBwTwqPbWVwZeWKiauT5oHq3TO3RikBt3VYqm3MUqhqt8sYypXduj5N9Rcqp+QNeg/YX
UVIOjxa9Wb71vSj61s3VxORTl+5Bic7/xe7Zo5vNjGVuE1TuCGCLyjQDz09ca5OwX6LrgXb3lS2N
dx7RHFkV9IRzb1yqYH9SoxkfFtlZ0dbCGG5sRlzoNPKZVb6PPiKwXekm5Y/GZrahLi2gIvQ68XIs
ia077EQz278aUqOZwDwv7UNJOdHZlfas0wmogIiHHeR+Hddd0Y2XoKXz9OAVq3QQwdxal0vKbxYd
DOap2NGHcz/GgY3Yd8QdIAeicPfGkAAiQjChIzTB5A/51KBeEEa26z+pspy1fSplfd+bVfsUgc3M
wD7oFF44jrKhqKI+u86mtPtmsogQwOCp7E9tjN0PL5nlZUWI4RjEWAKS0CmW8pc+OeQAFHMxH6y4
RT/o9zDmQec27YVvlv6E6LbS/jQdOQxBm5aoRSXROEgfYs04oBam+5GV+RBtDEUExq4bqoUQNmt0
Xyt7me7wB/h3ttuP49abmfmpEPf9z04wfoiFkDCJza7NSTcsAUlIuSxXZIGoZY+PvrumoFR+Bwcg
n7FGZH0Qz61oA6zzoBNWXxLnfUcDmExInu1dVEkjg841o+Kqagt/CgHeO0CviQ8hgQM7wTUiFOVt
8dOxe9Dzqm+v+94s5jDP8pidzhwRd2e73YT21WsaMNaR4lZ1Z/HF1gAQroeV6bOyFKp3/1QLmt3A
qgwyNCtSZ6ZN5PSOE0QWxfcb15xdWnRmWRAU42HY2EyzRraC3bQki8x0B0KEjIJG3WCnmJn0zrLW
5F5z2Bm5QGo++e368MoF47vo9FDa+uJu9Dkds9AqlbrQKt9qdhDrXCjTRdQ91imh57AUZPK9AsLt
BuOyDD8KMoi9wHHh3+96xyXJIuLEdBmBq39CtpG03/oBOENgm/Uot35m9SpoiiyOgR54Zb/NXRwW
uNU4fwdJJqh2DAja2wtq3fVTmgK7CcRgmHyTi1Hf5W7C8Z092vwHab57kdXKyPduOQ6PiPBbFWg1
W31+TlG+dIMAcNRNrrqMPa9mezAU2kGktvtCgGH/fUJiDAGMPZhOJ0N2fNiis+EngTl57PXZsS6Q
Y8HirjuvvBzG2k/2ecZeNEglc+9mttCABZ3SDRUCn59eKrJTyFeoh/k2nSy93uhu21vnNfl/+rmh
50V3QRiHTc9Vgl2vJg80RTZk5T3kvKg6jEQYOCFfsG9e+CWOSCjZCN3hIXL+DhvV+ftOy6ALkxJe
jzvlTPA/ksYc2pA2QnU15wAnUP5LIoU0Ir9EmMpI32O3FO4ukTWiXs+bk984kJd4W3qRwk7SuOdO
SXaSYVIwDGYtql85WyEkj9AV3OaInfyQjg/b5AyGxq84sSw3MGtNwyDasjPB4DQlV2PueNs5GyYz
YJqQ/task3Ki01nKCE6+m9QHPemiNdthKOozXS/Sp66DeRzacM+tjRuZuEKYwjH9mn7X5JvBn6Bg
z0Wa42NLUDSEVpeVzc5CFrtO/A1wrKnu1e/U1+MqMJD4txtk6p1+NjWZ3mwb0y7v3aWZ/+SlmyJy
7zrzu9XNQO/6mOC9DW5YXwZqMvxiCwdEhXnVLkNYFDNmCU6NONLJVBlwHarMWm5L0h5fiZv1xkvb
Z9E76zxdDYHdodckkoSjKw4X2ZOO2etVmOksuxt00MvfBVXtw2RoHGSN2I5Jx3ToUIG2DmPN2w+y
bx4WXdq7pBFXVKJsaDPDhdvCbWwK/bqY0q3mxq9a7b4WxAKVMR0jGU3ErGgZOiW8Gpa2KbL+sUzd
WzThj97AmKE/ia/3Jm3qF3gmB06NW5Kh/uhg8QzdOtgDUlTazJXtXEfQ7vvOz0OPtJGCsexBP4F8
4+/dxHmQ8GkUi7tVq4tZRPIBpej1OA8XtpO/SiIwCDq/WsRL1T9mcbH1zF+iAzkv3IPF36DmdJd3
yZaMtB0rq7sD9g8CB+E7T9Vpg8WEH4PSFN9EXEbEMyesXGVN5bqO9Jsey0WxSUTS30ely96bEsV0
Rq/hgkoq/63ZMK/ZxKPl4AJuYxKwMNc2+9RVj/1Q7PSYD6MvqqtozJl2E96S695ZU37oNAv97oT5
o22f2W88Ki2jvgj+/4deuu2ZPrv7al5+OIm9bVYNON5d3v89Vo0nW6vO7BTSJJT+ezDHd9JxD3b2
5MVEDRbYWpCwoUdN4wtGWbetx79ZE5+77N6jwh9oR3ZPoo6vrMQgs3Mal725JAc14SKI0/GhUGI/
DprY1JZ7aHXSNJT8CQQqaDoo7PlQ7zGF7CKaPCjNyx0oh++TZtyKhNpbQndGr/QHg5Bg3yc6p/Zs
6teYMLhNZ6MteD+q5IGwkU0iPTPUhhh/ebJsG+ja/Ixbp7C/D2J81prv5igCRLu/ZJf/VhENLnDZ
V+hwL2OZbfFTsR8qbqIca0iuiYOMhfnDS3nx05rCoI3TuUigEETzxbhwRFtkOBr674oBtG3y5Xdq
/iATbz/a880Y288539Omd9JwcfSzuLeb+1F45HVhRCB9KzLGLcaA35bIznAFXVMSAGbT2BszlhQL
uvbF0FQV0g+9zdP2rMJZQg6jTkhH/8qHf1ORAHSoZjKbe5cprqmm+74dkamb3a+szwYUapqklyoQ
EbOZdNtgqMqrsav1SyJx3B0Ls/ecMHSsgz7aV8gozrxZnenRZJ55dXuZkcZXuN5lY1uEp1RwxXJT
u3ZktrBgQ44hXeYsYh+zT1T2m2NvEmDp/wOO/3H0xIvbJlOg1M9hcLR6o+ra1Q9jPHHasjtLj4iC
q6LLrLCnb05paj8M1CG/CyOPcZQLbEBQOgz8vYWSqANyEft3vleD1bA5KrKHZIPlh50CDTX5SeMf
VJcA19L1eXaDRBmYzxz8fCQyqTw10cJ3y3cJ8jQK5mROieaNQAkFkKGyaxcnqdjODcUz6AysLcqI
CTcpEcn+8cfI8cg6rsYh8NtK33cytmhY4NkOLRBUNyvkyQoKvoqEdC8XUlPvrRIkn9ngFc+q8arr
FUz0zlSLtfWKYaZQDz6e7WYtwP3MqOa1YDTMBv4xm6zzWfeieasvbUcGz1KOzJEenpoNdy1+FrpV
3jVGMt1bDkl4O8ALFP67UmL1EHkWEbijCD4Km9bzfiMXTn6gs48Yu2bV3LkDH1fY5BlxawRQjUxf
nWYHI+ZLbzNQFzoHuIQ9LDKXEtzXLNk2EghGhkzqLlHF/jirmkDlZLVsrLZpimBicbn3MOItrIOI
7DVfbZcsHQW5QaZWhz3CZaQ/I+b2QFgT2xB7Eu2vGpQc/0nhOfe+3RDjjNLB6TYtywnOtbmCKOEO
tZh3yViPxECDNPg7R5ZZ8Km1g72JiaAkckjz3T40R9OWLCMju9vRyIhPIMlPDheNuyAHm8Vg3ps5
ao/rhgkWQjF7NCwVoxlf+LJNRWjqowISqfX2X1k2vL6q6WN81rj2N7abJ6+EBYl662Rd+03rxHC5
BrGv6oR+pv0Y9Q23jeetI95BSTInCpZ2R3YA1rLYXUiRkDF4C7x7hFjXblMwdvxa3S40MZttOonl
CWIf2SnoLqJvbqPKV6gQBtYluxQ/jSjx+dder28syuJX2WyK4lAMCxk2wswRB6XN2tgjDMOXOzab
Q3xeNYU/4y6I/Z4R2qBLoICrX1IL6bwzSh5ZG8SOn94TQldcEF1fPbtZPVzrzjp2Z63jKdOH1NZq
8kh6jKp0j8A7Q1tFcgutKRsbNPuMLDJ+MHkbPqDAhZXd6we2b2RH+35g5asBr4nq+CCLIV0dtOYQ
ajJ1h8AjFImpyDD7V92Kq1u9lSYftpUjgTZk8W0Ew0c+Vb52d9Ha2CgwIr5G/OOl912SJYi+hJSk
Eic3GnhlinzdIenFRdpB7gpMClmCZIYovdNi1fshFTH6tqnTy5vIGf2FrKnZMc8QJw/XrVl4mD7b
cnzlnEGUnWcuiKPrIauusNUlzcYEhPda83/47mSg7ViDPaMJG1rtlOILPI6yQRS+cXna3a2I8vLn
4uc0+4ZeM35WTlRdIUPqBS5ZjXqaxsb7l8bGeWUKLJwM3EJ4+0KB7OW8RGIMxvyUrCFg3sQHw/Vr
i1239MLdkASZmzutAiOy8ZHWqG29kBNxFtfIF29Nq27r0B2X/hfFGb0D6Wj6D048lrf8tcNLTpAo
izpypIfEZ5sLpY3cdUhETfdXNGV031RSvXStI+ItLDTmJknRgENQjS15Q6XIH67k2CVnbVsm+S7W
57jetpXFjtaJMtoavp9S9phnNdfhmFratMZPdmTr+CJ9FnGSP0c+8teN5U78GcbTlj6WU9y0wNpG
vv6cDaVWxzUJoJQK3E1dYJ3dmF0xXpIxlGTbYfYMvIvo1/EFxhPfy8A24ODFHGo4StRA5GjS679H
l0S6cLD19rmqrYqgFT+HO+04fXK+ELlHMLtGvkxIwBY/J9amSYSZUTj7wrUvoCZTP2kJGEWiVWoX
OqdU+hu2d5Xrfdrz4Yr+VzqB0NyUyFryDUNQXSidGKpNTvILpsFI8oG3JtBl7kROvwiyZO73MNay
swVc840draa2worYZcWLPbGqAH+7necyfox1Rz1Vqk5YwAjMsrZULBgTjexYuP2JekfYabPb7RJ4
zCaOvck/MObwdTnFVNuAcLJZbcBAJmJvV55+LjokRuGkXDEG0kngDIyLH98mLvzfwCAtki5Ul80+
njXywjfKh4iwWSytu0D2YFrbvOAwEtbJ4F7pltTiLX5b96XB+4jnF9blz5n5zNgNdau/9E67/DFm
TOwRkbDqsEyNe9WNTuJuzDGO7sBW+8Y+n9vuQWMn0QS5ShliUevUeSgtN272HKLXCpepyz8i7wWD
IWnSORwV1acN3Kb+FVpAKgkgruY0tKbGBzoa9woXYYcV1MyHFoCgWnrCoIEzzFvKqDX5lBoMVBav
khDSDkn/+czS1fIpx4vaN26Go1lZ8Q3m6aLaeiTDknETAyHYVpT8SblrWL9CQlbiW5uMMu/KUdRE
N5mfkmEp56U3Nr0GwmiTtCL/XnS9/VvoLDKsT73BntmsWcE1ytiTsaREDSxO9YMoxcLcArMhWAML
JSl3xZz9ov7oXJkTec6VchhTGXtih0JjO/70xqy5GmKfIhNywjc9gKUV/1FawxJDywg/BWKhtQd9
1Ggz5CKqSKZZ4KtSXkzFOF1xOD6hjfjQSuEiqzEEu4YA4Wavf/5PQxTDC11kcr0Djp7pts15UFlR
JSd62B9kyRZfAIk0No0GPAEgXd5fxgBq2lLqqYNWxvXVLDDcjZGynsuJSpSR5OKilr55Y5aUtam1
l2Aji0ejn6gTsDs+b5CJhbNSHPVgJZ7oPXzonb79NgewhM+BSRxXlaey8sqC7XAwr+Uro2wBRlbR
fenB2TtR7j/u5a+PAR4cdgkyjgkyPyr3o5CQRhvFYBqmkRDKNYrir1+Rz2YXlUQ8MlShvW7wKul0
O8c1yVrts/gF8qwO2xxM4Zqipl+q2Jy3/ZSV516nU+8CNb+rWiN6OvFz13r6u3o7P5djLUpyE1k5
Tdj3b22iF54D0KxIqUyKM0JE6ZK6vtpNrTIOfZq0O5Kk0lAy4Zxj80PCC0D1PNWjZ7+I/TBj+3JP
iSrmYGMCcgEiYm6WwoJCX0PjwkLWnFDyfTKaUZUzegiKpxd+LChlV1hqYkaHY4FP+aOI6n5NatH9
96sYeO1NurrA1j7o93SzLWqZAvLtuii9pLDbhVgUht3XT/9jB5w2PuW21bhCVwxD6vunz8HDr1yM
r6AssLvXnuHv0BO3v6GdGnRAEv+qhJ4QLG3CpFpXzlUzrbX3wigseKVi0nYOZIswmwSxr3qHEX0h
APCCol9ynueu2qvJsx8sZx63MZvX8Ouf//Gr4tfbGG+Q6uD+OR7qEBMwN+tNydrN3oH3pVGuRB2o
bCjOX1/qWIe0flUc/nDN64ie9GMmGemkYuzWrKJ6qdxdlQKni/2K79lwflU93I6vL/dJY8zCz4qO
5E0tCgzx/YvpdWIxMzFhkbSj4VqyOG8ry2q26AraA9Ice0een34/ugYMJhJ5Q9Md2j096uL261/y
yY0jj8BRgnsTsf6xZkYXczG51KoDyHndH02qCHPLWO7gouSU3UvnhPTj4zu10JLSqKTYQ/P0WJ08
RbqdtDPnJ79vyxvHUuX3AojeJYnS8sS69NmlWC3WqXl9tccqE0/D648ojwpCHFfWBhFHF2QRdXA8
8r5/4lP7OG1woOUx6rhLHQCoR3oCTklk5rEwYYPBLOWBl8EOzTLw9dt6U1ceTac42xihLAE+srmj
RbDKQLJIE0iPNnWRHZS+HT17yMyirTGUC0aqzBR9gOR/Urdi6ckZFwCdDeL41qR6F/ste8B6aK6N
hVo58YeFc2PMnvMIlkaRshgVSw/uMYu/LYPujCdmvU/eCLYv6J98bPhojlXSRESnFC8IkxSkrIUG
DIjrtBTlZSR659vXT+rjuOav99C7sWPAG2AcbUqaIWqBhixFUI/ZAG0oWw6aKOpDY9KPzKCdnZir
Prve226LaZ11zjl6MTKqorrnDBj00Wzvxx7rKi2Bdqv7hXeTLpiGTsxYHxdW6H+rGI1NF8KgYwbg
0InRFYp1KkebzSnAiB6k4TVXbivcPYHFlNX6uHuYhbdQNy2zU0xc8VEI5yDUQde3Mo8BER5/yhYn
8A4xbBE4XUmWmBT+haxKEsXjRrOtMJ6zUUMGC2uD5OhM/936saUui9qD4WTyGSaBHceQpgqt9p4d
ISGLu1GrKHpiIW/Yt1eRxrlxFlTVgUKVtJby5JebJugEVFpahFN7lnIOtDshP0GUz15MNhOEvGPb
n64yEPleQLfeosSKCXsK3Ij0s40LNtQN+wwmOlrwqbtKOrextkM2ug+iXxBwoYIDtWXOpaFfsPdd
D6goliCAGDo1QsQOwOR73/i7jBEFdZlYzypdgWQwj9VfQrLVa8FF+jNkIdMUlhm+RqIsC+cPzk0h
ge95UxNaHIL956HtKlSRRkf+ra9XthFOZR81tMbH9KUzyuaF6kd3G3Mo1ENW+e5b0ncUZedKQory
KfkZu0ohDrtcCJiCHQ+CxaZuSDMxjEq7A4+XW/n3Ns2QoYK/J3ZTXzhyn41UlzXsekmvBekydAdV
e/5vy22r+3hGAratRbm8TBK9P9SNpRQ7fR4piBoucS/4IoeUgjmnyc0MLmONDK+bZ11Y45NhVYNG
I1jSc2wGRzQAOQSH5xGlTLxpJ+KpNrjHc15HmYprK4dBt53LZYI0z+lMBkOflA8Z9TDqfhQpL7k7
+TetB+qA3VwM2lb1VvpX64vmgLC+pVYaT8mjjM1FEB7jxRfpkJNCXLe0U9vIouHS+Y3VbnpSY1+F
AgKcdvbw+PV083H6d8B0owclBQXc8LEUvZmM1C/SBEOPPZGNgFJq64x4x76+ytv0/n76Z6/INg6R
FBdyvHUW+ueoFftDgZqDnm4xN22oNCf7OfN82k1BY/HAcZx02yWvt5MWTUHZpG04IPxFYVnD481a
90J6arrq2GoFNY1U8C+KHGMscEgjWuJzu6LtzjmoQx4j0SEsBsolX9/CJ/MkpzimLDY+oBiOt9d1
VMIv7pmXi7S0r81RxmFpNO05uGlaMCZD5+vrffArYMrBb8UVGalc9i0P6p9HNsYV4c0WWzkRavfA
977nu2IfnS1/83NyhuaTSV+fzMvsNQxwoIiPdP7t/SuqZDn0Rg86M/xxuP9zfzjsN9vgbNyEd+Pm
xAbn46Dj1v651NGeg+5ZobcDl5rU81TRF/FPOQHEJ6/r3SXWn/DP05tjZlF9vZuL3eOOW9nv938f
Lu5O3Mgn43q9E7StmPmhiFjrQ/3nMtWok9iyXqbZqqfpsgnm2+HMvsh3ZAAHVaDCaY/a5ECjPw6X
W23nv3w9Sj5uTLg2/nLOYvyED545SjNAJwAyBhaFSJLJB+/At1TvWlIWTtzrx5f2v0sQU8QG7oPx
vY4ALLVNl+KfMeJnhRibTb//X40ObEZ1/sdxHmS1xwH8/QM1moIe7dym7BPT/BHQp30/W5J+ZgYE
+etn91ENybU8SB0+jw+/3bGVf3HGyZohcgYIU/vzCbVM0A60MxokKDmtJz3+kRfaGEqcIGRJgmUP
U6N2rr7+GZ+9QqzxFl8e+29Q6e/vmPYdPQNeJAV30W1pNo4HS5bf/DbRTxxhPnuDa3bVmyV8pd68
vxKmMVk5KSup1FLYJE2yHIhTN09NXGtl5GiuF4xJ6hA+RaUP2lqEPp4xuCoLWAuHfu8usbWKS/wO
LY8JQ7jSfPFYdRmoUS8r9Je01r2HoqiTh4SswUv6PQvlBdtVKJWIZy82Nn21DtLu6O/iqgEX+fUL
+OSxCCTbHCRhe+PHPpoqlKR9hg5pLQMq6sqrv9Ot6ubEw//sqaBMdaGxM1dQoHn/8HvdVxDtDAz4
y1BcRk7p3pGoo7ZQJuRTu4ZoIHWY1InB9dm9OXgWWLOoo7DtfX9Vr4Edl5uUOO2ktwFHunU4u9FJ
lNJauzt65WuxBib6mvTlHK8dJM3QoDPjLJClJcFBT5mcgthqJGeywlE+5QhSl7aRGRe4yqoFjbEn
8+HCr2ddnfisP/meDEzEaJWIJlk9du9vWUszJd60zByWZejBegyQqM57DxRr+PXI+eRSFAexErKv
pKj5Viz5Z/Y3EZlOIhFE7yjX3ZUtikOUURd0+/67ctvh0CwYodT4cFC+rXf/XgoRlM1+n7nKXDis
LwPCLGzS9Y1GzedODlZ8MJakvcvaxTmgM6fPqJX+CRr92+Hz6D2vhT8OwcxV1EOOtnG1M6G4Ackc
TB0o982MpPbKrmYL+XhEBrjmJX/bKTG3cZzpe80Y0zs+Les3sUPkXVGF5h+NTzpbgfWXBKhDu+D9
FEhPmn00AP8kXqGcBqxJtJZlnqfbQV/1fUUjv03zycznTz5J08NB4dE3Y207BoDB78YTLGbGRwUU
kj6H90DPctiYlL+3Qh/9JwAIyYln+MmYwZUsPNTYLHAfHLB51SE5BvQXAN5At9ELean6BiGdl+gn
VOwcqj9+lzRRaD0Q4AOD8Hh3T+s5g9Ittc3UoK/Z2GIgCypJOM8MMkduphNnAffb0hG3IfrOHtNs
8bd6bDZ3ZaJ8BAJmOPu9dgnTNWXznhZ6FJZikY+Ls6oS7S5H1UkMXNZvGznmao/tV1iBDpvSPo+F
7/40skr8rJ3FfK1w6RRbrZuN6wGVu8aJ0XawGkd0HDGTqQKuh/g/zs6st20mW9d/5aDvicN5ONjd
FxQlWZ5jO85wQySxw5kszsOv3w/djYOIEsSd/TWQRpDExaFYtWqtdz1vIaNUG4bs8xhlGWGNKDTT
pZ9YemxCpY83Suuk9/Szml8lOGI3RSIwmJh8ebhPygm9fmeXyj3y8KDx9E6Vwg1+cOK9NVvY6EOm
FgisR6uukPdKInWhdJovbWMoX7pgEF815OLl3BcrxifJwpULllastp6VldJ10wtKklQM4msHoiin
dQq+kL4DU3fp2Nd8FDx9Bd27nSTjoUiAiGwDvYFk2BkBQhM6d66pziHDxCOuvAvJKZUeShywXeNo
13xNdt87NP7LXPWceLFphdEka5f5Gdo+J0M5tWHbRbpnOjklG0MNYtmVUX37IEGs6MEODAPo51hL
GXYB/XjfmmOi7UapQ5yeJiZ0SScN4tfKz4LRoyhd/TCLDGpGxdIdb62UJjF4mzk/FcbtpHq0pVe3
CKYgDKdTBVM28/NGbFqpUaOdlOqcbJldgkZfXXTDxh4aYKJTFSAsRNw+FZ5CteC6dzJ/9ISwu8/w
VxBbSdTJSq8fYnFIDXB5t9nQgajKqAvjn6rXb+QIpmlT1nKUekljhnddG5nFFjV/e5eWzqjua6RZ
SOAGGVE0klT7PSTTwrvl1m4tIatiq6etw1wdktpAuNh1iCYHwOvu0IOs3zW6GPTtKCf2G5miIbmu
1LFS4bAiwzFagPseWvLB2NpSP30TQ9AOG0xF+siLKAshHsgJGd0wB5rrqgN6TUQGNlmM3nCCB7kZ
NSax7ms5jZHViNgGnzXgw7KZ/mJFIcNWFkkuuVM/P2og+F2zl6KgybZKog4ChnE/lNtWQKi98mkp
s1Fi13W8ocpcTjuI/bogKVB05tVEVxbpmloRGjM/RLzORIQVPIaFdjN1kt54JbDL71Wl+KB8VdG0
GynBj2bbftSGcj8VAqi0E9LIXOLw6FpV6hibMgySaT/C9TVpCFUKcW+3OZpJB111fJVkfo+8RUgW
1n4V5hSHSXTIewM+33EbVzZQfwvf6Ct2Kd1yoyrqbws09V86NqwfIW011TZhk0SIlTml7CEIFcpW
CsxWe3BarOxo8lUDmiei4C1q5PylLxLCcKtWjOJWr3sWykpumSyxSZpna3d6i4i78v2f+jg2r7WV
qFj/YAvwXhJ30O3W1Um/zdGm3vYKqPhvnU3p1VVkSnt0FPjON4SMPoqeLn7EJkf7LGmD+hRmPSdu
OPrGrCYFaS3Z8NuBsDTKddxm1exQaQZvI830n9FFFK+XY4szkRuhOu1R9OuSNzcXxwKDTlsjmzjZ
odK3Nynh030mycnb5VG002H42XQUkQ7kNET72XG0ZNoBHeUNw4D72U5e44lNeqcdQIF4mpfvyjvn
XtlLT8nVcBXuAAPtnH2xS7fKttgZWxpM3PxuvLK3aBhW9skzZfPjK5uv/I+IpxJWWwUKV5a4lpt6
7yDRtu9oWdznZBd5NPSsxI1nSlvHA8479x8DFhQc+mgeMHN/PrmHb5vtp0+Xn/bp3n88wiJ8isYA
zeDACJLVuGp5GwC2KuPd5UHOvVFKOZo5g//YDxa3oTRaQ62I3VpQgtxaZceCojlrHXJnboWzEnE2
GSqHaufiVuIamVwIE2iTSGkFRtiQsdoYssdaQA6/fEOniSmoe/Jc0ZYxXSZsOn4viZGjq4fngnC2
QFoUVOS1RWcWP3t/Mq9nzxRy3lNfv5RSFfRXRhxIa1NjPjMcx730ANKjyfEGUrH68RX9MTXQGVIn
q3EN7roqlp/oRgR3X7cKRH6O9j4tP1IQPvYITb5JoWZeSx0t+HtHD8qtoFeLo2UwRWsfyJkXTXUQ
jDFCIZIXxhze/nFRRWi31QBSDj1VreMYoufIrHiGN2aRYyBRY4v7q29ToaEI6wjTzEBJsbCNeoRc
raxlP4xQHr/qZqSNm3EM8x+XX9uZMgvsyznLByBnzjosVjD6k0dL6RDVK4kR57fUPNBm1rVC91g+
opNGQRsZqLdt36rccqybN2Pw7XSbC8loEGvXyY8ys6PHrqunWfutjjkhYyPoE1emCbe/RMNGWsUU
wrXKUir3khMmB9P27dINRUlLCaYvol6ZjSfgLqqk6FeoBMJb5hi0BGvm8JvhAgMMV5OEcn7SJNpd
7tfdWzVW/SNhtfA3XaY6LcfOUfzKa1ZXyIJCf5bCwWxQeGnDVusdWzoYStI+hSYZZdcu4QFiQZRY
+vbyeziT5rK4SgqKUH1sJvFiQSBzVraDQ4UvnVUz4PymZ1vL8DS28uS57toRSa2s/JqSKfoeclTe
0WEEZf7vr2IG7zicYjUUC8YiE9EK8DsB/BhSBL0j3RC8I3fquyl6xadgpO/JScfvQ1MkphuJaei3
GTmYH/WUJz9XrmSed4uPGQ0SPbQcONn4liyVDtNnP6HgtzGqBh4nLHVXhY96E6j6cB1rwjoodilv
kzwaH/H5GD4zIejMURLpAQMD3+vJgGwp345XnKSSnaP45p6itn7XUKlfmW3zMrq8VniEaLNYaGEo
LL5xGRgYOTO+IRQB2FeVfgZyR9J2IACCjT9W9crDObOmOCBXSBQ5FAZ57cdrStf2sZX5Q7oBV5zd
I9gVV2Uzrvl2npuSjjWn3KCQIM5cFrmnMsicOIgwu4hSCj7+UIMmwDFGQrc6YOuO0rGG0G6ZDX1k
qdzluJNTgv8WTLK5soyePuEZA29DheKsD2BnsbtMFp5B+N/Scto67ddIKTAmS5vx1ZgM7RqRZvT5
8vQ7I21iwUZUppB7oAlsCeV02pxSImZmm7yya3/H0ZbqJJYq8u/Y7qdwiyGJ+Qs/+1zl4NhUjwYt
C7/NJKvo6DJbqsSWVuh3AB/6isKwBv5jQinKylrMzVcId/C3TKvgkz6N1s+qN+Vh29Llu5o9P40A
uA8wKDNgDW7N8oMu/arQqpw0r9U50ntaw1Fgm1Y+lfjWe2WY6ncEnZjI6HrnNbERH3zb6j0tpb/V
lUYpw+QgHa+ANJEamnxrJfF5Zoqx9ZAx47UykaFtHc/kMa4cNQgpbNZJgTxV80OpuxuLYGjYcSzt
N4649VPd9sFrRToSAXwlqXcOvlvDSvBw5jmpJF9nVd5s97t837Uq1/EwqqS0B8e4aui2ogmr0W/I
vK+pOc/sTSjzUM3CQYatd6LOUrVopPkEPGM9xeZOHuzmOp/M9NmwkuhZASqD/S/K+j27QesmtlI/
pJoR3NSKKa6svOoO6HHz+8TBWyqJyuIgSfF0pXDuSlZy7qdrMAkwctKUX2SChGU9uAlRJzTgL3Ho
6+Vv2lA39BHKzU0RA9KyaimkqbYTBxSr+opT7NlnpM+qD5vYgOrPIixpZV+rJq1AYGNV3chCDhln
l6D3pAduSAsqyHY0PDRyEN348dRQf7dK52cXdz0efF2NNwxqapxhpby+zaMwz70J6wDTTbsR8YUZ
VIq2sgmcLsrI2yzSrhSCDOhciyXKwsYFWyNWSy2x01uyGIFnKtX4v3glNhaNUORnqMKy8oaNLVmy
jr4kOyi65ySz6L1lY3rD8sZ8bOpy4DDs1zieEo6vAHpOCSiIz4ilqHMxF1gklqdQBO+p1GOE41Ml
ujIAAd3UZtxtGvqwfiMtjLeDU/jDjnbk8SF1EMO5sa+Vn2lhMPdRVvufsNGr8pUv99xlUXfH4RP4
KV/w8uQRYA5EdQ4bX6E0se5ltP88FxP5FStxNKTbavxTrwyafjKVRazKlZc2kZNhC57JOvhlJujG
C+o1bfyZBYX8PzhIuH4Ik5dxvzSgrUxC+nSmuJ2eM/IvW/KExiGxqbNd3qzODMUhkuoGpBzg6sui
lTkqGmgWv95gBImpMsgGT8WH767ozTW9w4e7+nGoM0vsTGBR84KAxPh4wQ79tvbLENPOQeD68kCb
IM5NlBLj2VdD3NMN3sLADAWNW1LRoPmoTJ8G0trRviRxRX6myKbwpURAqLiR3IaPml0EyKss/tDT
LWnu/oun8tqy4vHLpGoArx1iHYO+nEy27u2u0cxdgzTlO3pW5QuUlfpLSnvmqyIpv1RHyK+03Mnf
K7O+psKX7qauTLDYcboIeEk+AQvxk7J3pb6ugn0RW7W886NG+1Q7tWwg55LREjUlt+42WkTrEf1H
YFakFLX2RhIdlblOykJsJIXjvys9DZL7JHUGZRei0cGgmaIiTqU5TnJu0IPcIK+W4mY0Wonx7iB/
fcUxVC3pawqGn73J03PjfmgGNKPd9MUYBygISkaLlotXokS4AJUDqV+vDb9TleVkryNpGWksNdMX
LTDNtVP8abGFKhncoRljOq8vi4QB3e60Z+kkQ3mc/oGzs+7pldPvRIJVIdySgJbGoV5Z087IQNgH
ZQo8VD/mZo/FqEk/tFNdEYY4I910BvKvW4Mu+ccplk3ysoNlejWNnIjwpO6qp7blUcts96mWqZ8q
2Zl2iMb0Q0CPFsc5uXRuc/CpKxHoh1R5MfNnpwYKw7MGgNDweOYnosfmL5y1dkZcKB65vg7fLKb6
e9sLwdm41I1mGw6y9jTSCvMy2kWkItB0JNAk8mBULvQdjOk4J8DhKpySVmMdM02iwVruc7fFpYBA
jFa9O03pYgvFfCVJnmKAsoAnbRNT0pkfDVu9bCPniua04MmKEyyuS8gCWLg52ls0cVZzpySJH6rR
9H/VTd62u8AxxwcILuU1O2Goc47SpPemoZ9lbdeev/7FM5pTlDPpbw4bluGcZviZ1FJq2FjgCraW
7CQe6dp4myPs+B4FVnePWthGkklhRiN0fyiIMW/Tzhz2U6aGm0QpKJ9cXh3PTGmqa8jPZ0YUyuBF
iImgEXdHs6w3+iS1Xgl07400kOJVGbZ8McU2qlrhml73ZEm24OciriDzg2pbX67+fh3RiwKHZFOl
Unbwrbi+pk+PaEZYa5HraajEWLYKs09GtUCqYzEx2WEpq+Ayhp8aHKmtP0jlG4UL5SXyw/i7pLfE
k0YAGJ4aa/+MahafCdLVxl2oTspbpSq/zaqFQDhq04tRWuM78MjmU4wF5JfLb+JDDHc0PdBVIIQy
PuyRiO2W52TFaqxalGKjSdgI7KegKfHT6/Ha2OkK1o53SkxDiScUkUM0qCa/B3gw9JQ57TYkVQrK
cdoUZPhHt42jtnjIOqGtHEk+UIfLi6R6T/3eMUnGLJtacj4M3p5G0/OoJz8G0lW/RyNDn+tkqv/F
MiagvNZgjr8C3ARfu0kGeEQrN8FOjnpe3wQKbXub1EpLJLFKnwUHuRN0QPQt4MQDHEoieefjCNnQ
DbLn/mCXBLpANQxhJuk8OEi22OIPRAHJllAv7h2tmPSVcPU0kW7hikOudkbM0eO7bCrTrSa38O6j
P7/L9EMXK9RdtFLf4TrXkW9JbQ8gYLdtSRThYUnu0qGNlv47is0r02L+AhdPnH5t0tNYjxBbLpu4
GjZR/HPZdMI2+2ZTDHVVo96HqnQdRIGyV7thh1blYI3wMEucy902XVu5Plbv02swURcZuk7ycNH3
5rN8FrU1X4Na9/d9gGIQMLKKDV+g43pcB5myQT5CEGHJFJwCEDG9rOCQgurhcZaXeHWYT4c+962r
OgjlO0enDum3cnhb9Ua7i3K/BKozDPu01DA78UntUVCTaeNP0q2JefqOrzvYZrgsbsiyljs7h4dQ
yA248sJWb+yqal4vP/jTRUpFEgm6iEMvEn95cWKJYwCVtYOXuVQ7/sskD922KVprB1u2fPr7oXiw
c18hokQUMsebJySbpGoiuulavafgnJrDTjT0gSNhL64uD/Whljp+lRzAkD/yCWOEwNs8HquxpDEo
y5i9NJ/g4pb9SMxGC0tKHsJTkhAabOHk5NvBLbkd5xyPBu4Bcx7SOr0yA8OkYXRlq5RjNm7zuyzS
9jAVKS3kfVF+UTW0/pHN67QDRX/MwkzCXLpWHgOMfEFnR+JKL7tgNyRZix9sm8sHzRzLQ46byG05
FmJNP3Ii66LwAjlV49GiRqbwcXy/yihGrEPJsifWaL7LeFDmHvQl6THx0ZPs2Ks7aZ8OdUvHMUm0
6IoDMtjKgPowCKkhCN4ITEp9wzNVrgasbENXyQ1DeEOvy1dCsekyKHsrzACQpMar2gjt1+VXdrJF
cwf4AbGH8fmREVls0YSE1TRbklJm66J7pfWHB9Fa/cGZ1AStpUOSZIrWlp2zg5I75QOY+0uWQGJ8
OJpIx1gJXWnfPHKMy8EJAhGD/Wd+nTA1fdEbW6zIc0/14twqcS6SN3qswIgu8hpRAfeQPB9Nh1pS
XGF/oFyJipjeRbHiXGMNX2wmfuGAIcEhHGeeTS+HAC5apaJ5IZbWUv4naQsuiNlBQgnRP0HSYhHQ
dACUfQrf04gYq6TUv59Foysf5ZkgRQX4Pt82O82pt5QRRCJ3dCgcA2D/Z5CiWezKfoy3b0y963oM
eyQL2VCP3S4sphAObRf2qHfacvhMQFHnW3g3bbiVWoFAZgrs0XdJJwJD5TSKoiIMBQmXy9Py3Mua
OwmwWZzDKlVfzEtyDUlC5RKN+FjZt3WUBZ9HtcTEHLTFoXFqw/OTTL8vAKs9jjqiSTgyw61ZdfUO
1NT47fLlnFmuSfuQ9idJ+WF/dPydt1PU94Dcso0StfE3M84Agwem/x23XEKqy2OdJmbJYLEb8qao
n1EFmCP9P8qWIygBvg0WlcDxh20Ymdf01u3IVvcwK+qc3HD0jWkJ2smGIJGl+5Xx50VrsYirJlJ5
nWVt9uFbPHotTZCHAp/ZlCO+9LFRhlsdCg3Sb3ZFMcX9l5Hi9gMOMO1WqYW+n6K8ApKVqS91b4wr
QeGZj4SzAwoMfuEzWWZYpKorlVwLcw4oqHICUzKuDOjqax/J/FCXNz3nbxQiEESkSwS2pU+hGnYO
tWKOvBge2fWTOqrVV8UJKD4qUpNZO7mRwLuQOrCgG8p16NZakvLXdDazJJeDmIRylpbby+/jzANg
38Z0x6ZGTAy/eB1ha8voaHkdgUFysQG+emMmpXG4PMqZGc4YPF8ABKiDl93C9OeMlh5h4jPakJ+m
LsIKL40RYwNFWPm2z90Qoh1OZjq+AaiDj+e3XThUiB2WPXwSnBtO4MhabZrrni/f0blhbDoxHFIb
NFMunxv+E1DbGvqRigmdrF3rzg1kmjWvrTPPjeQniXImzSyVXZyrirBQ7SYixRkrQQ4BTq63mqRn
WLdak7LyKZwqftATcsJnr2AghB6LSLkyAP6E1M9RO/UcDyRoq1ml5A95BsY0LZTqSZu0ybPzwrpT
NbwUkyKXNn6gOw9UFCWvlTvC4cppPg0Iv9YyEGceBQp3LpAqNqW75XamCDQL9GnlsEArv3WpWcnv
6hSYP2eFhn03+sSMh5jW5XsRazpG8mnePfGTqG9aTDgfgJOc1a5tDZBTNJUdy60QIK9pVc7MCxqV
Z0U62osZKn48/YogImeI7HBDzqI6tCq9+JO2trWfZsYpMJGjZf3WSdnzo45HwcvFQSLaVth0VaD9
uwEwrphaT8UhEFVtFHkWKK/7uKjD+wJWburBOA+/gcr9MimS5pnksNfWuPnDWqxxmEtqM5jAJJBY
GvzkXVGhZtXhJhVW/0no2Ky7cpn8huE87fR+bK8QEW2lOHvHHKHb6oMj9j1poZUF7bTVnd4DTr/z
LEE7enLMx95dQhMqk17s6eykmPTb6ctiD64q3VLeih8rssNPeTA1UHlhk8bdOKKJ798SW/2k9jB6
7KrTf1dyCWMEbczWLIvpMDQhqBRhWSv74fymjp8abd8oiEjz8z8+8eM3CerWMUTOS5QkZLBNXdh3
8FSdm1Qb8EGit2wvpb29UvA5Myjgfb502ibwWFn6ok8i72qjhbxU+xOLPhisO2g8zb4cinFT+lLu
FVQIN5dXzNNkMKa8TBDsbfh8aXldRMhdaCaq3tblZqiy+lvIJHouEMl9tUWv30N7BIsGAc75YZoh
gFmyLaqywZl+HOhO9tNXM2zCnzWEl3tUBOqsObPGb62am19WrvPM05nVKahu0OsQJM1//keEVCKD
KGNDlBu9Q/vMQo+tX6ro01dbrYKMPUvNfgo9Hh8VKRi+jIDo5tZzPbM9XzTGNkKqr14VRZbF24ro
9bry4+QdImMG3ygeADtfvt75sS1mELMdRQ+hIw5iy8u1irEUfc7lRqlWebFMQ3RKO9dOCjPtc5/X
2neriaBJhyjRLo98uiTD4zAVBSUPUYJsLR5USgvZ3BQ51xTknhAyCO+DhixHi6p2ZVc/NxQol7kQ
xkGYZr3jdwLdm7ygRhano819C0jRcYUdd+4I33blrs68fjYZECtEqbNSZFGzCDE6DCSZmoVVgAdF
vF7YPydNDa4lRx4hAUPCRguuVfKaK8aZe+SzmDvgCFzIoS4eJ0ivFOChDLhFqcptUHeOl+t54jp6
F6zEY6fiQAsRGGIUZHQIOwmVjp+nnccofIB3bzBCze2NQJH9nleYO8+epxBuk0HjAK3Sn+jsBss3
+q3F2jRdidSEqC9JgDBdIjpsZ+kokuDbZlQpzcwOgw1UvEo9BMOUg9sO2nLrBGrpexL81O/CjPPK
7ZDWO7gkEH2vrDFn3h2l4rlve/ZaY74c35YoHVQUmS82yWCEr0Sk7c3cgHprYEb4hLpE9rIpjj9d
/gxOt3zCJbS+HPo506CVPR7UDsjs4dcCwqUs/K0gI+pqcS//fXjGMFQEkBTTBAZy6HiYQWl7Wusc
urajUaWFYTQ/mcNEdzrNKlQjKdIegGvSZaiL8lrIRsmEjbESnpPAECVBFBFauWNU+3ulV0lBX34K
82dxvAzpSKpIVCF7mXkGiy/UTnWOL0KmtQd/g+9mGtKQAJrIG024rm6TmuH+8oBn4lUIRPJMkONM
xBtfJDgkHDhGXA6qjRracgcZ2nQ8PB0MB2SPMjmbOOxpMAhxl5VdPdCsXau05QRLr0xTCKO+Fbh5
nVrfQzlLHiK/bgFWtulKKvZMqMY0m4XgYB5mjsDiubDsB10jYauaFaW2hTJn7lQZbUUMceQ70XIY
01pb2Vg+6+W1kQ79rqqxYAQyHzwhdDVvKE2vieA+ttrFy5rfFG+JSI/j72KpyaRcgT+sAu7B3EfQ
P2lbvxIRxt9CQ0zvRUJBeOeQovG3iaAJZdsVbftM4iordr5v46CQUkqBHgG38otUNdobkvda9+x6
UuTNMKElVihA/Fp54acRJnEleQPmGX5tSBWOv4C+ROQmV7IEMKXDbaSrU4pMozEc1HJMtsh9ddoa
w2GnVGZ/XzpWY3idLLQ3kMjm7vK1nK7V87qJnuwjQqBAd3wpAiQvMTgwyjoQP2jyVW6cVvvVD2Wz
klc8XVwYaEZekDw16E6f//yPYEQKrSjDNpSBqt7fKEoSU/WlbnH5ds6NgsKJWQqZZ66BH49Sq34c
lg2HoaQOmRRdbm+HAv7z5VFOHxouQxQL6Dtk7rGTH4+idgVMCFNJNlFYVJtZMLmDhBlc16rxdnmk
0/uhPmBqLA6zbTlR0fFIJefmGT2PNWyS5zeObpDTxwlhe3mUMysQgmqdPOIcBRHWLlb+BjsqTSl9
+nH7xLmLxNC/BwhFvKoG29QzNb8EaRO79OTimtxO3SZV2s6Dvlpugryi4gld5yYNIrjwSWut7PGn
TxtRl0IkC8ME4suyCERdQfH9NKX5VC/f/CRVAWDW2lNsJ833ledw+mHCwJjpdxT60C4vP0wN+g9L
SCK5oAkbPr9JSdxYUetrxJ/xto8H3Okl9rQNaljV882wfmmR6bwSOqt/TVmg0kfzOaITBU4eurHj
Vx/nHAx7CkVsdxE+d/I0HEw1SNZOu6e1GaJDh2M40v7ZT3kxlwOpHdEbAWLM1Sr57BAEuJFNfQb0
MiIWXY7JUIDMT5qufdM4XXpgMLqfl5/76RtGGU3zDZUw6toQfo5vlTZm+h3Zsuh3MKNdOHJYJLnR
wugv157qmW2Me+RExE5G2wWDHo+Fgx9rboaHoR0W2AEZRTpn66O0UW66wsiB9YaG8TstJity5yDm
bhzZnje+rCOe0nGmxa9L7iiHTLUdWyth37mr4zHMUfOHUn/50vNR83ulzjKyLi3hVweRca/S+/vS
oLZ8AeteXcdyJ0ebQKN7yU6jYA+n+8nObVpIRg4Sh0ADWrByWaerEBpgNPYUGAiJ+DKOnxnGE2ko
NUmG/Uqbom3Ts4MJjvtvtyI01siaUbLz6zwhjkdRhriRKW/lG+pS0k+RRsUNpfSJcr8hryThTm6I
oeaeyHkRJ2W+vCH4V7rIbQQpTo8lXxdrwZ5T+19ncClOoIM1Z4wExMcl6in3JawKe2DudCiIKxRX
sLsr2/Iufzzzx3EUAhGvz2QXJg1f8EniO0qtafBh325SOx8+l0mkfdZgkr1aWi0f0EGbbmDK1dUA
nh3G5VT8/VvTNRMdHmvHx2nz+K1FfucUuckZC7HKnGx18r2wWwxiCoycLt/pyaEIMQgnWV7bbI1J
5HQ8FBmDLJRqOByqWgCuytxcVbCoug6JlLVmjYiKMOn0yXL4ojGR/wiRlmIgu2eRt0s8QTib4xvR
t0D3NmTTZCQoudo7GyMZ8JAYMi14MNsME7sRdfePtCJD5tqFpr9FAaLAfWgE/Y+p0cYbasjtvlRB
vW4yxVTRzmc5W0wgjJHmf+rfExIdZ2pYjFNEnVOgtE9IH8yGDpJSNp6xlGh1l+YDhFrkRXHfCpWx
egl9tTE2etADnfCbHtKdVfVjdq1bKjrNnAVvQzc2NDY5kDBibvpOoY+50ZPIC81Cva8lx49hgXT1
TQsvCQR+HtrvWTh2V6YYUgmzo3gCho+ulGbpzqzuZ65TDNWwx3DRqVot3FDJl37EVtTfOCGOODTC
RxrzIQiwzG57S/peQEn8Eli+ShG7Gr+2Vq29BXEhfRdyZOQgfYywcFs1sRzW3Va6xyFXwl9d7wXE
QCKS8rabaTee6BoIn8QzIPkSeQLjg9Yllg6THEb7QQfAs88CM5zcUhUwIO1C0OyPh5zsSbXqfM/w
G+AGaRb7KjC91V25lTGzkka6uB6aUGdRUOAkIsbLBmyR2nQ0zW1rlHhNpfEExxlyLa9pwCk93lFN
Fd+6rMhUoOf1BKariYeXJi1V3bOACnzGhyHLvdZpMCxBfVtZboEWvfRoeqHkYCgj8KKatm3h9qNo
XyfsDV+goVNdjkXZ5LuUWRIgBBRDsXXwUCyuJwG6CEpvnlEPaOHL4lFAct3rIG93LrPMNDy4ylSn
cBHC5WrIBWA5Do/q4Jlzu5qXWFP6Fk/1wEcE1151g8FWvmkKkhM3cAxchpBQta+tk00ybMGOqI7U
b2JjZNYXb8gj2uHZkdvyNdENHU0fMihmCKe+WxL0srJplBpVdUTAEqKI0rpHuQG5uMlDq5qb5W1A
HNkYitnyPAEiwfcUuoHfW58hfMTFRgsd+15MVXer8TT5cVYwm8ppnT5tJ3oc8cQtpx4peTqbFDAR
rVlrl2BoVhRYa5CXZcm7vPCcLrFsTIoyR+Fz6m65M+mIAKY2JdhVShpiNtRxw52DTPC2jCL90zQY
4+c+FYBKcBt0MzIrKxHwqSxx5i7N7WVkg5T5eHO88tWgnhzRka7LIFrQzubkHt9tdijN3kaHMZme
msTdHtivttFsXMNoXiZ5YyPNUpCouMTx0ZYlqnu6/GDO7KOkQDX6H//NC18EBgiZJqr0Oth1WdgP
RZ4Oz3UtOyuP/zQq4vY5A5A2mhtLcC89vn0SMWomh3G2kXpKH/2083UHU2T5xQiMnZUbr2iJbmN7
ggqJ6euoI8soA/mhyrqV3NVJoIq2mtZxpOAozxWC5uMLUVRhN71KF5Ovjf5PB1MILy+m+qY08Tf6
20fLp0B9AVcBAnTyQsdD9XrZp8Sfs3OBsPZCS/3forb+2rqA8t5cXCKHSoMKs+t4FN0ZDaumooRz
ZpPsej3QX6KoDlbO/mceG9KameFmkeKimrgYxRw44wryM5XfJXh1VNMOe7OZemqtnOBOJyQirbly
h5LnjB6m0qiQWxhzbwybjyKJrHHnCyS5l9/NqeyGN4ItJsVB6IKz3P74hlqjDus4wr/dgUGCW1JO
3mYzyclkb1s/94VblENbAmbBl8CV4rH/UmpmX2wGo49n0HzZHlqtTbuVD+XM3fOVoAcko8M6tayg
1GGZ6lXXgxipcnNLU6K9TRTIPyt3fxoXsesQFZEdJUl6MmlUioeRWszmT32EpcEQJs9wZWi1b0S5
o5Br3JMsdD4pg4YNd27QIqdKTYj3hDAeLSWNP/NscE8jX++8aKljuiTa+79/FCbnWQVlDjwSwv3j
N+RPQ1zFCcUkJ8DqRJYbonCHbpnLj+LMA+enf6RuiUs5JB2PkqhljTknmVsrVbCUc9r+Xk5TZWW6
nfl8kBjhqsR/c/J18ZEabWJ2fayI2fCmgo6D1s7IovIq9fV87d2eZEDmHv355SKcQOh44gPgFwX7
eclpwurkxxDnmNd4csbPbWSEVyqe7o9tqySfAj+IsLBQzS96lxgvZcdp+fKj/TjqHp9ruBKyXugC
ZveW5RsMBdRvP0KPZ8IWi65Hf5K/hknb/OQsEqH6ome+dvuyz+0bqGDaq9KXcXjdmdGYbjK70Z99
KjWflaTAADBPWtlN1aI9jI01hNsUWucvgKxoSlWSvDepM4p6N029/JY0PbaoxK1k1WORZb9tv69U
rwgKEoqRPpmfL9/n6cul0IK4kUqDMrdxL6ZQE5uDUBAbbkDNxh5buw63OFa/KnSMrAx1en6iLx0W
Kocn1EsQSI5nq0EKmZaWhqE0LVKvK1mdbFfEhX5vaxTOriz+D214b5RrniJnRqbThMIqWR7yB0sB
sFmVI3ggzIUGtW9e8xj4NeYa9U6zSu27GibDTvfL5PXykz1dpkif4ejAe2S9kj9Kh39knMFh18wg
gKj2VCMc9XvD+ALRy7ir/WgilEjWmpFPMXkzahb+JwkMqp681uMHnHDmkVOdTookUcrnzJ4wSVbo
89R2ZWC32mEMtKDCp02TnkLVoWXQTkT6bDl5iyVZk4aPUe9z2imEBNVLQUf6nID19jTMRGvEBpBk
D1R+yl9FnVdPIbsLZUAjjL7h2OSA/cSN67Gm/Rmfx5xCEnZYUutqrRSnWxEUSXI7+IkpudhBlvRu
taKiJcyWMsUzdcQ0Hscw/bdkjXV+FeMHrbtEuzBkywqj0mhKxq+VVFnhLG3026shIExwcw7r7d+u
dmgq+OznxMnsDrUM9ioDU1IMDPEmm+r6lkR/S7sCBso6nQre5RlyojggZWHPalVeGvwBZ17e/5gh
Aa1Wthx1LTltK71LVBrDZkZXdYU3SXnFiTughcJS7/0igQ54eeyTrYOxWc2JHsj3UbdezBX6vaSA
jkrwKXSEXaNAoAdPdbR/nxz+76/h/wXvxeO/18v6X//F738VGNdEQdgsfvuvB/GePzfV+3tz90P8
1/xP//9fPf6H/7qLfuEfWvxuln/r6B/x8/8zvvej+XH0G5IGUTN+at+r8em9btPmYwCudP6b/9M/
/D/vHz/lZRTv//wH5jJ5M/+0AJeef/znjw5v//wH4ccfD3z++f/5w/sfGf/ukL9FP07+/vuPuvnn
f3P2bV1y2tq6f2WNvLMGSCDgYb9QRdHdbrdv7djOCyN2bC5CIARCwK8/X/mcnbiUlOtEr/FaapXQ
nJLm/C6/pPF/kQIBUQBkCPqjqHz/8h/z9fwvLPnvGZxxZh2dScRAg//ynx4Fgfp/fqHxf5G/UDBG
jwRCVXgF/PKfadDnf2L/BQQJujhn/BoeQmd+w//+7osv9NcX+0+vxeuh6efpf3653BgeCb5XJJEn
LzfjVKKWxJuU3YGpk0avpuVf1Tz/Gtfa5JDxXhjcBuJ8juquRjV/2z7UhK032KfXpm3t4zb2+Gbg
oZTXeMmrt4btPmz/VvDtf/h8/2+ZflyWy2z+1/TJ5bKgCMETOHOyHD4n0/5GBiL1s5qCTpiBXiNI
FtJxLk8//2PXfox1a5zw7VtT4e68ToAIZKi8VioDQCG58Uy5PA//+jFWny2GSiE4rRsKSoEMXwaB
CcU744ND/Ag8cb8WQMMydKMBhHrr9INsaIFMfDDCz39w6dJ4fRgASNMHFBrrWy3E893hr9van78o
sbBwCfi8/qxpBL/yKTYPDA0McpB8IvVjBHEB8jJARxAUiGnswajF6RiMJ7+Hw++/62P9NQHrbSlj
MfFo2uD8U1UQXUXCL1BD+SY5HeHlOVZmQVNyi73HwVQBzzUZYFWXeVVCxI3y9JVNYzPSoSAqli4y
WAL0NA5UDd/iyDQ3ft+1wa2sgMs4Sjwb0HhwIo0/+sM2ZOUC41e37XH+qz8cgF3SNmyiKso5bZqv
Ps6Gxx7C17eO9GuTt3LD4BmgD9FOy7s5Xs4X9BDWAnvslnlshDKYSa2UZIxACYRZZe6v3qKODLqB
/6799dfWsrIBWasAZuQtssEQ6vaAQvAK0d0RoXT8+fJfyW021QoG8+AU6SouBIqL5dtYiFH/Ssc9
9R9mr07jN1sF2eL/eyW4uBH8mEivfQwr95y9UXswvL2iH7aYvZ6aqZ5/FfPs3UjUV8a3ce1TgkI6
aHpJsQ+QZ96qEH7R6CXgcfzzxTrv+H/INLGVaVIoIXeabGUBevUuTkYFcsk7swXNcWzq8BbK99qf
sfIJEPdlYiBJW8yzJvNdDxFEP4f9DyQOZIO3oVtc24IS47CMJV1FUkjC92eutvpVj8ffs9taWVkD
pOkkMLjjFATtnLybVEwfq3ADN5RHCV9vfJFrX/z833/IHnVSSZ7EMikUhFbuPbQLXsHvHlbLP/8R
14a3s0fZbD4WhxUQTiJr5rdr+Intg8zdhrcuFnqJh/NLjhVLhy8wd5XIQ8ii3YITXpu9lTxgbd9v
3dYmRTgtcIXttmQF9snfmt1xeax45qkXjemK1YcI19jfyyDqTa7aeDevnRbIFqiMyUanwFtZkU51
82sMafHXQGWMtywJriwQswIt3hSUJkEnQG07nJu7eadA19RcmFuktWt/4Jx1f9ieQJeObCbqbAZX
yfB+EgS6660O1a2z+Zx5/iEj2f39rYLcs4CiQjGWmwRiHdDM+LXw9oU9VHMpeL5W0Br92ImE/gad
RdPfyOQWBfLPg4mdf/EPv6xbqzIeYL5WDF3SyQc0xUuItOwcEmQ5GhRtCHWtGc1K4NOYFBAl26sY
j3xDh3eLPzPtlsOYFaBbySBuz70STuPQLaHoPhVJ3N0C51syEH/9SitAo2Vem5GMaUH9XQ35Dunx
OY/Kfe/uJJh52ytIYg3fpBcacRfuCdy0VtTs+5doQiTtRxi+QhHDLRKsWAbIPJIDTOALGZcTPbA9
/SpXdKTd8iizIrlT6OJuaxsXypOmqOYghDQTTao/nGZvl/1Ay2ZJi35gUck1+RThdHuafO8WXelK
lEXWsQx4RN/CCzwtog4vmYMGHnfPNPxqpxu77EqU/a2p0YxbRFaVFPNmSnKfhEr5n1EzRcSBiwry
Qt9oKTKyM1l9kWKfiNtniaz8QU3fYRMpVkAKGDKHciQT/Id06DlmcLv0u4c7H+ExDxH9MQpytsFo
GE7q3tHts1tJgpWpD3LEuhcTbDCLHdzYjCnZ3shB1z67Ffsoa9Xeiqtq0RIU48kctMdyG4jb2RxZ
oY9Xz5BAYX8vCN6NmV8HH/oqvHWRvDZ1K5qhUQmDgq7aiyre5pca1UYcz2MdtI77xgrnutXQn4DF
b+GhC3YPbRh+hBFnWDh9VtspjsolkjPH6HNJQmg0xFCBEbAOchvdimbAmvZkifFZYc0BsSuql4xB
Stotj4bWkd/6nvKhArgXYwC39SmF9vAShfvp53O/cnO3peT7Mqp31LFNYbzoK56dfDmFM5d9MRvI
av78b1zZO7bpLF3ipW95aQqKwH2bzkAFB+HA3Z7jf9OF6XEVMrCTKwaQuu7Bo9bHFs6gjnO3QjaY
oTsJL1xdVFMXvoAhWvwS4C7HqVsRi4O6RNODgno5tGVwUBGBxFq98lsl+2sLbwVtVFYT93aUeWTf
rA98ruZHDVS4Y1BZIYv6qLcEup1PSldmekeNn3SvIpXAG8Rp39Bz+eyHGxsPGvi1LAQaPpXeD1xG
n7Z0u9W8vbI2tv9g1Hpw2E3KJR+7OsgoRKGyMU1v+VpcG90KWjhFh2BVJAtW3vukCO53fbqWR7d1
sc5YDpyX500Ajn6fekhGkkULc5269QymUVLqpA6WPDUoGpPz6JP7wpwX7Mdv6i+y7CaMDpPgGlxR
rjNggVvHHWNFaw3O4wB2AEYPydexCbsTpMYcK1t/U4qE/kbSVBg83bUA9DlVeHmx1e1uYJsFrjON
yw7i/3k0Qx9vDRaSBbL8d3aLfz4LqBWrAsCAfqC+zvsFltimbr7qFvx4p/1oA7ymXc1gXhmdC16H
GfwbPnnLdMvF+EokEetwRS9a0Q1AepipAJI5rc3vE1RFHWduhek4pWuLm7DOW5bC2attukwDiOw4
uhWnMW3RrfRSTD3VwcsJ7ZHXoB12bi0qG0616pD06AXrYg/Qn8z2HjDAozd7yS0d12srb4UqGddU
aFktBTSQwNv1qIwKacj8xW3XWLEaNCWB3rvAyQplxAeI6EJrj7f/DhH454b/7h38Q57RqpS02iJd
zCn9LWjJmymkb9wmbp2qELNqxbZ5c9HU3hPS46eNxI7lO2LFadqA7xf08Vy0pk6Ouo6eB14OB6eJ
/02jg0+eShOt4XcGJ+GujR9jMvpum93Wd0Bb2MhpTbwceNY/mi34QCJxAxF5ZSPa4IakMRVQy95W
YNhpznYy1SzbJnqLF39tfCtOlyrSNQ/VXABK5n8MZ+SBbAKv+sYV+9rw1oGqx474XTnoAij6/Tis
8ee6AZDb7ZtaQQqByzFeGqWLaIMoPZQfMHV+q/N6beZWiKY9CxvpiblAtz99mUxV8LLzSvnBberk
8ioAhtasZtVgO9ZlDYEe8zFOGrfT9Ht57Ifw38MhbUsA3woVLTC9TdZP3Zi8dpu3FaOhCWFVRjG2
107Pod5eRuG/cw7+M2vZrM3BlGU102rO/dLzDl5bPja771gfsBVwgwAqxbtHvBxs0Vdiiz8lCqg/
pzWxrXK8Gvd0BSPSoqv7N4D9QUC1ditr+FZ0htJssKgIvHzYlztlyIswcjtBbUay3KKZDRJvOyaq
x2RYi16Vbm1W3wpLMCPXGphPL5fi/Q6sVBv/6rbQVkh2aavkzvERw5p/Vmv6BpBttzzlW/GoYdoF
5h2bCyiBBc/7NpOi1fSWhdeVXGIjU2lfrn3bQGZo8gAlID2/S8v0o9uiWBHJu2aCXLfv5VGD263n
s9+BCHY72MD2vUxT2Njj2Pk4kqGWuEIAJvSOaQofBJepgwZ8OXoyLfEcRouXj+ydGo4w9nM6GICW
uxy4ruoxHOttLnQCMIehkwQ0kT27zdqKSYP+O3yDyykPanlnOvT2R9rOR7fBrfNSaXDLvA6DJ130
mmr5pQk35bgqVlwCvg0R5CSdcgUfAnjNfln14jq2FZqBaaBGuwYoGxPqP+qkah/GcGWOq2JFZz2F
S4f7LDZKtENE0W/fQ1TF6YIFAsDlXllTHULCAJG/UkikHfywhAMFwQ2ocUotoGpf/gFpRFiiVzMX
VSh/98zyAc2H9067xQZrLZT6igGvm8OhJILpIG9A4SK35BTO++Lv3UoUhC4nruolRj16xcTX9TVs
RB7WBa7DbjO3IrQVAJ3HNZ2KBCaGHQCHOUREiduK2/gqDScklmp4G0Pm+k3oQXtU1Td4XdfWxI7P
yOuByRawGweR+2BEoA5B2H5zWxQrQDd0FKZEzBMABuxTNa0PTRy9cxvais9VzSVE/jxVbEFnIGkZ
g3cDaqDTNSW0gVVDZPp0AXynQAtpP/b78AQuuVvbHyy6y22oJZk4HNhVMQD+As94rbwX3uJvb91W
xgpP41FkRYjzQZN/+wOC92/WKfnsNLQNcJpx8NSSDVPBWfV2lfLeF8JtH9rYpqVMOGvB3SogtVHn
i6kIDH36L27ztoKz2cNyUvAvL9IazIRwexLJrWvnOU7+IafYKCbjoR68wP+sqMUS6UzFrH05gjKe
Gdjd3zIWuxKkthFxxPu150Okiq6hv3V1+MGT/NltaawQXYF47FhcKsT/Mt0tkwqyYAndWnVgKlxu
9YrUUaMoBACAev0gFq/PQk/+6jZz+wxdR8lBnJ6KiDQhHLephoJAn3Q1P7r9AStOw7oCZSXpsCVX
700D0epmdHuLh7aTRddEIx7MGLrc0jez37wqKXNqQ0EZ7HLJO4iui3HZVEFLQQovIfOboDKNE9IX
ypqXoxNQ4qKlwU4s/X3LNjUW8KV3A4xBy+xycLGWZ+OqWhX9Iv3MX+LTaGDx4fQ1v0td/FBEmBU8
dsIUS470CH1n8qKLVrcYslFQcAvodDtWqojLClar+/YiVXAidZu3FaApdom/Eq6KYFheQ6LqUfmz
47yt6FQNuhPMwO55YsmHJlBvOj46PeIgyH75Kcs1FBzeO6pgWJksBQg9GzeRHNzWxIrMmbaj18Kd
C30buNoqwt9AdcXtCmpDkXwf76w+8seiaij8DwwKFbn2Pea2MDYUqW1ToNLaDXGTgvGYaMbedhCK
cPuiNhRpaSNWAms3FnuqyCGYwiecpG7d879xq7XXJ5CXGLBdBpDPOXLtBo25LEkX7lTDQYf/ctcA
nuvDwKjH2lcwljj0KJ4VZRmObn2EvzFNN651oqApWiTexCFAa6T4ptPYOD4aIytWAwF6Kyy5ZaHq
bTpCg6U9q/BFbq8AW7IpjtcVnEYog0HHmBx8Blw51NUd86MNOIKqZ4AqfC+LCb6HcxbA1uV3vq19
5ZbHbD3XtVFMmRVrM9TtkDWzeL92gduZZxsDg9ZshBdrrHufyLtt8qcTRKfqO6dsY+ONFrrAfb4z
smjLaP/gD2V1F8YJbLbdhreOVIo8GZGz4FsK+6npFGsos2ZRObDR8Q9YxyqacVD3lwtWnoLNqlTy
HioJbrV5eGJchmzMBQHGWMkiDud3TTW9MXx+57Yw1tO0KjdDu64ai7hPf+sHE2R1CONOt8GtUB1R
Mk88LWRBVZv8Bk+89U7DR8Zxy1gn6+zDnWqn0VAgUqGrDOjL2ag7dnud2prvaoNOK1yehiJaNtgG
BvKB97dQTN+voP/woLElxsZmBbwuIUOxMA7zRXSLWySbuIGdcSVSqC8KuZl3WkzdPZ0oTIPnuh6j
Z1Dc4vE1xIMm9Q5msOyOoy853MH7MmRZ3DUoxlfrmPgm28N2VO8NxLL0wYfREP99qGv4bzJcLAms
NFFrz2OpVw2ldlTJDgxd6vUeehlJWxBIF0ACeWjNdgh8VBM+ekD2bqeAtlN8pDCChUhZ18CloBrT
egLbjuz6BD2idT/CQo/2v63QgSlfzyHz2s9TAJ5/kewkXQq14vce5bxHOeQFo+TQxwTypmyLK31X
BUOVPrKziALUz3byDrL4JlsIU/eymdRe+EOabCcjuiU8LiqsonyJTYgSdlcvcBvspBhwn02hVpao
hsaZGBoVvIARXZvedzSYYY2D1TYHGNYs9/vuiSfVLz58Xf0FXqFtqcr9XQdpqNjtFhJaNQKxhppx
TYeCQXIMVR8Puvw0dQstG+lFw3LDRbKTRc3E1zLk78q4cZu3jfNa0IlZO4J5R7osprR7KKNbSlPn
wP+HfW/7s0QLkCkBKkgFLEHWDMoZUGvvglvC8NdGt9Kk8ivKOJp2RUXaNlv5+I216tkplVErT7ag
ty597A+F3rR8AkGruYOB6i2v7GszP//3H95NNYMDNJSup6JSPHwMcX8F8l/Pn9zmbiVK+LsuyyKX
oeBJpX9VybijmN8ns+NWJJeTH/tmBk0kHeDOqb0sIu1jvVdu5K/QBnn5CGFoZMmhgF9gKWADadoC
lvKN4yvHhnkFfRPsHsWOZJWI1pxM0B3OYi/i49Fp8W2o1yxGU3r1PBRoVH0zMnyIPCi8uY1t3Wqk
NvDj2uKhqP0UOLJ5itfuQNOWfHMb37rULJAjpIsmEladKTRcYiiyo8cOTX83LEb43YL2h31vZN8F
MODABQHyFRmcDtu8aRrHC4KN95KxKdu9whGOHo06AFHGDtIzt6R+r8QssWLW+KBKR00Pp5yh6x4Y
XaIZ5g6KueH7Q1tXBhLAFYBMA9IwZEMe6p76v+FN++8M3f4XNxHaaK94FTCQnXBfRSlrvS/DUhex
P98Sjb22NlbtgNBOp835dGphFXiYzFhleoaSqtu2tA7WQAWrXvFOLrytp19roM2/7kILN+Qn1Ncv
81lEaN/WEPUqINa6ePc87YODXxoT3egdXuHVQaT+8g+AblqWDDK6xd4FVD1L3kDvs4x7Io8QYvae
QTh78ry0a4+4xfEUimJ4jJ5qL4oGt0aAjQ8DT5f5usX902wjREA90UKAQtS97Nye0d+9jX4IbBg3
wsZ8PGemcg7KF6KpwDvbxm323VKfbROx+1qB8Ur6Aia7UJJdTWvCrOXh4njB+q6V+eMvmHaheoI/
sGkC2PKuPwC9/8VpA9uiPN0strMWPiSMVQ/FpYp+22eIC7sNbh3H1QhBqonHosDd9tQR/kDI5FYC
sDFiwvP8ykBBpJjDZTpwL0Srwexv3eZtRfVcd6oKzNIXpYa9h65JlYmocTwqbZyYiaH70+OLFo1a
vc+iNfSL8nDcOM3dBopNbQiJ3z4QBe5aT/Gyv+jG6oaWy5VUauPEqhV9RgYZ32JaSf0QdArO281w
yzjx2ujWldlw1iQLp6KgPBmgRAetuoc61n3tFqY2YCxM14Gy3hdFHPXtYUyTOx4Gm9tOtyFjSvZV
VaZNX6RhbR4nJcJDPLfLm59/0/PN/h/eKrbKWmr4tpgA53u3hyOu/P5UpXnnB8MAiVs69E53LDg2
Xh4GUP+AjuisumJX8Wc81F+KuP7w81/wzx+X2rpj4eKjNQg6FhiCQ9lm46SXr4aObp0kuJRezrzB
Xbmvy74rUpmUqO5Myb1gkXYKKWpr+Q2k1euuMPmyqvHGhyZuBkkJt3RAbfxOymCGF8FZoYCDcbAd
+wbN30Pb93A2cFn70IYGJhsroVFbDYWv6SwzfIf2nDH9dDi6/QHriiW8ZhqXtEHKicg7Pftvq6B0
WvrQtzIxNEPmxFeYO4qmUPlW6NDsOuidohZyo5fbpkeO8TjAnnkQq/LtsnnyXV9HbiQ1iKVdjt41
faB9MnXnozV5IwWNChjCJk6LDr+Fy9ElikZ+Kc5bvkaxaRiTN15YNY4LY+Vivc39premA/ADylwH
cErHT3uXwgLdZcdA9eJy8skC1UfcbLsiqNl2TCrffz2Az/fWaXQbVbaxBhUuM3owoqzWAfYhgf9E
IIOpbwTU90rL3/MxLK0up392FV4Z08hmTEfi1RgEvb5r+ALbUTzENDlBS49NxxGeYMOjt+FV8Cjj
dhSfSEDDk2Zkv49D6O9n6V5qqCtsHuevRB+tMEkYx605wI+x3D8P5dboUy9x5h501K5fqAjDF4ts
54etqZcTLbXBENDAqDNfQKn1uQ7Ab3nDzzoVz32TSIh1azhY41+VOdQ+kJ9Pray9/Yj/9dS8pKQc
FqeLJIS1L9cEuMaRnAnJeVUG7dOS8vSRNKRyO2CpDYkbPB4NqI7ygqz+V0bGN2lQvXbbLtaxh7fm
JjxmeEF34Gw7Et6TYbolpHGOmH/aKucD8Ye7u9YenNamlRejhFbHvZr2zhzTDaiHI7wr0uoecttd
/cntl1jHYDDChDlcIl540mN5yE132mVXvXcbnVz+lHorNd6IlBfLENZHr9w/zC25tU7nxf6ndbLO
kMCHGxJXmhes0807oKrDV3CkXH9f28C7+/n8r/0JK+n4ZRpXRI48n1bK2bGeRwUjpEWh2H7fGDDa
bjyqr3xyGzUHeEKlF9ZVedXMnJ90tAZAh3ld3og9IQcgut2qStQG0VU1aiel6rBoPfEAdGMfkIgc
71S2HL93FmmO+54XAdpxMzWnmQY3EvSVL2GD6OAZwZMdHNwjr8Z4vk+7KToNSYq+P6uW7t9ZH/1v
XYn+DUWHsVnTxB5kOiAkCK579TEd4VPz89105UZr+9RNWworjE21RRxH8wmY6yQr68DtsUJtIN3S
oBRJdVAXTZiEJ7ls4pikjdM7Di6cl4HsMxl0XdyVx2BpHvySZuHAnBAdsFm4HHqjPkx3Zwy972Fe
puNJNKRwW3ArfDcIoTVTykt4HJAXceTBgsKtigf32ctZA1Z4FsJtyqNszfjQTtNceBF95zRvG0JX
RnG9bNTDZg+qKZcSNu9b2oUnt9GtYxcuNaqEeVhTxM0kXwD1+mGsNjdxWPh5Xa5LxeLKW4huim4j
3QmePv2dP3ZuUFS49FyO7m0r+ilCNUXTtuNR1smjF6spd1sX69xdW3/UEx3S4yzCZj0RYt5Lxblb
URHuwZdzr4d0hvNED5vnZXzi3VC0anA7xG0o3VavayUqXKS6WTewsur9w95FNzLvlazFrPhcgM7f
wfBDEE3LkAE1dpAMisJua25F6A6RnmmZZQPWktgOfQXfpqxUfeoGSIMg9eWip2ID54JHKYhWAyx+
kq5UL4aVN248SGhlXI6vWV/2kOdPj8LA7oq/AQrgxspYtkZ/nkW2pFfIdpiq9lVdBJtHlxd+IyIQ
jCpoeT5DKWkomijdaRaPi4hyhuqaOYwzjxYoZEq2nUad+mO+y6Aiv4s4IktRJrSJnSrw1Fb46dKZ
7jSJpryJV3WKyhmawh5366tRW+GHGkL3js9TTo2ogbKYn0Gp/HeuJH8tq5WgVm8MIBkyn196aq7u
G+onOq8nPvVHpy1tC5b1TTOzJKjj46pqhty6tXBrrCMWULdnkw0hhDMbzGVLqXM91DIXSWiOMg2d
iuTwi7/c0LhtRlRSofPgLFkGlwuQzMPYCRpObQChjJdwKmcMvsDdPOumcMyGjrjBE+G7czn1sNYg
8ute5+RsA0N50Gao7312+6pWoho4/JR8Ws75QmqRJZ4H7tka+m5Hso0frACT9UOPzvkAUFA2cFU9
dTGdf3Wae2glKZgDShqwcc7hOwnLPr5XebNFbgtjy5U1ygQDeshzDnlN8hqGe/wz8/fY7QZnYwf3
qDbjrJcp73vWHSC6DTGbsHQTbKG2j4+GpW4Jfbsp3+IAVvE+h0cRd7yr2BC8iGvm0RFT3wXkWsy8
ffNV7cYlpDYEz9ulGMuO6rwCe+aYmhr+WgRUTrcNY232HTSIsllwsYol+TwJ+k7UxI1eTW3oVy1Q
exxkqPMG5u7ZKuFwVpaA0f185leeiTb6qwv4SDgMS06s7KLlda1FI04bI506hUriFPz5n7lyJ7KR
YOVCyzBo8SMiknjHhURwbly1GxKMUuuIknUZzzPD6FXVN8cEMLBDOmx/uE3dukLzFjEFPKPK5Sq3
QyPG9jiJ0u30oOf1+qF0lcrQn0UUqXzhejmJOoGrIk13t+ODWmfTJvDc2JVR+Vzv3SmY+Ps9aCPH
T0oup77XItwH1HpymcAaWnRrewAk1Q32j67+5eh9vMVznJQy94SnDu0u+4zKzU25CQzoy9HLMOxU
0DKZN/NYH/ZIwLgbyvVuFxobA6aDDSVnVSWntu33592X66+t39+Skr8SSrbeV0mNCTTAynmkAvBR
zqe2JMGtGuG10a23LhxuUK7e0vQUeiidL96XoeufnQLJRn/xgAQl/DPiE3S+yi5bdqAT53qdProN
b8Vp0A102H2VniIpegBw25XVjyzo+sQtVm0EmJwSjauwTGHSGmRtSh463/E6Y4O/IMQ1zhvB0CLE
8XfGQ/RugERqI7/gz9CUdTymJ7ieNxk3QXgI68TceHRd2y5WmLZ+V8+wFw6PUOG665V87TM3NUFq
K33Brh1PJiFCeNKaou29x7Bv3jhtlb9BviAjVCvah0cC99qgCGUH3nVthH7vNr51f+xlMLadHuJT
OAQrJNTDKXw4U/Vu6Qmeg/EfCvk2nqvxuAwTU7KTkN50N5fLIp6m2K+qHDzVuLyvxG7ql/Ne/n88
rr8Txv7pj1qHbLyRsl/ascPbbzX9egi6piMy5/Ct9rtTXa68y8ZBwK4m6+mIs31tN9XH90MnWS1O
eFi3XGTdzpftvi43r/ydUgPYXe8D0soz2m67MRkuOXJ85LBvlC+XqTQBu1+9MB55pvau8poMrocN
rTI1xxIXoYHh02VROg7V71LVQgdZyONG3NOdQ+75uOFBH1fHbVyMOvCNtus7SMiZpckiDosfyHxv
zTr1WZBqj4VZukEant8FkjNI3wvULGeRgVfQaUxwiof+vSQCr4E2bpNvQgr8Z6XHcDkywH1pBpfW
hR+WxZCm2De9wnWJ+3Tqfx9QtI11tir4tpksSlhVf+qbkKdfRKVh9AMi5z4okUHtq90+nkF6d3IX
2wovekgXHoxppoAfYxAny3xHy4bkHinX6VAm2GnpYWFmi8SRLHvkvwiShaWnJtK7AC9sHLY7uAT0
h5jJhb1sfd0k8OSjhh7qmI24hSUiOSYCArjZOlZs7IHfbIe6Os4pHs3xARWStRows7FXcZYQBvfy
cWmKMoxxbUQuYUI/4GsNdZOpBDe7LA28Du7s8Ab/bZwFO5ptX+Mvutk3epJqiPjTrmDQ+Ws9kjh+
onNJ6eNe1omujnAIh2zjKTU6gCLCzmLdvQRDI8H3kk0jMbnK39NKn/y5l7iNCX/Y+d3G6Go+j4lo
huowLCgG38dgIKXPwRpDjPDQ9SGcxKrEO8tAdrrrjQcWyw7QFhR0Yr3ofMO3HIZ7EqGQRu4ZPGTr
jDOenhiv+8PAViMUShKbNy3nmyUc7X098dwo5KgnNlS6fV5XUvUJtsNA9Kml0bQehqoOCVRi6607
4l1TJ5+SmfbDi3TdUQSqI1+vKjNyRjE/S5MohhN3N8+wCD6kEaXtm4Anip0gsMLXFz0xAara/gxt
tR1t5nmpwN3yt4nNQHIyiKz5nf5MOg+cGbXEoXwXRyJIjnU5Re1nvH2SDkEjwmE5Tm00TE/wLq3Y
M+BZozi1G6x3j+ngD9HDHnmEPwa14fsfTd8NGowZ5cHNc0TQ1nkv643cSxG044faE4lPkN54xaIs
FmEqn/x55sHnsC3LZMvKKhVVYcyyRA++asLhY2vYFh2gee+DjV4ZuA5D2jli3ZdyNhWvMj7y5HNE
2Sg/gF2+1wd0l3B2gecxbC+B6psS/J8HL/wytGrZ7wWR2/bMdz8IDrJGJH1pQ2zzu4qT/WlO/erk
kzFpXyVKxyz3k0bWb0der/trA4IH8dCJhm5AcjwrEbP7ycx9/42jc1O/aNlIt2IY2q4sRjjbqhd6
TGNyaEPYTH5KGAnTPwLDyydQyL0HtJH2L6C2iKw1UXWsIBDkHddmT8wDPCSW/Q7iQfRjlzZhepQd
mI5v4q3u+qegKpvg3gyN3nJvrNv1Lt2Uz4qYrdz/4LOSl2/rMa3kQW6zB03E1k8nkGgEg5Hfsk+R
ejn5++zfU8lk9x7GHeXwSkdpXJ/8mg/xcV7bBbnTRAnM5YGfDtTLMV3Ylw6aAP2hRN3NvKpXXyGV
1MNqchYNs6qOPrpVywveQuD4VFYa7qGrFy/Vc51MaXgvpJQsm0tPsc91nbbyUPUTn9ss6YPSh/dQ
SNf7qRPTfISvue8d56knQdZ3u5Gf6JxiBsfIrwLIGa6YReNVk8ra1Zv6vD9L8mQQtNv502hATMsj
qcxvxN8Mg71aBY/HA6wg2Etcl6qvJUI4PrRdTcSBCRMNH7YR/owQOBICkmcZ5fve3JsZLNnnDf50
qszqEVa9yPe7NMOQtTOOaZOh4r1MX4xeaPQrLDgUDgQOtZr0bYdRzh9SzlrlMHFEpzPvDRFRBu5n
HxVdGqQ8X5aKdltWBXOyvzDrVKFqscJZKr3zyw13RDDZ6vp+gsual+2qabx3LIKr6/9h7sua5LbV
s//KKV+HDggQWyrnVH0ku3t6ds1Io+WGpWXMnQRJkCD467+nZSeR2rYm9lXK9oU8mm4uwIt3eZa0
iMQcpBNZQp1Kv23V00g2Vl0sdnP6MLd9kKWDo5m/ZjDvuich3MEf0UWmvo7LprF6D9X43F7qGhXM
rUdfSe0juJMjdmcZH4Dzjor1us1JVSf9NoY2icwoA/AWRpjVOrDntil8sKRuQcboImvvyxXGpBc9
RsbVbQ+lu3KIFx/BQAe64vHgRh0eQ6Yne8enIeg+0nJVzbVo2IQ11hVtU3xhjdqwElpItk27Plfl
ssedrdWOt3U0vRH1UmSXU15W7AgSrWhu5pHCc2uHcNSIFFZJLHveIJUMTfOpqPjF1Jd5DmwzGFhY
Iwo6SpdFZb25MFXLgBmmwBCT3WTgehgv1nf0Ed+pnpawsOuHBqLx4KRrWvRRMkB+MU8CxKcsWTOz
PlZUWHahtAHXhXcdwKrtMqog8Wa2sJQbe7eCQLLIMMFAQRX3uFzO71bn8/Ii6GiEyVGZ1cH8um23
vrsEdLfYkBV12/oZp8bU1dBIJSR8dZrUMJKwYpDbzQaT+XZCJN58dlQVXj2EZgUMx64dAvJwB/eL
aTwSW2h7sVoYpZ9O7rWAJkCOxzhNsdXY5QR6dfk258lQOu9fMb02OoaRmRJ7GbWIb3HN4Al/R2yo
ho/bOJmoihu7rPzoI0bW2wirv3hXTSssaHCTrM/uarTD3IOq8RAvN1qNa9qxmdsLnP+ByfFwabvs
3Caly5E82X7DyxzzZb+4OmjfyNDb9n7BM1suhwr4wbtqKYsyiaqin96tBh7O71sqvWpjKISRzuBJ
sSb/0kEzldxDtT7SH3sor9QfhmaoKeorCCKypK1oJS9aaSeP/K0gSvTxEMweR2Gz4vhAtgfJWBHw
RaYTRBp6D9ioDD5BVd5HCcGhXh23eahfyxnre1cT14ikXDfMX1rZRW85BS4iYV5lVYJaNJJwROzl
fKCN5GKJ2Ura4dYUA4yV4xDynXujq6a/Ya1xQRMLMLA+Vv1g1z0Py2i5C+FTD/1dzFn160h1rtgv
DZxy7gdasHdqgstLOkUZWgGqDKy49Z3J5J6MlaN3mD+x7qGp5bRdhVU39AiYEfYGYPEAqqlDDRHV
8SZrG23WREVRfu+BfAmSFbbly8O0uQGEaPBeqUsgY5jVidRhae7qCT2muGjzZtgxD15tswdFLdyp
jHVdOpIMvtJhWTThTTSbk5OrmE7JjwLat8gTrRZO03YeSDjH9bb6t5VqoJoUby1Yi68NyG3sKZ9E
fz12MzKupMirIAkrqML5BNF9iaUTzL6lM2QPLnLhDM57uRKk6QwEXmNjz6LAHktcAnk1952VCeVi
SGtfzN2hXrHV33MyumVPZd2EcCYZIXkWRiVTKWuAI40nFm57jcPI2XjkWTXdzoBO6S5pRSub63rK
/J3yJwPUbdzY1aRUTXYKDjYrjlGkHOm4RQj7rlmC/FiLjtvXc5OFy0M3zmGCQcNAP/gmc0uSuSK6
QLoG18waLJoeU7d4XKviorAGwhoReNU4bFmybVabuIcZkkjtSOhFjnzgrWslu8ohpdTGQlfDlBQh
FTk0Ww2N+z6qxKVyuf8Sgf1T3VBsnfawVdOmb4aAjvfEQeIVJRCz17lQdEPuFEbj/RIYIMntKhMB
GvkNhiIga8O8lEGNHDTkGz8q+qZ3Qb6raSXquG1Xe7XUjb7LHRT00xrLOOHr7BJaZOVFFEX6eha5
v8zDtfng86V61KwZk5KIVw0f2ze80p2Oc2ImwE7mpq6HeCWldlOcI9v1ew/3OH8hFpo/iXA1l7by
SqdYziJpt3lb991Y8UsP+GL0xgVKPuaNA2ohpbaTwUXWysU1cYaVq0CT9wX5UtrM2zecC+HjpWxX
BShnuDiflic9gGPj1w2yKWoMvYGz7jBMFHVMyfoqzcUSBpdLGIGNDVqpI5djEWb6dgrWye4X8PzJ
0yYaKhLto8VezZHh+Qdkru2w45YG9MKUpoyuq3VpYPaad0sTu9CM6onNjSF3A5uZ2UGmwXeQJJhE
ceyDRTfvgwJewlXCfcnLlExVYeOZl0hFtZ1lmYwNchQXZyxgrIk993P5eVWcDdfL2i/bJ5hSOaRD
hVUcq7vB3uImrkAYqnZQ0cnoYVRNWb1aQ9T+u76LWLu3EnEnRUWTy+Nwgt/tBtlSdgdSTcWvgJ9l
YRrqletjCNrU+ksJfkB7N09WGZJ4nS/F5TRMjIgYgiIKM8atoo1/hdJYUlTBgGxuV9PUTIgLRSdd
eGNabMnHGsWqew8Pc32M4LeNArl18n04sTr40GJKiTJ57TlMENGELhKsDiRLMIhfEN2ncV7Tpc1H
9VaA02+flENsfzdNg6ZVyuUQ4LzKOh4sj8Jt1ZrHAaWSxdZmY5vojDX0dtrU6n+JQPdvvowl2Gw7
VcFJ8ME3xaohOMD78R4ez7xed90CddeDLgPa3wvsMkREwsZBITwVq0SzsOhAa76oGCncBauLmrRp
tI1IAeJGCJFDBr5H/YGMrxoSv5hTLgIbF+teVXYcc3fQdV6PT80U9Mu+rwKrj9OkZ443tmk3pgNt
1uVDrTm4SKKo9fTBunpY9iYnbZDoeg6vyiHPRDJgmmyvfVVFOV6JLEEGnNBlT0azDEhKBwE5mad5
g0ouCNJDdt3ndDi4bFUPA6PeIjvg22bufNM08Qi7zhiksHxm8BdTVb/3TnGf5HA4nY8bm1CgFXqW
8WRdH5jYztZNr2ToZPHLAmsTtdtqQopUuNO5GucTPCYuMqTZ1yWkubDqWNiyy6yCZeqVyX3/Vis8
hJRZG4VNTErgBp6mZqsCZKmeBId1w7o+IA8I5aXFEVB9dI6VB5QAoX7fQ+JcFgnXOSkfzMKLApLQ
YSvKOcYi4yxRiKoe1VwA4twmi7C8VZUjWzJiw7+pQ97umqwUHbZaNl/2BB2MG/QrGL9X3SrqS7eM
+hM6Me+QelgqYKkiAAHv4RFDHzqaZx+gZ1GVad4iKJbVWN9YS5CZbRAYccdGqiIxm4fhCPD/5KKU
I2tuBsum5mbM5ulqNqavPsIg2j4HQz1N6ToHeI3RKp/qOToNd2qFs32N3JNALmHTfBuQqwPXZNe4
cbLdg6ysRVwZlyM3wKhygdmdWtGvRSSc0N+x1a0DHQEOjOrU6QHxe3yqkYzFlAOBfkQrXU/XbFBD
cM8kQHwABckuX46LyHPb4KXMnkxgdGdVuVsJU5XcVUqUr/IB3vC7EDSH4Zd1ofWSBAU6Vx+g1QCD
2pGrKdp1BfUUS7Okj2OJeuTgu2qKaYUAauJlHuFil9O5+Kx4O9En5uZiSXw7hah2ZNQsa1wtqgne
l2WYfVKn1ORCrWCZv/HCPNu6sRHSXT2ESGbbqJ4vNDxBVKLF2D73HFs2VrDsSGALQqJdoyP1tflX
sw0Pwasd9C2zCKUMTNX3K5VOvjN5oME/LnWGzmCgWygjTQYSBSmSktZdctH3n5tmZSHiXFRU3ROU
2nSV0LFw7KKykf+C0jnfrsaGZs9t0Wyaw//bL/S6LVw0vAkyIvhzCMsM/gWlZYHOSJXza92PNWIH
KXxC83Bw96POpAHVCLOlKBc5uS8DIdDNRupBrriDoOheL6Og6Wo3wnaLWKYlbtp5fYQmchi9NaNe
XgVBNL1VmQzfAEBht0OfgS1yEfQojNemXZediBQEfbdqMW/xzOurLqwBaxMVDLihcRL1x77Qeki4
6VoXmyCr34Gpu8YDB8vHmMiJq3E1wb0Ubr0ReivUvs8gvbBruF8PA2wlDqFpyDGCTTJiXsemp0Ln
3N+ZvAd7eFmg9xPzYc7so5sh8foBAiIozibvouIdWsPQZRGLx3OgrqoQFjQLWY+MQ4J/rIh9U6wC
SSJDKyHPkWVUPIA8rNyCdAQMnu+4ytE3cbBXh0+JHLfyQA0xT5Bfr+oHqnqQwFc4MDyUuJCYlUto
5gRh21sXj+iNsTtTFzJKmMHlvOn7zPX7asiqIqGRNO7TCet67Lumba9WKbcG31EH00MdRq65Y7l0
SNh8yfZKmaC/AIRSuldoRXc7hImu24+cV1NKi6UJAZeDMeyudwRBBPoYl3gXaEdkhvcG5bYDaHnx
3j5MQVEtScfnsLkMgqXdDpAf274EHLZJcQNryKt861dsn0zhcdSO7GodzckwWHfJ+hAJZ1F2V94U
/AHo5QEMAeg7os8BoQYWyexdsAFOvldgyPg36DOtCw6iiYRfrBpzKuGBU29oD0zNbLpjhwlF+aHY
hqlN8KZAeFd1gcwcEbNZ2qQYMgP9cogX6RtIpCmZaCfMfFz7aFAHCVtuWKNmi1BlHHDIHu6dZqdN
GFRLnsNdcUDFhOBTp9U2aXe0IGXomParbbCNMe96nnF2ZkczWpKnCxS1CZCYLY3Cpz5ChpYuTo9F
IqNFgOtjha+fSgGZmpRAb75816ChEcVtNxfFG7JuiB55EIjwUsiw5UmraUPTHt2wJem7Ba2tGCSo
NU8rsNDIXWSGUb2CIUi5xB4q0GY3+4z3sadbhAxGm9B+Dka4KsQcVA/9Cl42izwU3jj5WeCm3NsJ
Caq45lPYyCRqZE3vm9wRiCYbFAVFObXtgweBv97TaiKtjznI9gsamEW35SjULVoOWNQrkkLYpmcD
vK71lN0UPSm3YxiRtbvRBn3aWBjmoJduivGZcFYWt3TLOoB7MlJ3F7NaAnoPgp0U2FMj2xzmP503
e/g3unEPuJhpE0xV+Pypc+0UwCBxs+oYNGinvCNNe3pDAoVPGo7aVGAtogBrb2f0D+sE/Ao7zTG0
WEJ6RQTlKC65DbqLEjiL5ZOjXk9pJkRmDw7x2qUjN6beNYypIaVwpLF1PIytL/aoBht9lUWQXwP4
sjnZg8EtrU+rotTrZWaJVAl4IrnmKZQYCDZUmbWYZ2MU2ueXYlnZhpzFmugCTYIe0/oBuV2MPmxY
x2AWblU6YBk0+2idw+FZlrxuAtQOYWQZ/G4hYvKLqdsGfK4aEzKLw7RFnhglQTPqg6CG+vVYh4qp
J2hGt/baobRfDW68jKoIOcjK+jsuy2Z9G+BudBAXoWX9vD+pWaMgXdS2RLfzqYK+yoK+XpF8AS8L
gSmf5fmdb8MJxco4M4ENHtXoWckEsxaOapVMre4+lx7VNQByXrbkebRLMCAZkBwFU29Bt13gVtOP
l5PuZ3XHETxypIqq2r7UBaYRH6rK9fU+yqMucHi6hnXwYhZj+SpCuo+9TLWM+N4gNRqeCxNxp2Ib
aqg1OxnN6nWI/lwJ+xf0/+0nPUZz/WSCuQ/u+xwDn1fLqVCFYoFXDU3kMkDXGLQ5MzbHosXcC4sk
Mmw/ShQ+YgcfxXm4AgMw5y7ZMEPqUemWoyxlSriw6soZTJKukV0rcY20KJoeu6aqx0uZM9cfgxle
6R8YIRlJxCln2899G8xxI6kLrnsCdapXwTzNJWIcZOgTjcy42/m5VeNtOVkQXVpO5PJ6a4ALTBSZ
MOQpWdNBYmbMA/tZiclkr5mbEPw7+BtUy3YZbLDvRsoKXcPm6EzOPPIpWFwnoVztfOH7TrOLEV12
d2hqsZEndBU5vyxrTAITQ1oAAHYgnpJRpVibG3pbp45asB9GSueEibYKYuy5G2EmH2HWyCGPsSch
oNXDvgxCzHtEhxGPjxtYrKnYD6vh6VhIHl3YddbbhYnWgHSQdKNu1ujp5fBK62cdVtc8HKfpiU9Q
VX+WeTS310hsS7lveDHrR+cwmkmbXFU52IkApN2XXdeIqyxvuvrRKTyYK09VPV2SGZY6NwuulcLR
3G/8vpplm1+u1ajrNyj0ymxJyIxseUirXrVoW0fQaCtJMmMzmyCB9ofwJsUcUCq9rwEHPEkYy/dQ
MCRTmGgNAcx212IUNM1HJGAjHqyVlRnvcU53aDwDjINRGnI37R8ZHjvIVZoX9fYG05Ns3S/YyXu9
bfIaRbQIrmiQaSR2gkC9jp7GeIoeSCWEOdSVHPj11vSg6IbU9/a9K2cN0Yp6hnTI3uZm9UUcOsEl
ZpwUoCsyTGpJBBob04d2gWT9fQ/ZhYnuT1KvIXoaK4e5uxo3vVSJbp2rU9+OJ0c5O4lbPmZRd4xA
LncXQ2dmluaLN901naBTgxYpwby196Oc9yWa+GEcTGEY7DGjtGXaqFyj7DTDZJAhsbZkH1cJF/mr
bMur9QGSDJFF773Ixu0L6zjLP5m6J82RMFAdjwRd3+EG9PLRvm4gSY3cpuPReh1GweR/8QOvzLX3
eTChwbdSlWwa6UiM/vKM2Uo5TQD7DTa6mUk7ucR6GIceR1xClc4bpXUCbLzAzDyKThjVRe014MG3
zQJn4DfE1fl0M9ot7C4lbO+209uWGbgO2no4w08yqj6hzRewtOIqMBPEWlHPJFOH1d7ukFnXOCAR
SE9lvhuNu9PBuLDEB0E4YrOoYQRdwvDTE9QG7SpkEiPXd5NcmgC89FKWX+bT+fhFzuDZQ96A58eh
1z6MCeJd88jGkVrsvZy3g42NmkD0R4sJRlGyICVJGeUB4DUsH7JbWkjr9gij0EJcmq5cnm21mvW6
32TL347rLCIUL0M1X3ovt/Wtkq1Z7k4ajuxiaucsbiF2M8TIRvNTs9ysC85cDDDvlfdaXk4FmAa3
GJS00GBAbryhtTXU6FpxGFdG3H4EcXVQMYhF1O1WYWp07caheABMIkRGtMCU+aECshHnIjw2oN2o
F5XpJ2mIBly7I5hnLYcuG4fexiX4flHcK+AIWILZ9zg/o5GUo3mLhg2xH9Gt2MogFhbpaxVzRFmL
HmLTg+0RQ6Qeded+BT0U5kDdGoniPRjWfh7j2cHEZji0i+VllbgB+uHIQ4lYeZiOrACUI/23abSQ
5w24OmBSxWxCgAia4kDZIUsglMzeMPx2cLW4IjdHXZx6vznK79WcYmaU3fV0GnfoFmwzkMpBFhz/
LZtXsvopai4g1L2uKRFVP8ebL/gdBlbdnIoM5O+/h2A6VxYSPuravpuaHdHvqui1WP4eQv1cUIg3
bMG4Bp/LygeFpkXJ/yaF5lxOqIdao85KKfc4JgmaSHohNxOi9XTxY/TSnwhWYWTwPToSrTBqgUjD
ZCLA/huKvrRXrQt6aCBOo0HDiS4VbAGkHuj9OqF1iwKrCkjSByve048v4oQq+iO00RmwLMeIZi2D
Ue57uJk2aQlmyA3Ag0OCfA3jR8zi1PHH3/RnYKozLOg4TFhqwBTvIQgwyEfr+2xOTY48N3U4maBO
CkWSBlnp6rsXnvCfoObO1Ykq4MNwmlC+FwqeHBayM7sBveYXbujPPv0MfWbg6DfJQnMgR9pP9Rg+
OWWyF+Dif/bZZ/BQpOlDa/KM7z1sP+Ji9Mdybtjf/PAzhJkNQ9v1s+B79KB3GKSWcRai8/jj1/xn
V34GD83WpbRcl2Kfk2DCmb5kcVjg9P97n3761m9w3LQ2DOggPBe6tdDmtRouk1v/+OMP/5MVei5N
JMawdWatsFwKqemXCT0llxDhKXyFFG1NbGagsS/AFOLmb9nzsXM9m0LlTkJGiO9hh8rfRsM43VYh
2qs/vqGvwfUPdjc5292y8gxtoTzat0oX6EDrzjsMV/DPsw+teIqQeeP/dFHYiUNpqtfVVr4OsdL4
RTaVc4FaJS92cGf8si4M1s2xlUjJfr26f/+8/kf+3N//eh3Tv/4Tf/7cGxT7eWHP/viv132Lf//z
9Dv//Xe+/41/HZ7724/t83T+l777HXzub9+bfrQfv/vDDnm59a/m59E/PE9zY79+Pq7w9Df/tz/8
x/PXT3ntzfM/f/qMaYs9fRqUwbqffvvR8cs/f6InpbJ///bzf/vh6Qb++dPjs/9cPDfN8/S7X3r+
ONl//sTFz1RDioVEgooIrUUsc/d8+kmEnxAGiWYCyJaiXwUmO5ieFv/8KWA/y5AITQhQ6GGk9An4
PfXz15+FBL8XyVBz4Ka4xG//9F+X990L+p8X9o9ubu/7srMTrue7w0LRUHEgvVQoYAMWEXkuQwg9
nZFmGnKlM4rAve/VGOeZY6n1619D3//2VRKlgkZhQtGP/X7Dd5EDNJliSqmAiktlgImvkc1f41md
vkUCGArtHjw1KdXXE/qbsDL0g18grBkA+cLaFLAddOODXB2+ecu/PcZvH9v3IfHrt3CFD9eac4q3
cMb5nQnuIYMcH0qBdbtoMxYmk51esrb7qnP5P5v969dIgSqQIDmTPDwnXUA0CzlwA605Jf2XYb4G
oDReTxVghVkPjQBwkZemzePeN9eo9oEgJSnPe4gAjzHBRGTr79H9vZFb8Zfi6unCNGQ/0VaLQuBO
paDfv0tbTPwEZMyTqg0zkILbxz7nFpDMwqVYST5FzHlJ9emMpfzrl6L7gpknC/GV56TUpeiczaoM
GAtIZKGpGvRHCyWrxK8S9ksA5KZODG6nAMI7LkjxEvjV3XZIgw6CdcWxEPCAyXmudj9eC/T3e0hz
CSEPTYGUw349T4dOnT3g9YBKAoTGpyitQAQLaZCiPO1FPGP4XgLq5sOHrVkfwaMGxb3U/VsF/2kY
IzJ3raCtfsCMLo8zJfPnAAAumTYsL2k8mz7/MG8oB1REt4eFLmuHHvaCCXdQQsxiCoDkG1lJ/5rq
xNenzbGBEJlIRFl4rnHmBCq9CQCt5FTIJYxBdmvIwQP+8cP7Pln97VsUpQKwLgE+7dlG2mrmBS9Z
kQScbLsGuOF0y4ECMT1D4or+xAvZxh+9KyxMJbnCP/qc2xFF5WDkyrGjCvSh3YAhCJrNIvXe/TWF
ml9vTaF/LxjCPoIF+36PALVQEzNgjCEFisSIhJhQVrR7afWdntD3MUKLSGpsCEnwqs55veFsbFER
PEHMuLvb0pH1Tio77upSRQfAbACmDDGQmWdZJ02j5F1WhWjXCFfE7mbJdpjxuaOpH20xIj09QdKA
xljRlwj4xUCrDwrsgbTPg3kfhdm2o8A5XXGUUbumYku85BBio40SR6Wzl2QsTmn3+a0BFoxwLggW
yDlJH7pa/ToXa5HYhtVJKTHXpVvdpFKjuTpDjSsNovmmrqfyhVXy+/CuhdD4D4wZBuztWVpNRyam
fMB0vfCsuNADhBeCuXpJmPD75PTrAsGxy4HOgsdQyM4Znm6VzdjRDHMuhQ5PpTA+3FaWQbxDi0Q5
DAIyBLQXNtwfPVO0FQmY5DwEd+KsHDHcEtiNBkXSFlGbAGZaXwda1Y8NZkQXI1Blb2fmm72S3V8r
rr7eLs5lpBgSPiYqPNexALtdbc6XZQINvzkJumCNJzm8pIb5Bxtc41hUXw8JJFFnJ5OyUaOZJAjG
6G0nNTw3LuRAPDR0gnz/49j1NTn6dn0ifwuxRLSEfgQTmBl9v8OpL5CAYMwSo2T8YMomLYDREUFQ
HdxIu1j002MOHOY+UKa8B7PnNfC+mDkAjXaADB4UGAGIOq600Umvuuov1bIIqV8vTqqIQ7yTITp8
f3EahlWKoWsGZUpevHLb1t5kk39JXZqeb5XzrzkrnXsh0Cez6Il1hfa70AMBWCyGJ5htbJ9qkgHF
zbPpmoAi+Xpo8iLuoU2YoiCZX6E9wAH3yz6vWrO4LCMI0elwBui+fY/7UzsJfN9pouJiKtEKBfep
3LdV2+7CWT//+F1+pVJ+/y5B1MQ+Q6zG1hfnwpUIzL4Zhw0eAUrtIGo1fFlFo5+wcdECLeX8yWZd
iXyH1gS6lrLiiZtCT+IZRKnYTEXz3tggD5MImxftOlCowPNqJTDgPQsfm24KSOx7Hg4JBIuiNalL
52aY3C5lHudL2YBZB+GKGLOgBbCODS3HH9/g1+Pm7AappkSfsjXE7HPdsWHLgDWb0Ekd5hD4SSgk
v8dtNbu1LPQlso4+RR0Dro4m4w5VkXsAGC8udScwIQ2SduLRC5Ho/Og/VTGUEwrRSaxOfq6OO1EM
MOGCKpHz9OtTw9kvwcADjHTAFhOAhr7wdeGpQj57ABJYF5jCKQUW93lQby3Q9B02c+yAUl+XEJQ5
MSfzCkTwPLfjoUZCGW8TMGUwAKl3/QnjD5j4C9uSnrLB7y8DWwJBH/kroi8535degceAikLFDH2I
nSN1/trOwiZIt+frGdPudA03fgOUdX8VbLZJnB7GxLa9Ap1+amP4GYYfwalD+DBtfVmOaNo3QaRf
L1D6TC2PnhnVL7Dhz4MqylCiwdLBFhHY8OeasSHvmdkyi2746MVed8HnJgd7oO76l1xO//Cb4FeC
whZ0VX6ufWuHwcCxA4PIIOh+adt2OBjeuQRN8OCF9XB++uKexKlUpDguIhl9zeq/KRSBaPQhHzUw
NEPILz4cV402GsiYDuSVF6V8f7fWQyk1gKAKtHwcveca1uFWgAvlMIq300YPUbEUCcTWDr0Bnc6+
VCj9/s4UajKolKGuD0VIzxJPbYZV1Q7BKhMbZPTU0o+7sMfYhQCQ/KpWDeDyRf2SkMdZ7xsBGRsa
Wxr1MGB7yHvPToI12sBkCzoMw7opVWR+vbTrTb/AdGDUV1XpgCaIDlXhrpHXvbCpfrdqsJ0oGs6o
S9HQkOdumScTe68dILOsWNiOZWjewvIbgH7hXmrA/e7h4qswa+E8wleidXLWh6sgRT5IiiymyTsK
ly0YNBXgaoDlB9pTXXFYLpvBvpRpnLKW74IGBeiAaDxgiuQGA1L8/JvFutCxBUrTIglGUXYYZjhf
VGGXXw7O5Ye+pskGhoSsmAHKzEbXw5jZuxAIx+OY129eOEh+F0dP10IF7h79Ionp3/fXAvzDsGGK
gvds1yClcgLMXg8zicXsTNIAwncw2ULuDMjWHRJN0q2xJfMLsmC/P88U4xrhKAqh5xjijXx/GcRF
EQFjziQBsut7hBJzA2xKD2yF2FKm8y81ps2HYnRlSqs1vBPAZh0wOPApOgf889qyw9cH81sT8v7X
13HW7Tz7479uys9gxPa/2PPW5nfd0Dvz3D3a8fnZ3nw053/z/2ATFCXnn7dA/1+X983Hb9uf+Ou/
Nj9p9DNAbgLtTyzZUwsUP/m1+RmGPwtJJchYERJohYLkp3/8V/Mz+vnU1wSiiSI1YGHIsRn+u/mp
fkZgQQRFZo/gBqeZv9L8/LpGvtlWBNkA8hnKcI0EBkrnSV9fEIvUXu5lRS0BogxT/yZuzYwJzUGx
hty32cIf/VRWPK0wXwOxXvMgoWBsfMkDcK2TrlDtx8GjuItBb17fjWDi3Xm+BB9sGYFNT13h3o6A
WURoEFbuNgL8VV01swUoPwKtNIrDdgw+L1FQjLEOKpi+gQZ+coIIkDLFY+Ub7KkaABWEFoyXJVXk
RGYCo3q3KJCeD5kDMOItwOMdwIrhHL0GXZxAiqgusl/ymuQt5GzbFal5MzudYMuUT95XQ48BMuT9
YnmaFcB7Aka3GvA79A6BhIdoUjbPFcIbWat05bWKYApIe0jwGUy0E2jI26cIR8x6aVwNsMo0SXjM
DHnPtY3liqh0E9SwbJCkW/oVfHYFcn7sAiDGd61h1V/zhlDklFAhrQUTEKc04sKpSvkmPjpjNuqF
OJakk3c1ke5tlq3avNAWODtmiFZaKnTsQ9CbcMKdJyf/n70zWY4cSZP0u/QdKTDsuALwlftOxgVC
BoPYF4MBhuXp+/OqnOnqEpkR6XsfMyUjg3Q4bNFf9dOwbsdJW+JuphDETkh4y+Y4dJPKjzrbiuL+
X16jv5eTf9WYvX8Ih//y9RScgFDeLoqn44YckP9tr2nxiqRpMX1xYRnIw9tV/d7SavlZYBHqjrgT
uvwcdq0ld77yrDa2vDwkXbQCMNrlRHCvumyx22gb8/mjHALw2DkPTao/MDwD0b1n2RpSsVPDLF+q
iUH0mI2BeQhG2PBX9BDiCfaUgqlgedB58PaEgx3Z8pLcpSRmOdvD0oqIgF1e4kPN+ptQkHi4t0eB
uOlgA+bsAaI5wSJKNGLLHBHXhlxCTDOzy0l2LkTwzLQBQ089EMvZbf5mD3sz6AdyrYUCd0nxR3+s
B3tez37h6T4xaCwQexd7w7fZ5P77ynerwsqJwQ8yhaPzo8L0dJy2AVO1LLCuHFy3dv+MQe6eZ7ef
82SmJRS3IdWgGnOYVATb1sSSwKr0FHfWWlJ0kQv3bvAhwZAgs9jg+mpjMizhB0eZHIsmUotn6MTB
wuIfQrNx75e2VeG58ABFRPbGRxCVWHe+Ru5z7d7T1MjEG4k8M0HoT7GXO11D5IAJ0afIs3WOp6pZ
RewZhP4jgiNps0dAbK3HbRMOCYc6h9q39N10q2wuY9fe2NAwZFJZcOaCnRE4hrgRXg1ocZwGcEC/
5XbY/MNr1MNjCPg5z1gPt0vMqpTX0E7q5lQOZHGH2uUOamShgyxYV/bbpi0FNnqYkKctMg/jLm8g
eUDybvLLb8UNJlqUnMczMQM+Cs8NlydG3FZBmLG3AY7QtgFO2G6D5bCQPHSjWZepIhAh54avzpr5
Z7ut/GswDk2b5La9GKd8rMqcmAcRskMpvbyP/Rb/UVzioWl3kyhNClq6QrxWmZZ/iCRVf3InoIsQ
Q/0I+L3bPHnus6E5DZYxuXEVqN4jnsJ8ZjRd/5o7vab2dTDrWG3urcWNvz33xVCKfWCX1Xm7sBbj
i5/vzQ625YWsXX9uzHnk2jXOfxbfmt4KPkUr8Z2BAD+qXtElABkIZ9WXdrW4d/Hl7WpLD/deUK0B
HbBb2+7mdi3JwWA9zpMR5epuFJvz2+MzfqsNI8ND3ocEZ6xBVEG8rqs2Dls25BRFyml045Q64wDq
QhHgCi06RFq0pfmJcEpDttYOmhyTLI0McZERT01xJw5xjQe/2o+zH5xGb5M/NQtMG5VdO4tEju6A
UdBYxK61reGZq8Dyx51m28Ib5qkTXHgjOzDxGFySbk39h6dY+dDKMyKLYWXAAw1WWPuJpMHloatz
4vfAxnROOHQzVMwsijB15hXjkGirC74CCyQJg5FFXE1bH/wstuvdzWbW/8m3rh+gONhum5hDzdAu
kwOtEfVMJDz2bLt6oVZsuPH7bfmZGhY9oApN+t43WpYRXw/ALJnoWaY2MVtPoaP6xxXkWRfxEhF6
sejYW5O16P27zKwsYCnZjD+mHn3j4vjvs98tdtw3XFm4HC/z8CoeDOS4ZAvskRpcnfL9w6NaHJW9
abGH9hE+pgFtTVh5Cjges0afjurVMWWCwVy+pGyPF4+1k/7xNpfidfz3lhd1YW2uMcme4HrEkB9M
v2nTqcbYkLJsaHmdXP6bWTXBdW553YOpFsBTuVzkcAzrxiSOlmWbQ01j14LpuEqtbcQBPo3wGDaT
yN8ZTQczfm1Y1Iu4Vugy3m+070dOE/pXVb1uYBScoX+w1n7Ge8QyoJOgtYq7zXc5tHudkd0sZZH5
u56yhl8VKbvgaKx1+6fwMhsbBVnEl0EaqReJgCR/nNMgfBxbRcSOStmyZUJQWsFwaJXd34arnvyE
WHRhEqpbV4EXOMPSOMvO6885WkKTpMA2smROC9z9Ux6Yr7MaxZ8hlcG327h8quOa5XfwXY33RZeE
KuGDFD9lBuciohtQTue5asgZ+Uo6iGyBaniFcF5McdPl0w/FdMJJoB9N3T5oHOahzroAlqpTa5G7
2qHqKQoApbRA1VLMd/MilzIStedYkU69lOhsGLL6F+uGbEtA6vdQhs5HuI3j3Yap5K0bBvN3m6Zc
q6l47jn12BvxwNoK4CnWSswoOoOpXXxRpiRiz+euYvp8yrfSJ6J0SR8TdnW0nrvYNsvUJOjRuHJX
IDV/QQiyrMi11pkj3GpJAvzmeJey/ILzgWIxRsSwHDJRTee+ZuZYUE1hZ0Ocrm71MFQW6z4RpPRu
GcNLr8eI2SUyisUQSV7V80efaax1k7Hl4J7mdMsTB5rP2V14uyLsJQ5W1rKt7udSUeWyrGHnwkXN
x3uxcZZMEDjr37RY90MkOCb9SD2175XO0m+C4rWKvDIL3gMNniISrWHSaZE22YiG23nfBNApdw3g
Ql7EtbG1dnW1eM/bUHufYzZlH83ISxe1agRtY1aKq7RrlmZOM/SWM5WiYA+pmOl0nmjd6vemTb13
nB0bvhtior6xRbQ+L/VVNc/93KEqZx3HA212Pw2efcEmpqzbhbfsV9f79m/Xn7F10vydkmwldEve
pbFllTRgBfR1HzCiYU+f8+FeEXl711wCWsBKVXlsxAakyJnlJE8+s2nuw1LXau+nU1XvwgqGTazS
ym93sAiqPgYvUk+R1RebuHbtBXytP9bGeBVuqieJluFGjRejMPQjhJdQx9k8t08ucA/rdjbUwnAG
NZBvZOtgU+W2AdgKGVm7zih03HuDK74wnma6jJjLr0AwQo6XHMw8uRKeOlSytFZJhMYPnZ4fw8y2
t6rgSHmWbt+sKTs6YdQ8arPZnfcT0W0efQMqovgqyJYSJclqG0BTByfluu65mGM2Ak9RZpwaddrc
Gx4j1DU2OEZYsV275Heimrh7OccNp1YSBl5dWMb9Sqi9ug6m0GCSv5hqy7+twa0NxAKn9O+rAY71
N2Ydfp8AyZ0Zd72yMp7MQJshGJp8qcyJtEQbWrEVBl1BVsMa+qSTC7+FWwQrVxkKQ1f/oPxJFi+K
jJ5bJyUZkOl1Q17uXhg/NBbOY+YTzwRzXagYxCNxunEUsYYjxvtSUmnfwAJ4KPLLcCUiYDJ4j8XG
5QPJMF84e1Of4rOLGi0/bUKApcLfxwrZqZcVyz4RQpV7JutjRsRsR5WMo26MvMvb61YOer5h+OWP
HQlD8BslIhIXX2pmB2newUdzq5hEjz0/9D0u8idL9YF30wwZg8/VXvVraABujESV0mtfrQ3Hm2De
mlikpHze5pyYtxIDKTV4w/jx/YI89bElNfKuCPylO3cJNU0VaxEQlklnjif2wG7YBsp4Njhbg1Er
zc3bkSsqBQe80cquS89XUFS4XuBbDav50CA92nEfzNZ7vlm9TAZwHeIoc6fedkG3uZiX3Rzqo5hl
bsYyL4Zu59t8+Hy/UtgK/egrLq3OupHHbHDC3kkmvfkOl4eudmQi+iUpGsPpzyUm/mJXhn3204Gs
t6I8aMMywoU8PJpuU2xH8nuNtXNIeW3RKurxHu4BP1l3VRKad9i6ffIEHNkLrgmzwzFYpnljJy4U
usdZuNNvC37K98a9N3s3zEtcrh+yh6xr0wpQg65AANlqWOJNL/O3RaKuvE87hwXbxRMvidWF08qv
3k27xhPs3kzI1Z+BrwT5CYMudCIRm2ZQCNE+6s0V+IwfuAMuesokXxYHEDfMXI6464aZOKp14fkM
adT8EHSdKiMCrqZ1yBWwoNjgtltEs9m6d6L0K+B0YZY9m4PXfGwcl7woZIeAwVT2dr2XuUHytc6z
7WvzyyCL+iWvZdSpFB1Bm0tBr5RbBr9l6mcPqVcsaVL2W7Ui9TO+ihimwvgvysZPeUXE8rey+b+i
2X9crCz/b9Us6kY1f7b/TTe7/Im/hbPwL8p1ggANDJnhYvL7v8JZ+NdFsgKcxRQda8RF3P8/wpnw
/8KwA0bNdy52CZiI/yWcWd5foclMJeQP+e7F+vI/Ec4ESVgUlf/SJhidMJvxBWMT2xMX59O/Ky7B
mJnDiJPWHbZFE20YVPVl5KSZCGuCDokdQh8q8VPXDu6M1ey8kJASQNj7uS+LInGlsYqkA3FZJxkf
gnnDmw4cMszmLN1rZBGXa6dVT9ecCqrwbI6qJli0aDW++MxqALhtQ/ZWTGJRR29bx/QmnLP605w3
2cQEWCFnNIYOQGY2BLfBNtwDfXA+EcnzXZWq6r3wMet6s5cTMcmrD0e3XEPctPkKw5lj/8Llgu2/
vOVmXLynC8uHL0b8dbwSb0br1r8KVbc7BzH+fqBVMUalHncEbTh8OetQR/ZQ5uRadIrjgUdakJs1
QMcEXtVHJtJCRJjFebaWXt4NDff9pAbJ+TAtWXDVhIV72LxtuQW1obmvQl2LykmxjTDguOVwCVUx
kIv3bUr1EZKej1HaxiiFLHGvMCKTG53Tbt85G4G/lGBh5EwSe8lYNTomZiLOpANHBtcURJEUSosv
eChIOX797PZ45dp8yZ6B6PV1ROAmO9ogLeA8FcFLoU3+HPEv+GRB+jME/UdDgw2mjg0/ck/yRwnP
ief1ElLHUn8iYlwfEIeqF4+2LmPuEtBiXCXtLeNGZdRGkoMQIkNPFJKWFop27cZIgG2ol2qU4i5P
xU3RVS+F7VZcCoIhTCygJezkA7XZTDsYZqe6+R50XiQGGu5R2A0cCEPV+Y03GwuHrktVoV/6NUlU
D9cLVrT+Tim9nJXP01rqi6wDpjg/TSmRKk4wxlPoXWZ0iksEALVq17deR6dlvrGgEuOEDeGe09oa
se3odY8GsGPJDvn71K1HEiOabOCeS1UeMr8XJ2WvfhJoG8AGQX0omet1KInDyda+MnOOnmW9GnGu
Busw1lZ2k1pz/9yWfnObdmP5vTkbzMpVTc2JaaE+LPZa7FInl69eW5uPW4sHi+bg/LdSjUwUQLxD
23Z4K1qzvJU4GAiLWUhDS3Ff2IE6EeH0Y/oW5bldsVQMTXO9VU3PAQHCA5pKeQFNsnFhdsCLUFk9
D6FhkwssT0Ul/J0dc+CWdypXz44biEdpwLgoy0werGJ9sQpoEthSYIYAFVlJ7rXnqXHF1YZ4kMA1
/DXbTnkaGzt7hEUzwwF0ajfueq9K5rpf7ojT5zsbYSExDe3GdWgets1s7kaDFlSu/vZNKgwSblm7
3baGJMgOPPRqK0yuOX0TOt9d5hCQI9B6UnIprmSR+3vhq3cxCPhR5M2i1V/bG1JoY4z57DXD5Lpc
ZVlYZ4zbyzHYLzz6M7kH1CwK4PoTzvtnjtcDC1SOhMApYXmnsyjFybnuGmKoXCKKtP4VYOeJ05I/
Ng7twHdnGQEJZrxbCzja1HTpD1zQwCqMsu2AgTYFBBlExjCUp3TA7eUROH2bvclmtiecq2oxqhgM
vX3uaK81/eHb0tVXIXr/Xq4cpBpAArHqVzeLVNup16Upt/Xg59JM9xm2wcqMeLRHY6YJuo3Gypin
L8C4uT54gi8qZ7ZsufLnNhVJhn0wnGaEXpm54jgCV/rEn5FBWEWAlKXj3YBNrs2krLEb8utK8eir
0L/YuG1OC7tK++J6czNWH8tWDmHQhgf5AN0RrI7IoKnaABext9V74uA3y0Wr7cz+yOn9xE3hztgm
SFZ8/Y5cYMQBVg6lausrt9WzhNvu8XdcmwVh+NT/ci6HQiff976zL3EBx6gAR9Dat5nVpLHu6qfR
hhSzpFvc1TKhH4zpd35Qwtw3c8o/d8faWyJ81b+d4skErm4E7gfN8JTNm3tBTLDT1k1gDaB4NtRX
3EdNEXVlcNVDcmmc+ko39lW6dIeOkVG6Yd/N5Wkte85o7W0wWBE83bjX4a7J7H2bbncc2wFhThhs
cpYPbTG35H48IlYhPPcMZtSZ+YvkJM7psTLSR8jLLA7WESNnwnn5eq47/I7r/WggvyKwPrPAhWRk
BbkcdjHm7ECUcZu21YIsMnnrg93MNvio3t5ZTf4gZ8RIHbRguGwwSOVT1VT7oR4Og1ECXGpM6+ia
tXNbE4j+Nixn24htz+JBDGy2uVHR2grB4UVa2RDuKlG9+L6fo82Tyy9xBDBn8NYx1iyme4auzd4N
a2NHRy+iWuYDJhnDH6uVzUED+2JeLa5bJ/vdeywp4MqRcXMuwJrb4Slc5q8Ujt1NmptE6afBPlWg
dO+8pWsT6dtD3NrdeQkg1i35SBePi3MjLJ0zyyI0vllaUdGrGUmxT0SXH7M+vOv8YY2nccqTygg6
ZilZv+tSX+6YnvEmj/o73bobUSwnP6imr621k6EL7yB5WccUrAYvU/fkmik38kbFHF4+x9IDNIhZ
JXJrr4K+Y8esoXsO13tqNW/FYm43tQ/Ur6znB82+CJjSxhvBYlIv2VsJAjVZtH+eVnXOUvVgZva1
nC0WSV0fg8kmJzGYDRC8jn4OitaPIxiVG9mu/ufshO65DmV7SMdUMTcMl2JvX+SFeZzERw4JrPdY
xJVdZNPOb0KOQhrllbufde3hqtm5sqje88k0PmYIm+wkdRFNXKmitAudPwU/Ep301mmUU7tjDZzh
r4gMgcT5lWqMeRmR1J07m7gZJ79uDzOgZrFkuP789GmuQ2CUJasfU1eHCYRmbNMNKiOs2jX3ngXo
nAkBxGc2pqLf3lKSfTETrjvYs1BiXWanm2INtEnTDva1Bmd2rkF86tn4EEWxDyjRQ4BU+3yRNUYP
+8GF0HPblPZ1MzE9aSxhHIxyY6WwjB+Sus5Nts2PUO8eAXUQge4F39/+aqy9PeiGZMnD6qfEiI9p
0fCS1AbEQbD3UOqwO1YaTmbOMZVqh9XjUDeG0Yih9EUVBO2qmoNYv0KSGIX9EYjmB56itZdNGRzX
vr/y/D6M50a+URvlxpkGbcMwGCN42gz7S365gOPCbXMf4L6+6dOlPpMREIm/zc9YV3XkNc4nyPIl
Ymy3nSoubAlUidjQ4jFXwV1ZAvqSqRTrNRAEda98f9hXYy52nIgZGaaGd6iCqvvOLCS2WMBaehGw
o+bYG9Ls01UESkBNoakWWQP/iADDdbcs40PHJxYBX5ZmbCzmK+j0MHIDgkHlRk30amj+eZrlZhxF
FdL0bWRORdDMhVwMI4eWEJ6pGdUS4tW5RoKCVNUQb1hzCY60bDv7AaW4/uUYGX+htQW40qvhBvda
DzR3SW8zD+L02NebfWxauc1xX3vtjUIL/WUuVBGhB4oTeJKJ3QhkD/oCXzQrdck/GjQ2MjxnTMI4
8cY3KvvQMLbec/D2zyAD3stmhI5uiU0clHbElRKZ865WyYGnriH6ja7cL0WjdkFe3G85kzyU0a8F
wvqxKpelvc/G0ewTNx8C/SqWAL9vP1IYVYHTmc/bMKjlYOqyux1wOl9NQhjI+2JZTZydqmsJq0D5
28T34m7qaISISTdiFOikePweU6do5mNY1HSrOtDOX1AFeGHcsRWfOpT5a22nG8yxenFp786NGZFf
j4gxfpYN37aBqTECL8vDX4WV1ztmoqUNs6IpQCt0XdtesVYPgG2srDASo2AMwbTkwlNfAwe34aZH
9OTIXMm7HwbPKc09Fh/pIkZ4MnxrF6T2xzofeCT5MizG46JKRrSkhZxKEU6yiomX3fPkbsmU4Z+3
qeit94raXufYQz4yYpCjvpvgdFS/lqUPYKw1DQVTlS6znALybbPutbONLK7bqlqAOiv3s0huXjnt
tkvLAS9shp6UVq775dA2/ywtiAgn+HRaP0ndoJhy0WSb9qVXzddk3GQWhf4KP5BtdtCfYJwwJrEz
OsUDYYemP9u54XanbbCD4YgZVxCd18VyrnTVT1czhec7e2j4vWyBn3pYZYOqNwJCbQnG2mVX/Flb
nZ3sUVRfNeptgh6mH+BMuadgbT0SFQGa2bQVe56PEZc+UHY4UPkSGV1IceRi5PeLpevnIoNBQu6A
r+UpcGlEr/INyJ2hzARG70tbG3d2A9m1ouQhtZV/lIzm7FJ1d2wbUEBabrNNPryXddDvvEnC12r4
9lThtPeVkI8TzYFd7HThbTXr5r3rgs9UqeDoePq1XYjcNJSdJpPTiXsrlfkT4LanGjpyNPTNyzbl
HViSMa5SeYYEG8blNN/jc0nwX4i9XRtXgt5Xflz7WVkC8HvfRELVr7PX93taI6rdFkoRm53zsHb2
x9CEZ24JaUyUz4yMvjtY1fhn7Lzd0q2v8xzezmv5lk5gNTAtL8TL3PKVR/1BA9F9DukuMQz5WZNb
HauT246/S7M7Nt56jdfdPepSfXglD4AgI/Wi4Fb8S+sD3uxenkrZXybZxqvVmo9Smftci7spHARz
s/achvMfMwTY3oMcubUM9YSiiZptNvckoB6rTd4IaS2x0hQtMfq8WVJ1dammwxBHGM8cf0ILYURW
5ypd1mvbhnKNEfKKOAuuG4uDsdQPW1e/r2Hwi9v5DAUvPXnShgDscUPiNfTM/nDZBGFsNvIHwmoE
OOq+DtjKbHuHf2PP4qvj2fR+gca6yqcaQh2QeGZZzt5Iy8PGdSOrg69x5fNw11Ng2R8k0KOWMNrH
mtO1kM7Fidqljzoof5Metq6E2f5C/zghvEYZi2TSrBmBn655XTLL3E2OPkym/2mkeZ0gP+fR4BXz
XpvzZdbfMZ8Al5eNt37vaKRFa/sc4WJERVvyc0NHm9vJOU2QUiJpevHkbXbSKX5k6zLdUe2HMG14
YlxcoyC48EmNfTfmZmSzoMeWKK+W2rwO6M2GBVBGtNMFbQRUjimR/Tj75UtbuQ+q1AfpYnItmDzH
lGA8bCST/LA4Yas8BhtzA/49VTA+Jpf66R9VMEDve789ML58Mjm6w4i7LavldZFz+lJPQDIpYPbp
RrCB+9imTvoxOOfaPHW9cSi24ehv3nEYZH1RvyMiPTvm5O3BtOYrPabHIV3PwTRyt69eagtOU1Dv
hJOd2rB9suBQItnUZzEUidBOcR2a4jz24mCiytrKeEmJLcfY0f4s9OHssJ/YB9MZz+na7jIrfLTX
VB3zlRecfV5CZnV2EpghRkwZ1+twH2xGAHxF3qGjgKtR0MuL75SD4cYWnQRg3W8L25muzVkLpvfd
x0De6SrsLQqVLR+sEitGqVsBeGydE8wi4T1DKQiWZYuObCr6IWT3uizCjh1iVFExL1VCgWXzgN4M
hdLqr4qB7XcYcQwxGrxjlv3kKQl2lnyup26CIn12K3cPvD98nLIc3cKoAMwB2V2EROcIAanYkCxH
57z1zplUBbO8audUo3FE4DEv3Z47y3Gfxo3vrUMlp6CLQRryapM0lOOLaA7IHg+pPZ0Rt7iFo1Ae
N8ZoS2oga+uj2zbtQZr+3pqbNBo79wvE5bsywrNfwSpeA16UgrmhU7W3dgkpxgwhBrNcVWrE5eCf
/cuwowk51PQneN6UptRHZzGNG2O4HTp53cyXNomVO91lpIlnG/BPCPs6/W5hjpo9QYB+CThNjEmZ
MtkZsj4JZfamOkj7mzootmzaEGIQV/es1xHDo2R2y8QfOcc3vm3cWG71mKbhviarsY6Pde+fBhm8
mNaW6K15tPjAnXA4TRa3tZYzuuBIalV77ItTZG7EWailCZl6k/Bo9TbvuYJ3nCHkZ5Bvu2zNnoeZ
q3hRl95ekAOMXMqUYmXKo+6sP21jHDex/eAHiHEgFbi9PdAfZnr5Cy6WskU/F76+yQQ/upKcoGvv
MYctEAVlsFMtw0Zm2xIcj/zWsmWqP//CCHRTz+l+FMSp6u1t6OsPWiNiF/M1O5GHMAOBeDLm+yCz
d/DHr9ZW3pCV2/mwNfvOeV1IK0SQYN/KprrTYoidSV210rktSsO/IbvcRm6KiDGAL4/8lMDJ6n6A
yL/DNHzbruA+BUlkVvx6jIdRnDhIvPbwZ03aqRi9fqCnnRavOaRTUUdVmtmnNMXYHirGXBcqo2Vw
JQTZ+pKlXTI2GWN1/jeRVy035QZAGJPAU2ASc6qoN6FCYq9mtUZEjeBK2u55dFuxF1Zm44RqPilJ
oT9Aq2haYJ6dBEg7VkXnw1kuUaE+m/e1g8TdFlwFQS0P575x+FhycuPIe18TjyABOO4fZk8dOQ9+
VISRYpEPO3wUacKRtI+1Ch+asn5p0ymc30OuURxlC2fF8IApDEMO3irKglIvWZhb8jCPQZMZtfnU
KEJtDEExmK2TEfvFwExwuszD9zhnLDCmPUPk/WyI9FHlAYVGBTPb7sopmZceauaVL/A/GA64KeiA
nTN74rnpYb7HhUNMkQmk6/9swtdsnayw0LH4Znx3fgrgvqpG9wfugf/YbXp+lGYASg3g4MJ7zukJ
SkaADQJo0wX2tvWw63ZeNvQfNEHQBtoPq9Fxkwpadrpmrm4Lr2e2EGrrhZNz6MRYri7ouzVf3xe/
X7k4ZqlR7/1mglhb5qwT/IxB8WItl2GmSrG+RNgdfS/OlnZLj5WUPMZwKVu+EeCrBnlo881XpzLs
yIjx2O1lN1VqQtBvA3DPa9f8skpnfJiZFt6Jpcqophacef/pY/3fodt/XKod/z9Dtz9t8d/pHvzn
/5y42X8RlMRISdIwIE8dXLLG/7SqmwzVCHww7QoZxSFnX9JPf4/chPWXjbDDnI6YDRC/SwL0b6s6
dA8bk3AYOF5AzotA1/9k4Gb/GwqClJKPEZ3sh4uR/uJb/7d5GwU2cOXguaHLu0tx0Dhe4fQJW4p2
v62Wt1d0EshYA6flyyhmIuk7Db33z2xs7HsVWf7fTiMQ23OWGi4N9IpNsbuk3NoUfPwUa27Z1snc
SjYbuUnL3Q00P9Cp0YhLzqMNxPO4uN5tbg+8lxWgsppbeSCZLCwDB715mhCoKobrDqca3DWxOfO/
PG60YAFbZQnBs+fWc3fVuV2xMJEaMviGqrAoipEGW0c/llXDIR3beuwbecAu45v5m5VnMKVU2HjB
WRHeC6OelYAtCpMIxtVe7xfRY5BeeI2w1C7OesXdU1NDZ3n0+AjGjT+Q4cvHidmFt+N/4ah4khYm
0UzQRrGXtiOfnRaKbSSdIX1Jc1Ug1GCSEJGsXWfgfDqoJ+IK0BvXbFzryCHug9uk7+bPQgLQi5ip
DfZuMc0W6Py21WyYjhI/HIsGushpasNrsJW1POR0DHW7hTgynrZpWoK7hpJAJxZuGrDEpG457UEc
yq+wsnx8GJWyVvaptawZ/E/96yjtpjsskzAJBjg6o+9p090ttqAyiEHC5i4qsTYgwM44/GK/XtN1
Z4G+tA4WHeAIhYYjfJal1P+Fy2W+KUpr+qPN1qqv3KGU4x3CVonuag31xGNw6/UUSu2Px0k3yHYw
czmu4nbErIB7AsR7OeX+mmBwtb1DG0zpz5oai3VY+ETf0WRGl+N43vzqXBfzOTJaSelbb1Jq8jIv
igpEhXxcHEbKdLIYXOFY7atC0S7TaFb8aHR0c+8ufoqRqgvLD77sCq9Whf8W46CeqVFTo/2rW3v/
E8C4cMHm2/KeKKPGUzd6LrJOSPL8IoSzD0vUsCZpCu1dB9rt68RUGnNabVXQutOADgMGPvSAxcr4
x8RiAhN4507uyHAtq5/MLDWfqJop4ciPOqfdY56eJm134R4feoZno6k4g9TLEnyXWjlv0GZpn7Mg
PsLm6tf8yxSTcYtPC2hryBSJlkStFysOtWjf9WbZ7zi10LdqaQTmjdEv9nEURfrDbDu/cvSl/0eu
1uPoBtbnSEc0Z8u2Tb8I3tk/BZ6VD2vS8qyKwXlJU6/9MKmwkUcbCq7gtcFpvu9csA67IWyXs+kp
gwEP+jledMfM1iAZtU+ljcMLOTMK6YoPXHursUcARAcrBosJXoA7lAy01tiEjLkhAeeDE8XhpugV
iwIj2JjoeXLSsaBP5z/ZO5Pc2JE0W2+lkJM3YoBG0thMnd7IXc1V302IK12Jxp400titq3bwNvY+
j8jKikigCsjhAzJGGRlqXO4kzez853wHc2bEWAQaPaZ3V7oBmEtR3maQ0cftxLBXbXGTqY8GtNir
G2bDE1vA9AEma1ZtO6VxPybhYr783z/rQXT9TQoJ7paPt+baEcOxUq3+0Lkc6HOcPf1h5R1/1Llq
g5F9747EaCbLwkPfB/ILA+mA5Vw33OGqZcy3KcZMvAMoHi4HtsoFFkmPbRw8ryTgBacBiFYhiyye
2C8/ZvbAfMmnxCe5qmet8E9xDo+2Is99TRMA3QwbzxoGGnSG2a3WPb4BXWJfp9UpZZcVEBMBPOqi
TzfFj94+1zUEJeLjfmL8+2F75KmAg7e9h6MdSRTEXlpdU7Xp+VfM0dixeq1mvO7XIr+n568hC7GI
sT34jbLM0SWah9jftMLd5UvndHlsShDLO6LPf6SDQ7oOHQbaSSr8p0q0DXa2EVBZ9xRinLC30IjU
0crOomTXj5E6tFkYqkOVLFq8tJYjlk9UC+fN7bTd7pySx9tF5HnNbdS0iMlFSFQADrPF4K0gkvBD
tbgqQZqO9GUkEyZBNGanA/YajcNPan4AoqyyI6WSTAnlZCzgyuYIXbRPGd6Y9xTgz7NTon1wqXOz
JA4a+0QV4A1rboZcyQhFXAGUl39g3P69R/rbOZj7v+yRjDb1r+zPeb7zN/x9l2SzTWJLE52dROC1
zq6fP3ZJTvSbzb4EboIkQu8TxvrHJslik8T/x38WZEbPwLI/Bfq830gFYuYJHbKtni2Jw/8LNDOC
/P9kSwoDXhi2JCRDfpv4Z8hYrk2GQ7h9Xkjf3yFb76oIWYqoj33C4IpYUnonRTcI6Dxq0aY3NzxU
zRC7zrwnXrvz5cPoPuCvwNdRbFnoI04BC3kavoGRbWjdD+tDu8x7W1enprrsBhplzGg2/pyKFzc9
uc69sH6Wg3/hDAmisT9sjRmt50b8akexRarrnIs6cGPZf1gdFZlrVRxr7QG1EbqLm9we9hjvMKoM
uyDMiXAnW9AjX4mGMyumTWiA3RThua3JJBSHaSS9Lv2Rl27EPW6OJbO/CJy/n9/Mob6X633mQrFt
fZ6oGADScTrBPDp5IYZwHolyZFgqIB8A5h22nWEEZJNOYUhlM+AfD4nuLqzBHLRDg0pfHhRtuR1g
5GR8H4NRE3/pVyy/Zw9P+qsBoF0P+TXztoaJfK2PbsIDi3scGyHOihURph95/b3Z5UrGBJi3akI0
hPKkLGs/nQfd8NJtZ9lNwzcOW1p2v41ydxT6HBr9FEa/FK4Sgj6semt0j0p+w4LAoJME0AGYY5wX
8ICk/7TOvn9B2w4tnHZIZYDkXanlRnoUXRr1pfoJJYaBi5x4ZAX5MyGjfYcSSPLyIiSsuKEcixyH
E3TXdsZKkeXpyaquHO8nw/VX32fTzGzxjUwYic0tksIUNcwnC8Ln7cBGQjgfiVlpubIzc+m7HhVr
a7Nxa/lswEBx0mVezIcs8VpIeiNSaT92k78N0uRZsAkXmXR2Sr74TCGbfrqpDJvijRf0p0Wut9Gw
qkMWXtYNA1QrOlLyjCuNINHszSJjx+peu6O3Y2a89yaPbfG841Rw2VBIl+bmq0uoXaM7+TT79c5u
2qPLRcpC+01DCAS36uBFVYywsYckej63op5YDMCAzRlqR8Jrv8xRaVjWW4TRhJaTuGCeZBGGrbwA
6LedHsSIEXyBRlGHF4Gxd3zKcW61ZFChK2iaJSjxnMJ8uxZ3hm09Z/ZlM2NfDsPlYLUhil72Iwny
XVCM+2oUdw6zWTt88M4NnHpyYhwIWwv5EGKMTZ4FUy2WkQ4F1DplIxUE7ra0sn3df/bNI6Y5ZT8n
zDAcbz5C7ds1XhLdiqivjxzg0FtWUlfWZUvXuKEZujbv5/SNX98ZDMyOIsdBrw9lqi2jFwqna7Vc
zPZ0b2aKXtaGZgwRS7zYrkfFlVXDuA7t+4kik8w6CdwdeSmZPYxbtjP93p5v6L/iK1DRuJX6fN4F
07e1vmT2q8N2pWyT7m6qCvhniroDM+0di33GcZD3BSWpMQRFsx/MnciR7uxq7wyn2ZseTEdnY39H
J94mG/Ww9fOaErbqIlMLnr4fzpjuMuYsBr8RFhdMxuQSMfSqyaejbyYolbU7jScoyX16cTVpR/oM
ijdfOd9Jiq7nqY0ZH+cEH6TkbgjXmqvqA052HIC2a6kY0ZhtlvljIOWDY3oHXCrbSEH1sELidp4q
TCIdt3mLEWrp2FmuX4n1XdMmPuL8auX96GN9y+/ynDjjeDPKLLpcXfHKEs+lXcejSD/EUtBt0D81
NO5iA7F36JBXFdRB7AE4RYlfqIq0kTqF3nSrdYFuS4KBpq6NRQcb6jg1sZ5HqnIi++TaMwXsPABX
0JfsK4azlFbcDSudXD8jRE7oPDSy1PtG2DuuO3Rdm9lCRyEO/TmCMoyOUtSgGr/p2DmtoXW1zg82
kMHhYBsvvPPc9rGHWq9S/XYeN6jUuigETr+mqv1jiQeN/GsarVeh0Gf0j7rRMhtuKCPrCH5l5Ucv
1a1Fu/YGZvQtFo73kbsWrevOZnxA5sp+61lrNGafd9w2OTytSFylRb/rRtJ7LjX2RJk6BG31o6rk
nYMtvAZqsfCHZZc6L250Ui3vUW7HNsOBpOqvpxXsHiGHfYvH8KZp2pH+zik/FbRzdyCeLjpPmB2c
0WKzpv19VykRE3TgvbOD8thNcGMwY4zyym3V/OLrrD9gqNNPbi1ilwkz/F2r/xqnyHkRdl9c6Bnr
z+j3RMsbp3jVNZZCckinRGJySOuESt7S2419nxz6qTIb/sA9ZdwXcK0+q1akl1av0yPqS0tGNMqY
OxpzKsfAPCUyHLZIaETScWfGTSYRQCnC26gxJBZbbzLF2Bxb7zOyaywFi38UTHc4e7kj1XU3i6fE
SnaRtLF9NGlQb0LxHC28d9q770nEHZA0b0faFo7l6myxjrywa004+OPm3dMXmabtN05ggheNXX8I
kIOnFMP9ugl9+Fh9EuEp48Kic7YhB7kJlXhyZMK42VwunrqYo/WFph+GefNnNmDw5y/w9uC040X6
Rxx3R3qTsy0V0TzyDKekOtsBWSpiV1pD7A9ltk+V2TImfbHr6bWRzkvrtDu65rCw1SNVJN1t1eq9
1fQvOpgOSmu19YkVbR1hh/u07i6alPAYlmTW/j5Yz8sLR3aier7sJhV7lnVRoXyrnDRURjHrxWrT
d7uay2H2w28QxfqybMHA2M1QP7eJFe6XJZm3nezdHeffHhscjUasq0PmDgfP74e7wXLbLQ023g9c
U8mKBqDObZBDYh7PJTY7j3jiu+91SvKU1frcXu4tFJXRo07kBikKubzc4IRsj20WTFvZLnR8mta5
rROPDVGW99f1VAQH7S3eXagLkstkIcxz0vqeOvqD195hVqcOt3dzFv9ldLML0IKMuyd6VdeO1LNT
pkHJIxR4JCeVJOfUwgD/FFgoV3wSU1SeKRDVqei4jxjEW8Eld3X/o4jC4M1bLNSPnsIcdDi6Cbqg
l++1regcpwE6w3Ye4gmiqve14WLYjQaXyZZKKZHuTdQiZmjW1xOJ+vLKMx6HrLwYjjwT5Q4VaNkX
q3KrzYCzF9VuOVRWsV4ObpreORMLxyCW+toayI0U3qeOHguauiTbi2dTF8tx8CYG9AUWr0b57pU7
J9OD1av5zePV3/iKBWnKE3cb5VGwC/vev2vWJbyO+rm546Ukx+zcwFEm47YCjMbEl6q9RUQI3Xj2
ZWXwgvIC1k+DQ/FQiuDYJiSyoipMblmMmX4otwewAftQTfYlZHDrxoim/iBAWj+roGmuJL1x3HoE
qQ3Nw8esXpeU8XFL7Bo/P3Zi9cTZmqJFYPt0PWwx6e8Kq6xwmQX0nMmwO6HM6a0li6e01C+LsJJD
lKQ+t6QF1k3vepmLd5LGzYmQVbbTtVwerbVoflZOJJ8R85Jd0xTTRW+zUy6FosuJCqy9s4T+U1BH
dMVPjXMR+Ymge2yyCj4u9lZLaKk9XZd3NILQAYw6dk3Ey1w27pjfe6X/yUzlpOvhZRozJiN3K35+
lT52Dc1UdjIW1ySIjlOeNWzhRHCRyOmYpIn6MSS0qHsTs7UwoXAAPfQcTFBX3uw9Ij9QJ2R311Yy
cQBKwuwsLjL5z7KvDm9iXGeA61zy9043P2jK07zzhoS94QVpIvrFSI5dgaCN1zL7TDN8JW3uvwoT
POejLWNNCGjM5S0lgj1lU9S9Ft8ln+V2KTP83P1wa+esxPQm0pacWcUuJ2ooLeelljNb2zzNLwfV
xamDzSgdaYwP05jH4CWzJjwW7nTnS/ulHofbgQzAaegNpwPsu6monUPUEa4bvbfmfG5xOKSkQXES
Tqc3GQZ635+K69Fnmsp4nQNT5FGFoWhvI3xyQv3BFFyEbIo1/ccN3VSbajZyT+T7Oc1mfV1lHpbH
QUX5bRD17Xbluv3Kpeq2rkqSo8ZVtptwI2D3WGqsPLLpjiyyYPI0jpE9N31/XZTG3BRZlh9QS+lR
rLqm4M6ozlO+rt6mOjA9iJVzsqpLGeuhao1490exq4aMbAA4GedqWYfG4T3p9a9xmhHiyraxtxXX
93bSjfroh45321UnnId9fzWMuDdX3LSGELm+aC2dQAYobJld+j06+3ohiVyTaluLXWfh/F7EV46/
RJsuwGBEFwoC3BuH4rOtYv4J7gdjCamX4+86wr8Vlb+J/z3rFf/f/xy+/uPX/zmOTaa//qys/P6N
f0grqCQeVZxwj3xhCzeIXNJgf2grVvibz66OEVREupRE9TnY9V8TKMZTZygYdFwHgrt/Lsb4+wQK
jhJ0AXQXgfnO9gNknH9BWmHO9FdpBWyklA5TMvZxxL8ceZZe/sTYQWKYkxInp6GZauAwQLNWFnOs
9Q073cDGHr+04EvefDuvs3eTVYVz36fGWfTRTjuBn2iK0iEPf80Me5Jkrygtan5hLYgMYQCwCq9r
ohkBRKprrasMdfWhG3RALCWJ6lvA1+EHU53yw64T9RKqICmxyXlhdDR0O5UblHgAcGco+8L1DDAi
Guj+2fCSCSL3jDxo3CooiL0CYzLh/K+FeRzNChO86oSR23WqZm8DpK+4I96gj20aul8kN8Zlp7Tw
GN/4gSh+0OCau4+NsETx6mDcMTdpE4kL3BnVu2Rj5WMiGaJKU9A3Ld+KEqc7t1yZVvHsV+9eZ4Fv
R2kfr0JrSijliuiN2SR0PE3pplC+HK+wO8tuK0CI2AzbM7neLXjA5WboU0BvwRAa8exg5GtZ7PAe
ng+NDmugaIIq3LOLcw2kiXR6MVnuFZcUr3vtzoZz9Vx2AdYMIncFNpaWVAplQwBxjkhQkzrKAN36
2g2tbviggi8PXmF+0+jVkiBtYwwbyt/KxnAs7SiiiDYA/gkCuWga656petHHonWRBVjnUjoUKzus
t8T4ul8ESxETjFu2nNYwncUrhtubyO8LEACli8RmCXd4JEJUsZifxZ24HexmvaHRenkMvJloXDLP
tvcZOHPqnRl/2GAiqEXpJREk7cckf9dia3TOeClwOHIeyMqdjykePcqbYDA577kU/GB7UOYHH/pU
wfe0UfKLmXEWhjSDAbZmYOXvcmHqNxrD4SkFmMyoJukdTDq9XUTPTFpYtIRgNZg4vMErsWiSwwht
Qij4Dp/ZRpOWKQ6O4KKIpWKItPEDK/yFKZ6LDhlMB+yPlKHg0DMBQV+Fc/jSw12U7r1gjW6TdFp/
tvNEiSAWXAaQUCNxGjXZORCMB2p+Dy1nvoctEfzs25kq09BPYe3TEZ6k+8nYHBnBkRUyHpkx/cxF
xETLNyp6zroBg2fozHiAvJSf0bUjljCrqu+Y+VBAGjV98ZWTFO+2cDCzj5Rw8AMN2Eh006jni3Ls
LaTBPsq5fc4zjD4L0vWCd6f9nnJd85fBIn6ir7V65iuD29bOtNoF7GQfCpW5V1WU1xMXiKuI7uc1
6bm+AwDEgZq1C0JzNL7lro9msQrd4rOZKF3dTJSVfGO3bO5r99y4QKMD6AFi3niJlmIaXtLF5zgl
e/re96UoSj6PpStvLLrIGxSdof+kwdX+Ufa4tbZL51HXRkjFv5nmHOuM7qjsJhHX1x6OIj3ECaO6
nxVgbGunc6PRubwhv2TsAIjNmnuSQvSicHxckcgTiovz5eQH9fJmT/3w4VJFgMQojHezesOoKZ9e
obfahZLTZgQc84T80gJ4khTXHnFsD1cFSIuPMqJwfTObICCrZDfVHb/Uy2P44DBpZSPQcIhqvzgJ
thZ2QkN3yYjY/2iWjjOI6fg+sl1qee5NpOhPS9qHLipURzFEUD+loz3cB4nnXs5NVzrImgXJS/or
GT1VyrxiOA9JxaeYqE4UbXb9vup7+UYBaEAoDejLTFNsUt1BqLJm/uKKY5cLyynh2cAuE/BpS6rL
LhlrukEBEymqzEPlZvO0dVgRHwykkBCxc6gu+bsbvc1ozA5jfhXnJYjPVh6HOc2n15I05pvRYf3c
WRUnvKofJ3tLh6497Ubmh9NOMsy/ajH7FbFf8CyKU7/h1Oc29PJhBHXSD4sCS0ZwvQoC1ElLfxa6
yperwATMASKdl19zhYNiAxo1uanQPp4dInwg7YyZbkkF+QRhGl41odEGpNislPpkDo/laipGpDus
a7XhXNmJFhnEUEbtRG0Q7Nw6oc6tTzRBzQm8HtEgp/h2Wt+8ucz6yYjJfi1iJl6AIZCw3EeP0LW/
GVSKHwwTg3NN6SQO9TJszjN1tgJPGDTde64URseAtN1fUcL+bufYtQLdVrqPFTok9kSP3F+ZLQV5
iD4h7VrM+I3yoks+8B5iRHZ6t3qbqKcODgJwYL5B2OSymjPfPNMcQcokXwPk6GHBQcpHXYSfQ6/q
A1r7mTyQ5JCn0qJoZ9KGnmxiVoUq3eWtxiPF/5Yc8cKgJduQ65HrqKcyvFksRoc0VDi3BJ4pwkw8
C7ud18nkR+1mVRP3HdAVPLMVh9bCsok31YUbwaDmkb6hxySdNhaIGXTSltVwltqs8cBTtI8nVOJs
m4TudNn6Q4Oauoaz5PdCPYv7CosVpsPSxv2FlRz43Fj6r0Gv9ak0ifwWCFO4oAXOs4vWS/hi10sa
LKnQ7rp9ZU/VuC38YZ0PYV0O4jCEAdwO03iKE1TUuk+C0fhXX6/5Iwmlc5F4BLKCc/dcTWwzHAR4
fiDIYjG4pHsFigGyFkF/RSYXukZVjdwM81JJ3qq6xCeCowfEnrHs5J0uD2fcgOWSPxPCUO25LrHk
+LIUzkfaItUwjZqQYnjPnbvE68R3HeT5vRiy4Eu39YyRDeTMt2omxIq8CUYS3uU6X7bC6O+gdc1n
aK8hwxPiYbdEeBwsiYFAAl3XXBNaJhjTb1Xfr1dp7xSfuCE4G49uLxFtgAoRbKXLc09EH4A/XID8
ZqC0CA6MCLl8xiQsPz1AL9POOP4w7RjGByxPQrU/+36aAe+5Q/RJt3JxNTCkeGbtC/JLrv9kIiq6
DtfQ44b2UAKRrC4jE3rMnYp6xg0Xrb8iDqWPYxtV2Tajl/WH69DAiJqle5BIumfQHcje+2qp5PU3
FC3OPwQenZk6HIq4ubTP3g9kcWhpSsAM3BgCcg9gEGVzMkq00aHh2HyZ2XYqtxIU/I9S698FqoZg
HygDcZPX3KPge3CMmopIzKbyxUrUcAxpaV/URNMe7r7hzUmc8FI3+fgEeGwC1xHU+JqrlexnzRXD
ZnQM2ltdsIEASqNrP+bfp8veOObN4klJGXSTTpcOO4uAvVYdsX5PgG5ikbFoHlIfAbWaFm4Ngy8A
nd/B7OMtS/NTR/xRqAmiPQLJcX8GiIj3aT0ngIoHD8hfb/fhQycX6l7VuURy08Ad9bmvACiBd2y9
/YThR17yWU9PCNPRd7T8fpCm2s/euTNq08HzDFp5nQTjO1YlAAFnKhFLQTI4p0CE01u6LOdeUrut
kTGW/EEOyE7QxjyAeG4JibQEE3BRWvYODFtgzlgE/2gPTvnltmn+aIrEsi8Kd7BeZvivL0nnRJxj
8bVSAyJwEbCiw4mwU5+A2VCu0yk1Hs6DxqTVJXaugP1kGlpfeeuzQ2i7kjhOEWoEkECVShHkzPRB
+QV6AaBqxXAQ/EvBIhuY+ypV8Ctqy0eXn0hG459OiN5guHUYjZnVpnHeT0AzkrPXe1d1g7+XfdNK
FBKnuNUOExa8d/UYAO8CPYaVKJsxIo8pqZ+qC1k5/vUz9f9vNGHn7JL8nw0IDzwy1H88mF8//2rV
PH/X310I8jdOyhgy8SHIM8rkv10I7m+c+PgHDoof+mc88D8Oyg6GTJ9eMCFcpjvS/2+rJt/EaopV
k4N3aPu+9y81qv0VjBK4buT4ArMmgwfH9TjJ//WYnKpQzYEu35ATbcINZ4P6XJanpl4G5jwJc1wA
2t4f18Ffevf+zIrFRfGX0/n511K27KARe3YoMKz+Ew6bR6ZHb8v43OiGAm9TEGs+NItMXj2AmhEz
ipFtPCCt8i6i8Geg/sUEj06bs2f1IQboonEl81A7Ky8stHJxaIFPOs+znwfMB9GRfo3Zkp0Cnxti
7+YePyIXXS53zN7ndN8a47SHPnT96xRDxGsy0MPADHjRkhLS1cV2iSr9AwgBGXEn92V/nhizjU5K
ths1n3Zx7To2xfYZuMkmrjSvBRqrhUhA7QCh4PJ7yOw+eQtM4hbdJs8cmz4g3Eozo42uWNnu7+qa
tuPjykfclwS/tOW/ku01HNnSCDzjRs9KE51oQVJGn1GDPrptIFfVd07W2B/TJPK3RmVtfZixlMn7
MGvca48DUPrMf5rZGhI6Xy3ODBkoNPKgM1hBkcsHRuvzs8WZUQE+6VemB2BaWoh0nmbGhRMusNm2
V5BsDqTz5vu21EkIk6oPiSgHNmsuWWzmawxCtkG0ouim0yyzg5kt0kAZre64NGfWdMPxvt2Q4qAE
1e4b/wcbwqnai1W34mJOLYXLrbHgRQrwhbAHAg6s52dRYUCbQueCJ5aFg3pU9Jw6emrZEk/Ees/x
ABiI1eq/U5oN5AKWhzVSlmagnAXQGAkwRaYyWwF4EsecNZdsBshnEi3kiO9uHKooXhUpwreBXAo7
iUXgJeSAVNRYQliJd7ZltCKi6wLgGkBTsbehO9m+tIfSZuox4ffSo/+WEBGwmAryvh2auhlcipfY
LIB4KRXrOuOT7mLmZxyj1EsvQYfxu1WQf5lpqr4quL4ByoCCLEdDnfrqbcTibQpFgQwRdFSkoBnP
WNM6FxSMpV3cVmixDKg5f8ZSVyAUHWpSrvRcDMtm8ShV39BtRZ7AzZIM4PCMU7NzE/0KUVHCQu6n
9lfap8zqSH20pxoSyJPXOl23H1fkOphhUjJHplUiOE41c6QK0vMQz4ubHAJWNlq76H5j5EvkKQWF
mFTe1jOpvMcy2f8iuJ/dEzogMQhWSN9k7FaePXsk6AJpdbqydM7dROhB39Mswyiz5DwMJxll+TAO
bbHPAShMgFVgFAsN3DmeweFegQVek62z1iXLmdtwhAiDM983Wvl9myhxz9QIyOlMsJxsLODL6abY
sCVAh6imEeSncuFF70GPMhEESawfSf+0d3kBKG1DBfHKCLUa32bJgKthm/PiRgkSyuzk5hZTQPaA
Tae+WStrTbeLnqLvcW0iTkzzHLgnQCHE0UO2U68eg1x7M5V+cCPYODzCkOUm9schOo9OlueCnuOf
HiZF7IwJxeJx2VCdx8y3PKfB7XJhulQ5C/lSqwfja1H1AqpX5Ax95t4r4t6BeMN5Wy1VHIlRObsk
l4W9L0yI9YXoEeBzCg0kA95dZ2OS+CYeMD0UIE70V+aCamP+wL41QlHHQxY2zrB1ZUU2qSUNdj4x
po6z0YbLneIycA5E4vqK+aXymB+s8JQ4RDJyl2Zf1Pyp14RTpPxVBdC3ThSQdT2crHZy9RaoBknS
nZ3OExEXRwPCQ1VADcvSfchBYYpDiUd73o+mt575kFHCVj2CbS98V/m7ti8D8lfN4OC5xX9LCC5o
Fiibe6sNeF8YXvWh/+GfmaAH36+yoNgnYC4nxlgELXkUOam0EEnVOvX5dcNsvd72oD+wNjejIIVY
O2D/YuNq0K3eDHPS4Ue77uDcFF6Ie3ZeRn+JDhTUcyDg3SAg1VItrxIky8a2we4ExXJBZHpuNBJw
43un8xLFtLxwcR1e0ClPMJhIUcQzTnV5buurgJHJdL30kVuCd8mZSz6mlaCEBb+BFuzblKmDQ8tk
PKjjpXSq8ZGRmnLesK5W8w7mjltsEVN08iKyqf9eZJc8T44vcQJZo/3VMM53jjVnUXTF0jZQrvJJ
HsYESfXA88V+5WmXfK/9pK6G3K6+8yIJj/kwdAPoWcurd30egpjNGxBvm7lNzDUOfC/HfuzODi7X
urnncKxe2jQdThY18D85goF6soKi+/AWdOQ4r8BTxGNHDm+XrC3HyzSf8nbrN6zjG2uU9sT4r7Wf
eHhoAl8OWQCeWMwfuXhJ1i6W6o86EPm0YxHCMDCOjJSJ2LruZS2UwGk+uyHHmKAOfnYz5YAbSYKX
e392GZPJqVk/+4S1n8MtTkbIRZX9ywVX8Whq289jl4UOpRVc6n06NyVoqMUhv+y4HNVizsb2p3a9
Zt1EbZk+RDpzPmbAkGxFIK8NrBPtbA8xUynNouuHNUQfNumM6xlL87RR+XwnOfA/r0U3DMRNywqi
bsYGGxkkWPRhblyIZpz/sJGX6Hnwt+t+JOEV8Mhq8gWDdon4z4Ou65B7B6GCJ6uS+MqiqvfbXWQV
YsCbNUBtH5ugLPdp2ORv7jJJGdMi4vyaua0lColRP1Of+wf4zxk9OqcIIjCFzjUJUZQ3DlRYgnI4
VPLgxpuLutgSwGzS2AkL5gqz5RJs5RGcoZ8jV11GakY+NDpjD8IDeTTMLLPWv0YeKFmFAKklG8fi
8cUWB/oXwfzz79bkwv1jTl3ESzG5KK6SOES2XXXoO3hQPUHUc66a7iJMCUtsnKjgiQ6sixjjWjiq
Pacvgd1TLtgthzXjwUTnL/sfoJ7k/r2eOMaxn8iq70hIBeYAV/esu9BESuytDvxTZmfdBSkp2Pcj
xcH2JksMMeA05ImrsZOBgM8TrPF8cUTi1RJA5ZaEDK9vKa7UUQIEvEhhC/ZQ7eb8ZZpAvsWRk1Xj
Zmbs8MsMViAI9KxjvQH0sSzQY0swqR3TmdtcjOEdcQmoI6vNbCKaJc+PtKPWDnORvOldVb9HlZqu
6dng2Z2XxXrDpTm/kwtRzp7EJCo8mAsLH8UY/LBn3x425/PwF6LifDvRszrsZ+xvL/zlCO5hno6P
CLQ4zwhNSbyAnBhBgS6QBJugqVmiIvdLMlzi7vQSkcc5thmedqrCQFPn1nuYh/pzYa6Vx8BBOcvT
4Zu+otC1t0RG1TVhrOKFT8scW1xvBFtCplEbxxbtd50hy2wdRLRHjW2PkHU5ow/P5awnbKHBekjA
WIPSkFZE4L4J87eJsmzSJwaDyWEEbZRw/1uAiImhNuBYaO2p4qaraeCzrSF4KPNmoD9I+Ukds8VP
uUKLuXwJ2apIOMo8YjYqzcmTnbf6PMEyYFObzHZzavycOU/iFNI3qKvWTSUmi45zdNbM/tVk0vVe
UgvBQE6Q3wH2Fzn9Pmqy4pZQpfUtndQ6rSMbxs3Ui+C15oK/7cvcu4uGITyOQQUmNcwLGiOUSv2S
S4FJ97HDpoUBgbwtBDe9+lAmsRjfyGKICCKn7nvFswZeorJ8a2/X9BVsJVtwAirW4tX4MBj1HTmz
Fagm83npCYeu3leNOTtfs5X6O6/g4bAZkOrBzVoCnB7fyi60GyjQIuft63uREWOPM8BtETZlef7y
zrRZHLGhGw5GGHNbo19nO3YyXIM0/eofPYz0PkZcdvf5Smsa8HpZ/wgmEb1W7YBldYUsDOUdCf7Y
DFMO1Czt/WbfVcL6qgko442F5VRd5eT11Lbn92EeC8t8woXiK58wceLWO7phKty1ebX+oFEVrSvJ
MjZ5qz4n1oEj9PIq87WqEfK68DiR9rot0wWIBV3D2OP6wi/8uHAwPPGJyeiXSMrsteImeIINEjGL
Wfpz+i5YQhW3jAQ+0jCY37Kx5+2mUMT9CKlhAeXlOUMPh3C232mFZN/aOrhNeQJ4T9pheBbjrmvw
z/GC4qKBiBwXeZZ/FB5ur40zJtG9aFCBeMVt+Fh2Ail/0mVw8HAXYu1ZCRPHqrVHtiACxsm2d1bt
M4KtmQW6eUQVVtnanHuGzkLJZI9c7SLXMPOzeKzio7d6ClYzx7gXjuUOuGqtDiDQ5CrTxtyJwVMz
dT51FfP5MZXVDauh8iw7PfGw5/2NogU7PItxVO1sUtCvpgqXO/xRZbnjjirGHeZawZs8Aehh9mYx
+2GLmC/7vKR+J64rhC5obYqMeiAdsP4EeOCsB2IOQBlm6MMoTUDpyUDOrz1Hkb+XmP3bivG3AN3j
f9aW4vXrU2V/ge6ev+EPWUmEv6ElOV5EauT3Vqh/yErEfAHQ+nQL2R5Ny8hI/5CVpPjNlohQZIRD
KRF9cE38l/8i/E1ymrHxZ9Bo4Xn/j7Xz2I0caLPsExGgJwMY9CKTTG+V8htCUkk0Qe/Jp+/Df9Po
2Q0wS9WiqpRJRnzm3nMRTPw/6C9QcywjnP9B7jqMk2zGO1yuBv8O6/j/K2d8CqWrYFTO13C03Qdj
nivRNWJnC+Ml4ZneV5OoVtOSk0JVUazrzvkystK9xZnq+KkiEq92cZjJe1zFfjiCGijN5tTTCa+U
1jzPhZVfLFMcnYwEHDkOsONz5+J0kbpiyInAHKEY1d4qbMZjWje7kpAc1h9+YiUpy+NzHRZnJU/g
6hRnYWWfdqb+FEOwM9v6D6DGGS/eQS2dp0jvN53pR+lrJH6L8diL13ZWdwhgw+GQs+DT3BdZGZcm
UZftK4aQHInEtBUlClvD+hHlN/879ttn1WacHmizn8XZrcWJoeoSuAixDdVr2ueoI0ff7TZGELJ5
ZFhk4tufH3N61lnwsV0bYFn8JFJ9gbW7H8R8cTnkRlKdFPE8cHwiibkm9cfMxnwBCZQTXRWFShgd
qHXPk7mGgLNlD0sawdS9hlm55bMc6IBEfB6NC+r8SqV8cmHaNNavEirPOWP+NXvwVWreJiXwNKV5
rsMv1ukr+tcwfQSERKZ6stOqcQPBy8uxvg1wOChfkDSrZ1qPRWwL5U6Y1tmZ5Vax6h9E/AecjtGq
Hy1vGoeTow7XaAIUORFOFcffOAlH+VVAnFuhe6AZQu6gxJ6ub+OwvE+5thO9sjaUK8tuDsEha/e6
qSb3kH82CheXxMHoGXC/JhSUnTWty+GWtockKdEV9pupA3QPjhIBfFecegmuU7I6sgL2D5x4jnYL
cnjODsaMur6Fdv+owSxifpm2DQoSxuf8tOT+jkUIjwR2ZVgQQdUTIeHAqGeLvlHbWaxRgWzKQX1q
loSQWcp3Y1zmiSwlzVn709RfU2sd9if9eUpeScjZhj1xP062rvu3ko3VnqnImh7fUxNJ3zTpL00w
LoEf4NQxHE8O/PW9AHAMb+0I/S5Z97C17Ols2N0ftP9LI1K4rRbwnGKBf9BkfaCk9vpu8Bo3O8YA
Ksz8OEWPuhq8inlAZ31NXfpSh2IXJsFSmnmW2t+42spV4Z6atlu7hubb2KLy6F9Ey2Vq6Vurd48g
zvc6tzc6c2+aWlJVnlHdrohTujdOidomxe2l7AaDFrhQf0RqfUST9pPU72LeNUrpBSRboETam8Wr
UzsHrks3y6+15TwQ42SrkUVrpvIY2v3OlcE96LM/nEh8K+0Ur81BA4CLTHnWLcxLmDUdvf4RdXGI
/vNltBsk78gu+yWTx2S3FlUHd0o+SNLAQsFLohDo2wj1V9PZmsQuJNSUPZkIYpSs6CkUTLGgepIw
u5HP4COWv4+dwgbWmkt6FTXfaMP4IF7iQ1hy9sJKOmDECSlSZncPQRrTDosmD31tuIFofx0dUQBR
ql8m3qN65GxQ052K+SPPP2Z4hJb1LoN8VwUBA1njEbc/WkCpwrDSs/MlaCz61tzqgpN9pQ/kgEXQ
2mCNMBaLFYUjKDDna9pZ4xPn6OBpznTSFlQVmp9/g0pidJHOaI+OeupUD6y4pxi7I84qYW6r6QWR
9Xo29f5Whc57QFVJr2k+pEPpTG6cb7Y42t20rljzN48JcTkUM/2OJuValXI7MwjPUbUe3HToaHfK
eYdIBQWTptibOeLVZJKe+KRjf0q9ORZAiLoiuJL7SowuURuFOT1bmfpWMxCTSXJMHOuikUYTmMdO
CWev7OPfNlKe5iGA4SRsUnj0ZA282vWaKYl2lDumP4AJO9RmNnqZNd56eo4Ptrl9yhdP/tpk6UuH
1LWrnqKSeS5etom3yVSCUzDMlIBVNQIhDdGTmenJsYJqF7RoizhTc2wvlRnDfw/0hVTnuzEmP9VQ
+r1O+MFKZelOf0VaGTS6vdsK+6EwMvMcpvmc3+qZBjN4b7u82dj2GL/WbTlgio7KOw9I4jdtGJ+c
LIbvDDbVCxuz2NmEK69zoJA+3jkWuRyw/4mz4lYEGFFpYCPZc1dQfatJcT2li7ahoaw51n6Yt3Qr
LUEX1MWqfIQubUGNZsUPo7LYazMLUb34V7bhQ8MkYVRKscGu37BJOAUmyEC9Lju/5sS61Q4OBJu4
8PzCiASwQtT235FCuM+ckk28nxwirKhHLM5bPb+wSp69Ye6rK2FUnT/Zz7jyWPQmy2Bv6momEtAm
uP5C/dPMVaZfro52xsCNULbjNnU9PmSm7ia6nWmUct86uenbGFC9aJIf7RipTHsALDkieksRrEyq
cWIn3O3NyXnEEv8A9j7506o5flIFYxASBRc/k4XLKxlLeJMoqk045HwyqbZdwp4YGsSUBbb+nSUI
LU085xsEfuniPLlZptL7i7plDVaj9UmhaTdZtfxtRqfiMK2za57rXwaj362Fu2PVRBEwPPeZqLKr
pbrD2gBlcOpUCgXnlVwbQW7ahLSRpM61UkzfelJ2nBIAwF1rCNZsW6ZdRt21bUguw8B1nuB0zhRL
8x9zGc0TSq2uU7t+I7XtX2+Hd2lVeBfdjNNAT8/alLwYMfT0cDpHmXafFWeD/HHXWt2zDh1SM7lR
gvlndOQnPTbnBhJrPnZasK2Fz9h2O5g/m8A8jaMNmHipmaxD3FhbIZGLYlZKNPZRTKmGJjrMmYtZ
p+5AJLlcVNW5sORBjNk1FN06Ha5VY+3yXLkUZbkNWK8pPVoUHClrpl2+IhcMgVZe+OypIB4oKcWh
THPnowia/jj3UAUYsvL8RyrgQ2Lo4KtkA3qnjG3UWqLyANGsmsHeYWW6ZYw9buq8H702KhRj1Q7M
r/22gsmObFak+HObsmIb0jPbcZi1KnGBJc2qNXGoSsM5UiTb35IUozU2qeLY05JjeiVytSjn6M46
lZsx0ot0A7UFKOkcqFs7TMVGz0xu5761fGMBSjYzF1MuqvnY0489aSj1tx0zm10XSe3Uo7n4nOK5
eiIxBb8E2wWEdvEcPKqA5LuVMWUuzsvEMNd5NfZXizTGfVVa6g6EbPVWmzDczcFgWqD2cQ8yP893
pVpOzxDVtXMtLNzLJsCpTIsKCAdDexeq8mUxxKWaq5L24rYw8mFmUM9klapckiySG6jK8TNGTvIq
+NWhXKvOnQ04FIw+tPZ4YUrsXgunkxHoeg7QRKI+Njyb/d960IbswMiU28OpjGnD+WEYO6M0dmNq
h4dexO9604zmhlwK603DtgK+VWM84HTJTdjwo7j/GwN3ekQjSjMdvNg9odCmks98qegTwprxI8N6
5EpZoxxziTJmRnv2ZiTk7GVGkx4MA+bfOsvILQfm4XzNPYWxUqG+5XBquu0AD+s85kryXuP22Y+a
tRhKhwxtX56W/b85Lc3d2CtYJqP207JblQPRUJirdOZZh3gbC2trjbgQwjD2atvdVLXugaY+AEnJ
11Y8Zls+SUw8oXIOcqbb9fhqyiVUdrjoY8EeJ+rH8Uj53nhVT3BgMpEChozk0zBBo2n24nXJT7Gq
nUTEDTi56V7timd3yF6QZoOPZwnDymJlFs/cqweDrSyxte3iVE59K0w+lI4xpq0wloxBG1dok32i
0W7kGmIahdCISoG9Gecle9PgnOrFudSivWi+eAaLZSnHnNkOX+FwEE8QXJtK0SkA1WbP7CM6QBpg
VKozJWsV5O+kFb3Ng6r7Xa/z4Ts1Axn3W4yMyrolU8ue4viQTGb5rOtY37VxNp8x6rC/tBm52sR+
rM1E0zdFotVoasl6JNb4ScJKQ+KJ7LJN7UPmkMGKeHcTBGlxreoOyTyznxUJYMGKpKTSH0vlEMLW
10vxNGmf6M/XONvhBdTbQIVJ2WJcBoRu5gTA2smoYocvWZqQ9znJ9aKUZDzcbSxE5qtqASXmytbM
GmTfWv+vw2qFgHjBsKQkFacxj7pmqfhcihYszMrmF6YHGORRnbveG3uCAlVHdpAUYHpbpZId8zY8
uJp+CbESHnK1u5UR7unYsdwtzq92FTeAS5TaQxIG4C6xkfkFeTMS0pFlNCq1k2+4HZyz7C3qK1DI
Oys2jDe15khoIpuBoyYbe2NmqnVJW7iKWZNW18ggfUDT0tjDAuEuii1eAi3Q8WGHacI+PzV3roUv
R4nT/GUEsOCbbLtuqZ4m6zYynDcj7aatrdb1tmW9pmB6H8Vb5Ybzze7t/iWxp/TBvl3fqVbfbjpi
3GPCB4T1pltteo7IvjinuSIegICBdBUp4SeNC8hABWCwR7wBLx6l/nOY5tkXLNL2u6e+OLRzp8D6
ibRmg261fWFzhApe5skBYE36CW+LrXgP6XyLkKqfYLNk4oLstn1HAhI8JNPrJ62LuYh69M/zSg/i
7LkzJuNzxjopPRcRIdN6HZigIcpxxzgVZbSeO88w7/SNi0n5Iq1SPc5aTAsG6QLMTKY9Ap24SrS2
yhnz0rTPaqe6BBL2AeFBJUc9lhMskC1Kb+JS5pl1v0nX5lp1/tZK7knNYj3Qq7X5EHCv3kfhsIg3
oql56wSRZRtzHvVXBgjjvg4TVhqZLHzFwiqPYm0/hjFaXdHW+tOoYfSjj2WWrpOIwkfTczG7DfAP
N4a4nZjsf+08vAm9j/7g4CLLbwCew8EoSLPDYh8F25kFLOoBXdsAeKQzxBQ6HaUIuRMIAzw0IzEN
BBj4eYUHNhnyU8RTG4txj2ZtbTToUNloeBLrJQsK+zlT6hv3LKqMnuogQL6WdOZDzSJaGBl4KUaK
HVw2HBOVEkGWgCcusn4B1AdeBVd+3Y9J9jt1mMr7NNkT5NaDhBSR37HdhGPo+lLI9yLQ063uRJtB
mH5icGY7Mr4nVkOesDtQdsmPvEBcq0z6OzExF7S4qB8ZhT67JhFHqgXgo8/rjrpBh9Gez/0xHRYE
9d/MrIQkqhUxkG9dFOxFl/oDBnLUyD17LH0+MLLG450ahzGH5xHj3lll6QANPt300gHDRQNmlBkU
FuY5bn93HUm02Tz0O9KohTf1d3t+SZDRstldS+ZJrik9DCrPatwyHDCKwqNC3atOsbPwC2Mn0EIa
Pq086+Vvq19Jb1kP1jis0iS7MPVw1poEzBGNKlRIDDHEuuHPcdnuHeNqY+hVyjvE+q5Rw98E6h6Z
aL/lGMPMRJ7TjCiznaqhrMoCc6ehBEfsQj8lk/JKJ7Xno/ynLItWo4M8G7J5l+H4Zev2jUOOMx5N
O7/tv6mHyVG+B8o8rW3GJUnQE76AVoVh9tKUJb3LgSCtrT2r/PfxqnAxKa9t2PhIY+hJRXnsaozY
qrQ1sooWLIot/Bo5GLSNRducMSS0cDGoNY4T90REXJgkH6QEXdlo/qAgQg3UcWeiA59gAgauh6DB
3HLrLOaWXPo1SPENO1pJ4UC0SEaO9Q7LPAJHvWju4Qxfompcjhb81VrzDPT6FHRItaQsXuuw8kTp
fpkmCZctcq2tpmLZlDvRMZVoFSAdcj5jbllFmIGiRJzhrcETzVq5qxKSfkoyBnxAm4xbxPQdgITu
RGBfOLMHnySdoxkjQdeI7vBZ0hLoSnINcSYnDFcp7E8z+QpnDD4ruyre5mL804YW+vDSeKp1msDu
Ra4Aa1iEQNmn5CuNY/VkhvYJVUXO4EwDEp7b4jwOxniVTQ1StYBwGk3Hogz8Lu50biXrT7WBAKaO
ONs8ByvHYe9dFq/GQAykidMDc2XL0rckPYNo2xrMBOKYdgH6K0ycHkj9SP9cbPZt015qOW/tOLwv
UTqg4vTXiV7br2Zxwe3A54WwWGUk06BmYcOV9ZKnJXxBzZduRd7ZR1sPKNiJ9GpmknADntI6Gm8a
e/TnjPFi7BrKBvE1CmISxrdFUUFCRrW7TXLisqjj3Tuhbj/VEN702TzwP3nlTjwrpHlkDqQM1LW7
cNI5ChPuRmAheyuGnKqZ7EBLuCmWUtwqbEw78u1R5kiEJAFYQTtvK38y3aOg4qnycfrkstKo7WOf
iAv31EmECVDhE29QAVlDaCuvlAbkJDRHe3kv+gFHnjskdykIGWiC8Bf9jvR7e/6xrZhduBa6jxGx
D4VgcVcWZCXqv26D97u423LBvKUFcUMFG+VNI2f9UGI0OAF8Cq+FopP4rAkM2UPHTGZC0FNBoOHi
uiH/LQktsV+NTm6HCc6E7pTljYtnm1eqYC/tWtfWWiwGnMGOlVw1O3sgzuG8Mv715fyfW4lvJACP
wyMq1zgVpJcn1YvljHIXYklYTe1GNWkiEp00jerVsD9xJlvXEGDslUXxwhR29HtPukOqfinM4R5u
wY4J+1kFSxy/F50Xzi2YoWDO557gKjg0mCS6a5IbCk5Bua+DWT1b+NCAYLsf6J0oDOP6tWIkxph9
oSTlS8u0mA1Sgf2vmiJ+07E8JSqMb4HBAS1iJI8REKBcvfa6NR4SpUBiKdmaO72v9wqD0spX7QJy
ecQLkdhQpltCpSlUGMp21V6KYK9qynlAjw5CcVUC29bjF4pefd3X+q4imci3rNZPZhpixq5vWGOb
c9RE1srMHAsTSQfatOm3NWeuTFBTBaZbrXW6fSPb1S1DESj+YQNTEVCFVRUW0CSs8kHcmbvcxKIy
M4t+IauxIf4aZRa4EO7BpPyLFBbthST6EhENi5I5QafUYYdJSYo4qJLNBGBiyAVt9qOHZGxX+Wkk
KnsvO1AmU6ge+86uD1IO+4zwux3qIDJ7Se5ASAd0kp3FvBq6Rvt1QUxvB70jU5ePXcl4S4ymOhBC
0fraNPm9TnpTX38Lol0h2ZBDuIaZfRpcHvI4INAE590mc83eM4gTOyCh+OlSp3lOAvs3yi2vD81D
xwR5iHJl03fERGE8GNZdggp7lbeq5o0ya74r1/qSZSXWUvTGc+kOzzwGty6zY4/l/i/Vj34qRXsw
Bts6jpZyJGiYIL2QEbCYhpgoeQxA/UhEWYptVcNwGcHn3oelkSP2ooEsMuNMespNd7SrHYZvSjcx
cjCzLRrCZFsl+oGE13xVV9QCJE6c9GQ4mJk9rBVdwF+htF0x6YSwD4OdtDifUMeDbAZB/MY56g5O
tnPkcy7PbVlfaVM9VyelbXJs7n4bZnPVci7CJnIUB7lUoXtLLAYzw41b1mdTja69qd0RfcE0Icms
JaaP4kZcDYeQsHkYx41If5WFZcGDTwy8si7IeYQs0+wMtb2N7WJzyMK91Q1XOG6HeijIe9enSydZ
G1XqP5JVOeljYh2ruF14E0NxdTpMTniN0ElZMH1Sg6g851Ot1T9K7R2u0dyblG6jTO5DVAk5JjHY
h+5fbmKldBtToLXIQDCG1nCdlPBYT3RwpTO/teDEVi6evCy/ZAqCbxQrjArX8SwOijHtcqyF3iya
rT2KwyAa4fHxw4hg699U07131WvJnTeoL1BzKe8iRGgEzMgGSn0a+hkoXL7WFYUSnLCeIgmgzW2S
ywssOJk13jgiIa+ovo7dpHt4DE9hyEAsn7k1nIC85yg8azldrw4arpzSYo8i6M3h2lxBPr84tQpj
9EYIO1e58tZZMQqjKbn2GPI81+Dl75JivsYar9RgFIEnO8faM1N5F1VxJ7eNu2cU+7xjGRVuySiC
9Dkq28wS6LqYDPBMDwZ0t7b714OncirVq61Nal+EyDahHQED0s+EKq3tKiIkevTLjvde+0h1bVxn
9jeL+8+Qu80uB598TTCEz1N9tnPlbI7dgX3w2lUVaLnONY6DYxG4IEnyJKEEjNeZqmo+rrfhYRe8
+GahuzBeyLNqbFrlVJ0fgsXuc9WM1gOdBVwnWOXPiHSR3DRWCECKgVVxpFk+mDlOLksE2Trs6O9Q
Kw8ehoT7fwDzvIGNp1etstJmZR8WSrirNPdX5ByNGsvbVa7PqZcWCJyTfsKUi0vVlpm21kFE9SUo
4XxpgsouB+2UIXHru6uMayoqFe93nRLzHhTKXXb1QUnDO1GnzNPNa6Sk8lBH2VaRCKtM0R513Y0O
wlSGzeiGb7KMrlMt91oIr7lEzuQzvgPFxCAJdhTciUwdCfV0nJekqP6AHiAUdOg7k5l/QBnEw+EE
9IBJMeTKU3OrGGZ5VPR2l0BQLPr5KUNw69Kp3PvGTO5RG7FAE6Tmoc6jmNKFcioj/K2yvc4QRCLM
kAqMvXb6aYPqqlpPeRHsOhSFVpbSx9VshNNio8NONqf8ya0xU5L/JeS/po02lPW71pWcLBxdIHCS
Td71W1W4m5hxWxVWbLltgukMqgycwKXqDdYJCdvaKY5tXnqR+QxI8GpwnIdRdYl1MpuxoTvGAH9w
VswPYeSN3+GTX7ed1F+V1g6x3YX0MsMQQKclL7FfwcPcxPYzZF84fK9mOm0CS14iM9yENUpBLx1P
lhNtydoTtOHdZK0rqgFlgr1V62TX4VFdbltkLVL4cG7f7XbcGO1PZG5Uo3xPk/ormJSbOizaAsML
iUWdUeyUMvNxL6cgCdT4K48AMNFuJhzDFdFuduPD8maxAp3A/siylOOih4YGX48a8AAG3CsdlYAy
iwSQsiInAsEMxFgwDXhrU3U/u7TaAJNt9SlJnfBRh011yzMGguVc9fuGLJItUg585EYdf2M0MLc5
anBWNZxD67oZSEDLeoRWFaMF9o+x6h5h25iLloBfdYqmc1l2zQHV1LBtkRURlJSbr3ms07yNDUd9
ojNPxE0ofcwgVzPJtQ/L4Q2GK0WsU5qGf43phHtVckQnplq8dVrbT9SrEcrixC2fxjSwQegk15S4
hJWME6JmE9OdlgyyjL++uUnKgeeRon4dAn00tIZFnvVeiWDnZMUjqZUX5MUU2iL9CKbSBwLD1gsf
O+K77t7ACuayemVhDhxzMgmBIcZzhVwYNBUsHBenEbPp4KALLIUySH+w3dxY1r3qPZnfUfQ3EDLf
NuS8tkTDtaCbKVmeWtc9iIC5bjlaV+Ewy0VZdkX1yaRJiNAnNQGv3zunfOzJomMmbHiITFB2sgYk
lWFcoZTfmkO0K9limHqx+Hjb+zSMqO6J/0MzvpuFcSGU4VpZDpZX68kYFBLe29Oc1tvEgsegN4Pk
qyRdLpSkBxW2Q10YPkY1OWRG+25yuy76P25wM7J2ZaqAM7cRWZnRoxqNW6ZCDlWYShdkUQwj+8aO
NY0mz0GACjJ2um9L/tUacRUqxf2aLhUlCSNeQ45oSjvnr42YZwUDVxtMMdQLMK/RmK+nkeI07a1V
pEQX0+jubgsOIpiDLX6Iz05IchfD8rcLom9DLSiv7fhQj3q+NXJlF4RWC8xg3OWKtjXMauPM4UHY
rH0CoseiIjwmgXilMLwYiyM+qePbqArqzemC5Ws1BZjWY5J6E4PrtDBc3j5oCDYxowApMnJjIy8Y
YNTlDROSouIXlYF8L2eijqL+oC3sS1DmqxI7JNDPdIvvYIs76HMqs2sSYOpo3AiCIUbFqnLZSwZP
HWRMNdU/c3Pam213bfNkEzKrCKLyTzcVdRPq4jku0E401QbZrl8DqsG+UmGddo2dM+XTpkVG7s+J
jmYfQTFeDvMyUimS/Xvrs2ZvYyhe00x+aUSkrdDwfmrEfTFm1P4SbRLrPPnP1pshstvdolG7BmK8
6Gp4BZ7i2U37TjjXNe9B2TnTkyO+yTmLU/XCurCElCJ9yyaJNyViLUU32tL7SLXfpUn8a7EOXQjA
Gu/kksuHthqkyzllQW0SzuZm+h4yBilE6dPUPVxnP8X6zs2z+5g9dEnKYWsvUgALSJZqYcUAj8JX
JPehGI/V5EiQp6jGx2ihz+fx0Zmb1K+04ArJi05IY2o1zwVrJDpbJsoUt2rbjJuycrYYWGtQlHTu
GJnWagJ2Iszsf8qcnZB+PKwu9pVZI9yggxihMq1rUT2vFNSFOOF4D7nT1uQav6fldEgd819Ytwdb
aE+s1jwncc/MOA60qxP7MPaa9JerwiYeO+wzZ2tUk+fkxXYqrW0nGnSISU36U9vpW0A2DNgJmeOR
YwNJGZauqqI/da76z0y6lWsaL1WZfQdOBsmr/+3S6p8CY03tgtBD/Ijno6t/Wje5K5bJLKqrn1yL
aru39zHiR1sPTwKJLJiN9UgCcBf9oVDufdP5baT7giHr0mjTMvEi6bNOq1PbttdomFWcgmRy9ZgN
BMysEB7RsYgYQRYjEpcySd8pcvdqVX+lXfQ+NIHBHsI5joP2OvXVX84id6UzwGP8rTyrvNoaA6jt
PP3OVtOBZ+SUDHV33bn2F+NjbCCx2flxVN24iw/kKdyAo68pMLaLKsNJtQ1L/cFDeDzxK0p8THyj
1qSfcJ5fGdmBMgO4hemuPMEfw1UniaDBkP4XI7PnwCdAZnA7L1XZzKYgyEIlPNWgPrycidmq0XGl
xQ2CeUyQzC4mZe9WvbqyUcjwKI8HQjwLoEhMbtGmaJvSFlfNEuopkBGZgiLLXho7XRe68j23LYKo
6LlTsIbFpLM5fQJHT7rRMY4mPj6c+KtQNwqeR+0IOz5ZIyIu1m1dMu/mXeV6ULYl2h5CItEvB3r8
ZyXiMZkdw+lEZ26XbUXYf7Z257nmKS9ZwUw1H3SUxB7o6M+8HgEh1hLHhzkFK8z6xdq2XoFKeSxJ
LaYcTQ/DmKiuKY++sLq9WKMZHXOoBZ7UU+vbUNQ/G+P3EGlfw0CflZXlhx4np3gaEYzr4bKQ+m4b
/aNQl+gBY5e0pF/xLqAmWmxk77NAJjGkFFGGnp2CsULIEO/x2d74uo6KQIrGSumWpKZXqjxNOjuJ
FM1DCrhpiq5dc4a2MravsZOYXmtjzNDLQ0gmXFX1T26alnuVlBUAo6SctTbiiA4RDM7IVSWGg22M
71ZCCrw6krXGBvcxl+QmgD7Qxv4C0eG50vkIDX3jRPXGZCK2GjJb2bYKVU5ofATFvVbQupVi3igG
aRJQYM4yi56WRBhGciszEncNXWMbjm9I6D8rAJFbtOWPRpE/PYLDwPlFLr9qWPIOmBlz6n293SrD
tpR7MJqoFdi6yvS8vBZJsUlJMQyTFzAFG9E9xcwDBl+aGPjoa1WWHGWygrOzMSakhhMzI3wQ+iG3
OvXgDvIUkXpLooX/gptJu1rLhh0xWijvVWRHz5iggqda5RdFkqoe9KmNfx2Zz7usM5Rf6aTST6M+
f8zIH/+MyOWG0dsNOeblH6Si6BJD8p483VqcpmJq3yQirQsq2oxAEnVCUdAlx0nBWYBnzyBsN29O
EyXQCbF/9B3kEVwXhb4VZydJrawzN1mg1jvFcS1Cn2TwPtjhVyDQsljJl0MUuq+3BcmfdcuiR3F0
HzlgeSJ7pz6nSSQvjpGpe63pX5uFYKIGTEF9Q8lfnRLv4EpHeX7QwB6y0JT/apx8nLk+hODNrIHr
7mwPbNi1aKK3CSvjTrVfmxiFqRbn5NLSGDu5rntKzvlmsFx/rhJbAaPN4NP4Kigs1uBPVxh+z1BM
bxVxgAA2dgoDiB1zJGXLRjnzK5Ng3bhvb1XsPNWRi82U4EnUyOildIJBaoTSGE0a3L9pdyGt6j2O
22Oh/yQYiUFMUysh12Hb3LKPT+RWTuEKL84qUON3fIwD4LV+OGl2uIEQRRjIDRbJjqU4yH3pOdqv
MrBbjJRdAgh8MqpPI/nGfMoM+ZX3ds08WCAWmj+VuJ826Of5oVFQiDRIaNxp/jKc4NgStbOy7MIm
CHYoqRadg3RCn0nJJUzKvaWzxJ1CBIN6/FYLpPZ0LxWnSujNSYNLirIpyZFjQbqGrVFz8GGkAgBZ
ZNmtcsx+48adb6Rq8C7RN26MgsJ6oeYMaeSNc/EGIKcv42MRT/dkGSYR8xX4g+I2+6kRdLjjEpDZ
P9JOnEhuEquwFbk3u/G41+ck9BcXHwmL+HFydLO3QFXc1yX3jHwdQd1fRkSKD+qmz5c9ALo1ctSR
gprEpwjH9TWQEoTKxPa6crla0xGvEilt69qKzqGcN/2ovc1tfWxatLm5tY0nwGl1Iv4JnSOS8Yry
gdsAfnNkhefEJh/XVeajUgxbMNNbCQCDvli6cO/JjrMbgFv5PELQEMG/SGcD2KJzVUR/rroIF+Zv
3KgIc0xKJNOa5nU3pl9cubw6A+q3YnzP58IvciSuLlc6q3IINIIo7L6iMMu0Hyf5qUuiBxj1nQeH
+r/jBwvJ6MqiyCbUpgUcTj5ekKYJB8ng+jGM6QtKOujq3IuZgxMy6Ao/FOHz1IaFj73R+c1A4ngq
8zYv1PBmN+O5jtVXNtzRujPTAcW1lU0+Ed5wjjPWtP+f0RzAHX4KtvFxGLX/dY5/alRJf+3/WUwc
//Pn//vH5r/+83P4W3hf7df/+sHPsQ5O9+63/m/2zmQ5juTc0q8i07qjzMNjXmiTmZEDgEyMJEBs
wkCCjHnw8Jiv9bv3F6iSxCrp6l6Z3UW3WZt2KhIJZkb6cP5zvjM/fNfEvP6aNVj/5H/3P/7p+8dP
eZqb73/58zfKRbv1p8WcSX+mVsp/jbv8R3TH+ud/Q3eQifBNivxsETCnCdy/QS6l+QujscARVmC5
a8CZIMVvjEsJumO9ywu8eci2pv33jEXwi73iPvg5tjQtfAby38lYOIImkp8jFhbEDiRdiCImL8g8
4g8RC4YHDGI790UzQkVTUYOCSBH/mjbm9B9732NBbCqh2QDLW/tqd6NBW0Uckfw/zvASxZZrKcEy
MQXkmyk9X9POPKPJEhy0jU9nGzUfqWjr14x0lIKFJDHhIGBtS8eV+khIjcNgnY4sT0bUweBa8VMY
+bCqW/KSwe3iR/dUd5POxvldk9VWLq60Q0zFifsVPHA253swYmu+e/QtZ0175y11S+ojBl58RMKN
WMHLqj6i4mnQBKI++LVbj1w5aEyFOQ0Fia1p+TVybuQZ6yuoZMb4zK5ku2OUu+bTi4+wuoGPznnP
PkLstbMG2uf5I91OVJqou/cRe2c2xmBXfcThATeZkoBuRUx+oZ6Rtt66JYnb8IRAdfOb7qzooFcb
rJsznoNSZzk7f12X9Y5oWskhWtDNpL5mkBjUhYlCjXPIcZyq2i4ojM5GTcXQI7uZDlovtlHOrbAk
ff/UEcrOf8y1XbGSpRI/5TVJgT4PGfqDzZ9lwUqLJ58KBxNXLHIiTuQkqpYOc5+YKIYrCnXXqwE2
5BTY/SMfl9N/Aj/dWdfKwBYCBLPqrfNU+n2KGWOhlU4Srb7OekJ9q2OMkGkeA4RC6SiWwdvUWuA1
LrC7vjudF6Cl+S2tUTkPMHk33I1oNMPcVVel0KxuqBPyPUa68rZYGy1/i1Cc4nTPrbi/cuAiPfti
pV7ZQIkoYHbMpqN2cylxHiYRAE+QCyXuvJo6UhrRO583sxonUmY0i/APNtXMv9LDShdgKixtj66N
DuObn1ucBIsFyWbaQU4g6kF7hCJiXRZRrLgO2sUAy6KRvX/rNhh5Mgw0hjVhOqjT95HC1ZG0TGVZ
4jSYzmS9xbTMWi+iQcPy2A0M+E9QKOyB0H2tFys7DPmIQXHqmNhseoJ/NS7nxsIeGKfWbRVMKgrb
xSdlDVaaX2pJUTa2te1UzBZSWLBwSIOGDc03HMltPEvuetPR73bfMthcMp+MeRz4kGRnqxGUPsyr
wcOMB6w+yTJ91iU+481ILzTUnjkjEm74Y3fLtr1mtBMINKjnURuE9cCmz7HYahBtR6XDupfRYTQG
eB5x1navVemKR7D29usiRu9zA+6wJaxjVTcwLWvz6HsgW296iAXeRjcSr4WmaGncJT2pbr4hGQ9b
0RTo4U4LYAlfZ2fhWRd+gJraCbzC/ujWJ9sp6olChon7Rxm0L4WD3M2IJRnh5XtgzdZ2Dh4VLwHV
omyWmI0n5mLE6ApM/4ax17InYlv4r9jBOyzKmoDtdNsJ6ROzaWJ6oFdvp1qpAb6urjo3dZFcxmzG
qkJOvgOF4+OVruIOiS4fl7oMtnFTkRcHIpStQgH1e9naumCZ66iK8X3yYHRBN1FlQ+U2xzLm1svU
M6231dp2ztcUt5VsIzDcGMYwNi2NEx9kAOLR5CkF3zns7FGY7Wni7Sh341BbaZiWpnKviVzZ3SnH
J67Pc5/4xjXf28S7Gik8RxUdAzWhP9HS4DJnFK2/hrWGCj2lcHEdfqOBLBleCeq3UDhHCgRpoSR1
8Vz5QyaZiHM0SfFcSWOaR01G1GvMr+Ch/IVOJ6CPkmqb2GpFdgzGzI0/LUI7t9zRGb90mCs/jQLw
Kqi9GJaqdAc8BE3RT8ItXyRG1opOQFr9Znww5jIz5Hdj9gnfvgb+u7ar9Xn3nOk8N27IYDf9Q5W6
gN+SREczkf9aJo8lFKKWDQk34A5oDhZXegpXaxqyD3XRHI4TLjIBBepxqdEmfI7J9z5Ex5TwYIQ7
QpZGNh0oasCppbKxvDDuY2BV2UK+MbjmulZG/VQxx0vKiyYeWfPGLcigcbA+kiKl2YNctAaNp6ms
K87Oyp9HBXdXyIWyOP1SEpdf4AQvbKba6ajDcwNH3na6IPGnIPiP2PWT6C6qUwiMNOeO86m2Wzxa
wu3Ud+26zQsBnmXeQ2HwzgOeJDAqsVofDSEYKpeoTGMqguy45BHeiITKKnFKXSRm2g4cPBaRyaKy
94ya60rSFy6u3qwZ5mS/zN3wZjBkfUfW83MavaVy90SIGzoJMwjGW1rN0I0Hd0RxQjvEaoPnS1yN
c52BOaUQi4sB43UIP5r7H9MIVZOPgOsBSyoefQoufC82r1OENxzEnjO++o7JyHmi16vYR4BTOQPn
Hv3YCdWPayshUBYgH1F+xfABc/y80NrHFIcMFyF4PWLmapxX0kwxXbGQD7D4+57ZNduphstzFLro
lgdX4ZfaBpZlHYY+dSEgptFaSIGIvmxbMA7EyVVDAJ47zLsLQRuIYd/NV7KIKn/XtMRy9lbTDO2l
r6L2Kraih0IBAsf7NhZMUQd/5j4xV29lr5snkvuuH06DGzHad2VaWWflxDxjaVyZ86fZRU3fNTqN
0Mi1lLe2ayPDQ3Q0GZ0k+VJDVJlZ+Tl8JPesJNYXq+7z9GjbDjounzJvaJlZ8mXopN1/Wlli/cFw
s5piKCikWLIGexCHyhuUYvbtLaxBMCIY/NrKMcPOLVVj3E9OY3XvKQRojIxu52G2G0WwnCP8918T
NcWPCrGEa1Fiim8R8AAKqoF/sNvUqiSOswJQ5LCyUPBYUYPF2LN9ckdTvLd2DzeF6k2Pz1VYyzeA
K8T8PAcLA52UBZb/ZIWv5B8cFs5xq/XJB88iOgfH+Kzn6iNNl0PU9IQ8OeVaHety3WKKlNoD2Eyo
FHxujfhEkwQlcd4HGybOOs6JxgczZlQrP6YadMpy3BX88pm5qK9lG3sdl3bAM4FZoxMDznw2BrA0
ZuLOMvQ+aDW0Dwzn9INhw6PIMcsOYqrD0g/OTcUOe8LMXv4YHIx2egXi4HUVL0xBoOTgesKr+MHO
IWfDDLH241aeuhWvM/YDNdjTCt0RK34ncYI6elYfVB71QegJPmg90we5p/4V40M+H6YP+V34PkbB
XcH6L1B6cAD/cAXwLK4ogevb0pWBXK8I394e0irWf/mz+b+CgZkkSVQMsDCnSz6Jhlg/ZT36HigS
cA2tkD/+3dfECcutQ1pUCAfCtle430+vSYjQGXxo2hsI8+U13VH+YQGyFtKZs3BBHXT4U+r97tfM
+M+4QG5Zv/838noexHNLri/o/vH1HGPK2BQQvOo5vnfZb7e8x31oZqS549Wc2E3msJM9hAtmYsPt
v371tar6pxy7JW2PLm2XLgPf4hxt/uGSBcpnZsCGmXeqXUEyooNLJqv3f/0ifwjL8yIE9U3JRVMQ
lufS+fu3lFBHlUws5iCSbBd8vasIA1nEKuJ8qCEE/A0i8E/ezn/+WsSU4ANIi/rL378W2BcQcOsg
rOfQtetio3xWI7J738Kh/1VW+E9Jj+Y/PJ/8w+h5sH3uvJZji/WX+elZMUw1LsVqa+OaWGxdAN+c
W0uxHLFOgQnqijFsOHXv1JQpbFGW/9WgUzZMKGzF2BFjthh9+3maVPdGImy+wh7DMOhfvyH/+Anz
O3qe67qEMDxKKH7/Ow5xbFGVw5ufoa0RZAEqaRtZtP94lf9PsfizJx0MnuTR0TtW5gPDnZ8+gFXR
+U2pubyVKDX/8RA+hg+fw93//tPzd919b6s/PaIr/Z5z8c9+5N95qpYp6BzhGA9k0+K7MvJz/vJn
y/kFAInJd4jFwqWEhIfxN1HGgpoq8bKAkVw5p9bK0dArupW/JekksSl1DUzHW+Ua+98RZeT68j+v
F//sF//5iUdkt9pi5cHHZeRsWoeQIYXRIXe95Zh2KZnlcUgOtTOcncK4z+zhM0wcrojmiSNpdkWe
DjZVTxlnS5IdA6YH9Y3p5iVHDnn1fRyVpNOyTUkqFG0+lodhcp+tFvE7BedyNRNaQQSY7VsqIDgU
ERctnPgL5ORqPy8+GEbCGBs0a4bl5QPMF0K2eRLdc2LCEUHQ+9SYDHEDDAig4SsuHQEn2TZIEX6G
ulUPlGoDmGHF3aR9Oh3mEZJ4gTxL8SShIjxSbdUDh/ftfTBUz3mWNHdYAOctLXfgx9P2qbatt6RN
L1wyH8Q6aHFESy6EySR/+FJb3mWp089dkN6DNLqxBBSJVB5apNoQV19/w+bTbgfHGnd+1lClAKdx
13rBwRa9DCstzoj9PwRNzFtyNObWnuRN2S/UFFHUx8ABRBcF91yTxXedFG8EDi5xwhEu9g2D/27k
W3/CYDd1XPsy7Z+KxmGv8eaYqaAzhWtZaKLzaxykQEWr4BGvyolj8i3xquVQdvX0vdXqR+CTIUCu
XsFUNJaZxU7nNJhU/lsTTSdAo2A8d1w3MoW7xrJhM9F8WaXFjx6nCOHHnma8it5y6bUNo9gaK0Mh
bBJ7hUdmCO77VsedPskZa2/RGvalarmeDCJrcelZmHe13YaRmI41wKrH0fzqVUza+0SnV3OaPCYx
tDdaZcpm43SMpDkhUiSwZM9punwqsdbrNOZd7t0oxO9e382JXd907TjeLQ5b4WDggVkq/UXrJDiU
DU+cV3zjKoqzoqRSJpFRaDsD/W8OTLBWTdU18/AbzxDVwRimT7prZvIrHcRH2Sj2U7qgIHY1sjgG
XkkCRT+tnBQ05F2G0JG1PypKWdKOT4QCPhXwD9Q9QYsqCZlqQP1qTjXNn+38qmYs1j2VIIa75Sh6
31XmAf7kZiibaxVT8yu+DMzCAqpMHSZLBuxVZA3idoorI5GGIrib/OLgtXc4ow7wSSGI7IMLjE3u
igRsrM/YGs7VlIaRT4mgYZi3HiNYBuFxKEg/ghc5tJ/+B3eO3wnw/3co7hCp/34g+Yflf5u8cTj6
Vbo/vf/lz+uf/nVll9YvrM98MxA+uXGztP91ZTdZvj1XSkGdFMr6+lf+qrbzXxxBWh5JnQXfXTXy
3xZ2D7q2KTgaC4l6/9FD9dcpw2+nJN6u//Qkw1/9w8K+/lq2F/BDA/7n//EgWC9uT4eBe9UbOdof
TQGwd08kNYLm5Ee0i/o5AgTYOr8r8ycrqJN7hA+WPD9I6IjgOklYK1+Cp8CMHfvourpx92lpzfn1
0leTuMZJqx6ktyzc6OIsCPDpUUCBgrkYGClEXqbNXreVbD8lZh8gOxupKSk6HrIUo2MTO1TfEZed
CUK5fVpfO9i2odA5mA24QFlLi2HTxVAEhTWy5bZgeIBLwB75/vh1dQdJGotVSdZ4M9mCBcCyEjRB
VGcZQ7iAWj/viKKUG7Ok/+4ytUYlLrbjmWwn/FbipnKN/GUZ6qA85sRj3BcqKaBQds2yM6aOoJNQ
lbxzpa0Zerdw5i6N5yy7toggjoAURpiNvFYT31scVCuLH7HL4dlZD2NfAuWghLY2XtrWjeg4YHb2
kJWVZpHiF20mgkSYg4ob5gulA8cvLlFcGRUnD8KYyX5sMiybzfuEyvtdKUNQ/OgPOdaeAfBe/Bgn
AaXFjtHa1RdgtfXMXplY28aaxncThDnqZd7W3Ky9+UdXzLZaYONwygjbhnYHey7EUUcNrmfXisp0
r7UDPLWkduMW1habi7FKBQwgUA2WDwUh+1AT/FqM3zNp5s099ku8/MxdRwamJHWZlKcBZYsG6QBB
a+NR2EN6Xy1jfhxnNl+ngy8Mcw7DdxrJxKL6CFUMIdyDerJPiUsT0CiadRaFTaktg3OgkiDK0M7L
QENHrAj9IdQUE4dwGFGesK9rK+CWu6VzBO/M3Ml1MeVS1DL1CODHUUotcEcuHa4r5kK31Yda1Tt2
4YXT6g2/7mLsLWyicI5OMbB5jQt0dJExU7csDlPk+neSGVF/BUwzS65IJ4H3UFFHblonfdfuI9/r
i6PXElA56Xp0PrtoAduUor9dXU8aTjRXNe4SDZkd2KLNzVyWycUoKavuPgQ9mJXlpbdAE26maCGC
nxheux9IK3AGnbM2rJ25PU5mPQCLaubbjNneTubzZFx8rfr7sa4w9U7YCvJdGRfxZ7go1VEmaLKb
hFlAEuq5JB0+9A0tXVFbPMoPkRLvtjo1Str3+GOat7iKoYPzaLXQqo0l22pqJGogJcvibIsqNgAX
FLXF4N+qqCv10xzzClG6Vbn/EEmzVS91Iyd5mmZlX/wcXbAdyCxrWlRlQnryUwdGJ52YcIO2JBAc
4S71SqosOjJWM4gEHKHd8I1VAe9nSIBLEbgnj0J5abwDKMztr+IUlAcFRZVtNfn4PIXqOMAl5oib
QZr4WuV1ouEcPgbgGE1ct0ECxbJBrZNLGE0MD0tiUbrq6x9NO1IS2oDwIV+c7RhR0W8qgIpSngp1
2weZS8iRQxVY+oKxankd+Wu8m0IwNYEYGs2ps8F2tILx/mSNkLOCsWK4NHm8+dR2iPwpYqDlm2dr
1M44fi5X+jrxGr/1GM4xOijEIaW0RtJV3djg0l2Yr9ZGe9WQfKpjsKzQv6Q7Jm8oQrrCu0U68gv0
mjp/YgowTntomHV7DnKyZWeaA5Y0pJaqhQNVj33V37Vc0cketBktPl0+liTGzJFOgNZx33rl0I8p
cuUdyyC1D0BoGRhS9PSKXWUNPkzGhgova5c4RQOcrDAe/bmaoGgVVBG6ZZbv3QllcaZEG2Q2P+i8
OKq98nPXf0gqBXp8WNywTblcwPX3e+MQQDE7etOovwC9ANPWSnitBrQd4oZUyab9gHjLMMg8THiy
Pyez493G0BmpI6tFEBJ/FTsLZZ/8s2efKjCztz0hke1IFdQxcisXY2XsYwoboZQzZHNeh5l20w7U
HHmkcdmJQBNbo9/uJmA5Bw+glvkpx9Qx0ZdMDq7MHGsHp4vkqJSTPMhKE5S2ZxnsbavNDqlMzE9O
Xj4s0NJori57Ehy45GzDfPIAsQCo8Olypz7ZOoF/qT4Xc+bi1+S9BiLjfeWKotrXJGYlvuozSNHv
UWFpcBZQXc2QETAfuOt5GpfOkGSwO9lsv6Sl60NLx3FYoUs6pR2dp7aw4/c81dkbRRzSwITZ5zgZ
q7zy91GWAb7jCyJ31sgjs9Gx9IZtEKeU5diphkbszc0hbQG443IFj+TS7oCxuLJNBqk+5+59akcp
jl24w+ciXXS1wwqG8xxL5QFj/bxVbYeyGAeU3aqgnO/oVbcXOrp6EewmnWfBCQpR4eYhNcbW3iDD
vDFMsNML8t+hQH97hXssdmq0CRELvp3AuJR3E2W5+0A4bI0eEu1vuWdU09eCyqOb1MqbN8pacaT2
dHbvI4OKnnBx5vwRXZf5Enpo9zZQZZbGxyphmyHUkubAtfEIJ2AP4tHbzyXNrgegrfM1oGZuWUzV
vU0WEyedgYH+mBc4CQdNFJIvPUOcvrz7HzwY/86Y8v9c64yNQPE3Ue8fztCbnsLv6u1P+zdd/3yW
lutf++0w/Qs+e3Z3OlqhkeANQQz5VSYxnF9WLRU1xAwoboWJxJn5t+O06fwifIvTtEts1ecv/f04
jXnFBCgqhOCALkTgef+OTmJ666H9Z6HE4oe5nAFcM7B4pBAHfy+7FTlu5l5BDB/rgv6xQZElKOFT
481Haij0sLEXyvGolHIPJMXllyrO9sxDwV2yCckSay3LkhkCpg0DmEy70Uh6FHAD4lkTeNdLRDcj
UOOwlbO9d+cgJXuxYEXHXUaimdge3grAamB+MZ3P5CdAWSZpWPieOvZAd69rnT0CxTmME4VOO5qs
b1lZKHYK3L1gKtrOUXxuoNRTx9aMEOxsKmACgxDbSlThM+we2po+52aO7jGYPEfVsMsMVlBS62US
jXvXjOLnIAVnbXrVzcwUY0fZBSbfxZUv5bRSYZaSMgZQaLtFW5TnuWpgAKI/lVRa346dtE6FhdeX
PrwfJRH+MFKjvgN0v/xwjPQVx3dBc8YqPtR5dpKppcOSF73Ngt6+rjC63lPRa57KhMFrFWg6wIjy
kJWOJvPKYbddQpNL0YMd44RWsUMdy7ibG/cVkp75PqFFwJfIqJLbUeIl7uepGmJcO3Z048upMXlV
m3KNbrHOgScwjY7QuYnvR/4PlZgANhNi6SEWEp9YblPGX2pfA06zJqnvKI/1ngsVgc7u04VqDFj6
F4tvBTbFEucxpRYWgpk/qjvIzdU5bb0fQVcgr0W8hQS6OyavsxN4IH4qIETU6wVJCqfLi0drm1U+
S5wewH6RqALD3BN0241xGbxIQk/TV63jCB+JIlsKVopE21CQm1QkiC9D691z1bHDEj4Mh4yigFVk
ZAyTsS4bHxe9mzpdOGlmVoV7hQP21SS5JQwBn0aSp00Iv225jdrmwp0WPJWyqulSMENjyFwiccfe
Z2+sZH5FvKs61KZ9HGpUDn+J5n1cydcSTyezCLHtsEM9c/rHJFrjIcngbjTCIUO67rvSOzEhXwgw
usnVvDBK4I9Y8f3qndiUNJpEo31j54JCdNws7E/MLV9wC5/jpQQtkV5XPcNzmqtgBcZhD/SfEegE
u8U4Au4kHAeHyifVl7QOUr2jzp6X31qDdygIJELo3E2lfoKIucUWxNlfyJZmsekCyGbbuafOehhq
yt0wESCoxfIbtUvhBCCH6duLcDL90Of9bbRSaGx1YDnq90z7MCdLYL42lIMIs0VF6L2AUgU5lkaz
sCNxFwaLf6TQPDoWmDxBifOpGsG1nzbViY+KmwA04IYOGcx5+HUcE/vnbG4pRzxlaaKvBttZ7pyE
100yxpkGJrpQeUXzyNfmxszuZo51vnjFbfopgSyFuesw01iv4JRZNAlRCn+au+yWmTOZQ2+LmEdd
rr1L0h82q4o3QdrSeBs+jS13alqmwSYoFDtSuF6EYEffg0eB5jbHy8M6p18jIc0bHHIDhMv0R10U
dwVdO5iBcPr1Qr00anw3ogCZjm/jiYny9TSVOyytF8g9KxHkYBrTcuws8+sM2Cg+F0tEiWNKZG7G
AlzcUyxMJNmobQwQ4L/wmBzw2KTWxpfNpZu6bZ3VaXyiQrKFBt9EBii4PLnWZEYMnFRZG3+KA7I9
nhHswZ4CjiILJ+Zw1sVjnCffU0N8rWbeKpMw3z29gkDf8rCJhiWsOOltMq83HohU6HcUCi7rAmd9
GYELiCVMOg6XVhgVnHM2g8DB60RzTojAaI9cpzAWcVukl7YxPwfcVjZ1qesXo64gG9ltFMKNCx6I
MnP6yM3lLW91cLatdE9FUbf1Oq4w+Hi54dYu7mrHPrtSPCZRu1Lc/JfCQCSeimyCtDz0m2IQN22a
pVcJVSFXfuz3BOaz5iaSM7nGAqx04291Uz6ZBahhNeySld3bLl1xoyLY11GFlGkkn5hRR7tadM+q
rPd2/gZpk+Ll+NFLyUDg7Pnup+4xdiMMwDUo5PxAWya7iuUCBCW8DitRfTNNeYZH/K2cUrCoEEI5
2ub3rWl+UwbZyDkGs9Ob6bFcMTcjfv+Go2PQzlRHTeQyloXYge+hgEaxh48poeOb4kQETssF0NTj
KMA/aG3KpfkWAbzZgxS7ItyXvXOv8A9OXb2vYF1KOwV++XxbOva2KYHQViIJs6i8zGV6qxSGcrij
3pZEfph78zZSWPbxKpJbNafPy/JFOxbJMU6GvNstt5L1odNe/RzgxS9adjWC/2HXT0fgralBLBHD
PI6M5dnzc8pav7itPvZqPOOTfIoNfNgAPHBQB1g0+2mDAeDABem+LQZaTqYT6Ay+DtLd2t5whyh1
i/vwOm2QpdKs+urRtgi2SZ8lbptet9RfkRXBAhQo+1OkkhcaYa+Gob/KeYhrHIhUw1/D1kGCJiFt
xeKVOpuLWzYnm/F06Z0Xr39OZ+NKGtaTgYF347XGxQuq78vwqDQIK3OI1mZTrlZAPH5w0w+tjGuN
fCM7w2DDMDnIxxgWnUfmqi+z/lF6xXEo4zNtr5v1vr6xRHapC/PYrDEQ0F93ILc2sk/uAmkT6k8K
ABCz4GsuN4OHt5bs1zmxrkcrysKy+KZECvDCCSXBLfDOW0rQ4E3BIAym19T3txYfO3MexwpnaZ6D
aDio0iDCJfSpIMpvICUReqTIiFicfk6m+Nqan+cxOfgljGPmS4bk5pyJsbkSgA83aTw8YKE/DssE
DIZo9BJUYR8F73xpaXG1DtGaFQbnN58cZZHbGI13t8EihhLKG7bl0QAEnpB4wK6z+IeqncMMbItw
n9Dt3tpEHKguBgBtXGICwHwB20vE8EBU3QPA061HJLYy1GkeKF/F50ch7Y4yuHRbCzgCWX72UQpQ
Zcovuf7uw1egb/NFmiQ61Hy0c2fvIGQuyVig39Q7UTAcyE6xN/hUPCCw2kkbAFC1+HiFuwvg/2Ew
Yamybzxb3swCLIgw4/ve6+lrAChZjl8WKupKt6iP1rCG/LSR8Q8N5quufOejPOWS96TGC9eXZ75a
m0lnOyTLK1ejqOA1ubSwHZHzvHt3IJfqrVRlq3fOjYdzaUm9UCfyIWbcxCehHxQHjaEb7oyEbXEy
d06CeL0koBAp9JOjPpiw2F1owaOluQNKZwc0FMexXzbAC1S/s6mjOS7afsExVT0NFX1RlqODazi0
LvE0IQgxGs4TtvIXs34KlunSNdYjqt3OGSSxmO4+8RWAJ0kEY9yMmlkMbo+d3eqrDp2RXpx7u5UP
fjocJ5m+gqm+6/pybwQ3cjR2ySKw0TCk4r0v6AGgBPzJtsi9oB1gLiZeBZ2F/aAeDgVAwG3bfUJt
PomVlMfZdJ83qF+CXZtpZtj69mZ0CZhCLfTmZxvdFvmz2Fep0x+AgRWkXn2VHgHQJEx1CL3OjsOj
3oAUyRgaBfJb3H5FZUsPHNVRm5kvh6XsP1dW+YUqwVdZTNGV4xWhH0iWAKK7scyerQobUuCecGas
9mf2DNaFYaEAxHQkO0eKD5ys0FvnDNt+KC4W93xOJ+StUgBBOqTqDvgTRpTyXFrRxY4vUfpa4TUG
ZVHkiKOVcXK0+qIHyc5sbxWxYqMRr1Zc7HN6FjpgTSh7pIrr0KkJRS6wkRVMS5x/uy6iNJY15k25
1iGjvc1P+UAc48kbl1OVAlWiPID7J32G/Y4oNQ/P2GzLhqxtRXA2xYqfkDRTheOGee1Fh85uqEOI
Hjz1mtE4AnCj8vaL/WD5pRU6CmbBmCOvoPLg9toO+L5PmaDTxvNuuOCBhUAKxTW68uM+Kwid6ewd
0ym4OPNq8CtADAH0NN+0Z9/NtvfVjL8Vwp0OkN3NjcquevPZquXbmjXtK+spXaOb5eKxa1PukmH3
42Cp1aaulPWaRGb0xY8VG2nlZwqlTtI31XKRTCVIb9W2j+3kRZ+TOsISjAl/hqDXOPsubThD0Op9
6vqYDVOv0p3N+YqCoYVlwr227PwraPmXkfUZYixVZvEHvNEdQh2nd3K2vpaTl+6mVD2ak7ev63G5
Ckb9LFXyMNIG9JyJ/D1b99IovzGMEoT7eKDP7t6ZOxHKJr1EvXjXyoC8W9JbVbmrAxMQX/uOYXo7
8whhBj3jHbsUcCF1kRvbQONfFyQo2PnDITZuYrbSuyzguidNIz+v+dlLg6Z3nLUjOZ0WjP9DuIx9
YDKBLtsLN13wTFVgnfoxdx6Lbq1Log7tpXPBSYMDxF9aLcU2taW+cQuO9V1jEJCLO7Udh8EIceL4
52ExgmNASyRl0bIZcFFGo7vvsOzfWBJ6/M4yemGSWKSBfWeWi/1jaBJmEV5WjZc8s/rb2GmZ1zuL
7/OFqhU5sFj3ePtjs03SnUlVdx3qVDbmTc05d1SHCv5FHRyzGvmbxoE8dgDEUZNEIeEQtwcgmIwM
3Dg98KQhI0OIpEZq7ZRdOILfNdAtSwK+I8HoPkovQWqNXL6N7tS1GJUHjQ2aCGpiXvmyXeAGFJBS
Nu2SY9Nvatvc8WYxujEGj1jEgPyBxMHB4rlnHU353CRXUbsw3ONi+ZQNzTGACiK8hEk2UbAS9czY
pkUgKQC1jDmHDQybmuBj1h3dLG3sCwzIguRA5lIrq6GlIlbO8XFuvfYaomXwVJfsBNpyjYojWb2A
xFLxanIvAYbgCam9S9RpY5u6+NzB+6j42HP6Bb2SVGdKsvjH9z6zKiSkYvbDUcNVv/VNw3H3ba6X
5cmx0zSn0cOBGYkXBx0wMNNTqbiu7Wwjmj+rqk6svWvzXWoJnnDsjLF/Z6LR1zFRgyz0vMhj4kOd
smF+89mWBQTWGp/HpvacNicVveSCClfHVGZzNgZr7cRMIQViqqiCqrjJxklMnHbNhbBItphwWZRH
xfGlmDs1nooFRtZj1juF+Z0LXOJ9T6uA5WfUlX2VOJE7vdD0OhLYt/EfQ8PrOYNR3zK1PolUXMPm
gyKPQSlU1pvXkWkFrEx41edD1WVFdHA6v6WcyS4QKhSrCetZU/mEFn0fMbqTQFvBP2dgufi/OBIE
9OyuDnM+C5ek59nVOKeB2xgLHpc8d77WjmWTMSVz0F9FEz1ce7HM0akF3As2DjK4cyjjiLMenJfM
RIEW3m0z+TRPER03HlxdWN+rJui/Svyc9zO0mO91xwmlCHJn17VNcpiqWV81Yqi/NKbJ0HDKHUm/
jJiF3IKrBKpVFrhrK6epugMgJvWQpFlzNWRRTI1UBMnDVwsOcXeK272bTsRh5oLIhErSFyxJ+nqY
CqKAWrShLUYaK2CpI2O5cNP3HlX13zs3Ck7OkAePTef4Dyr167PseuceI4DD3a0azatWN30bulCx
ngmFO/eqGgFnKdi9I8hMDRsXmzg8kXLO5iu3LJv10x8zBJHUCe64PznbyYBqpc243KjEq22wojnI
6MkT/vPkJN0P0fo862MkZkbKSfVYeRYzzrQ19iqf5XVJg2/KSpLiP+aeknOGKM2mPLnLzEo3tcLK
cLbH8pG0TfAS/B/2zmNJbiTLor/S1nuUucMht6EyUgum5AbGVNDaATjw9XPA6h4j2d1VVjPbNu6o
kIgA3J+/d++5HJ/PMlnHXyLdUY84U880hpGMPHUpxq9wm4fP/TCze5cp6vwd4tn4W8XE/GQsORsT
DyrfcJI7BV4qWT5m+ezSZozh2WdNUl8tSnYfMq6ueY6KjdJN9mllgeRBJXShPrF1zxbD5+wdvCC9
EhiD9b5ifaFoj5vhLiOqDWBiHzvI0/uoQ9xCRPmFbgLvSZqVkxr7/QZg6ihp/aB+2i6ODWOhHnz6
Fq1rFnp+Opke6LkCYbfxhhxl2MX4ZRyKZOcaMD3LVaGck0aoyIfQOBSHwfT9kTacOoW67t50MoAQ
Bvr2VC1fk+5uQq+1jYhDv6DzOfs+gSqjSs/QXJRnxH5jCvM1o8ABPtiutGT6ISFh4hUgGgWxfxff
xHHgfCFokgMCjH9IGWl/jymAgy8t6B4JlWsuiyF2OLY2d0vuzFcSOTcvlwrOUSsxeC4cfatYYSg7
mFdO5l7ldAjWcfyxCIEKORqYXpy4/epZIeg5a4Q5z5Wk/xJ046FQqM5aMj433lQJRGoRHVV9NUzJ
pSjYTt3shNeq2Ikuf25n90tHyORUn1gmPDdlDCuvOOkLh+EO6U9kgpfhfBxCh6IiouxYwBVGywBM
EVoviQV4pBi683BWiFF8Gs6y7sZLhwyrM6ebXQ4/uXr3Sm09ZbFKyoNgFP+YF2t0nNyP9k3UavBZ
PaiBoO3IOS2Ty3I26nNanVbESYvxvG3s/Lmo5/mjcFTxIh1os+C1doFJOnR+WNl5i2a/O45YPcJT
Rog9uURNXpkTns8yOR290H4u/Cp7V9pNrvN8UW/O4rVAd30r3fu5UzygvZYvBMQ2V6oXCpFc1lvf
4q71wUdZBotQPtzLBXUhLo1wvJ7R2d1OCPdpuwvtvWZAr85wiXfkisuTwZ3EURjHe0fG6F8kVEhy
P9n5+K1jPg7JWrfXChjBMWhdxsVrKkbvk01ZodyxFMM8Q39oiM7n2UHigZBtOyYmeYYFQkZIQr5p
KEDol/U1qKV5BxXd23ohXHVYsoBbInXoWUyJ0SJuoKBay8L1lTSpPiRLezki0aD3DLAIz945bS0c
FSr2wOxKSUAYPd5lCL3HaTF7U6ljY1vJu4bKCuu/P8dzRnD0MOhjHXnOLofCuDOWf0GS0ET2efil
tLCsAwcdjz1yW2qFhI193PuuY2+KmjAF28lOPMfLLmpZrgG/2tt79bzc+H39YtLuIyMyIytRQtpt
xiGrqs4GWvHAhky9yyUJDrp8tAprr6JWffNR1eybJLMO3kBZ0A4ncVBFp00AOJKW+oP0ePC7EVXj
UGV0WqyyO9DT2pO6Q0kXWO2WBm+H8dL9Mk4xRhSxIJDo/ejVDqpzhhG7ydXLCfDKl7ahg1kbolBL
HuMQJw8QJsI/EeDsg/EdBheHi9A+NlVPVpgeb6PYA+dd8bmMWOX3QzA+mTjHvhq7VzRtskfKz3yV
4I57lncmmH3O+BUocRXMd4FCvQBAJC6S+gCQvt47sp6PtRrdU4Cu8jSk2XucMea/YL4tKa3JYUmJ
e7gp3Gc3qE96KIMxrV38EBxulDffyjzUhzHOAEyq+IhrdY0Mz2Gqik4jNinzeJcXAfWvY1+rjmxI
k8oV6Z9ta/RNhVvtPBp1wfQWLJNLw0McOF43p7jCx81M33Dyc3lXJHqvBUFLdjyaPcJ7DDTx1zkA
7dnmDRXToJ+cnNZ5G7aHaLKZpcFgvLECuHoFddhWE3JNcpTPGyjNaW/0sXDoPWZJ2t1OaPapbA2R
c2wkbeBlh6IciguIOM2XMBKXZE/K08Eq71edpx2bd2N80lTa82DxL7Imewy/t/om/YUKHvhNXRa3
jfTNe0zjzs6S7qofA+trlhKc5Ymc2HvTDUfW3WHvFkVxjlglo/jgZiZ0qrhA8lc9QEGIeNMSpotw
zx0woqvIdiC4oeySB4cmvshq8CG0+i2SgXzY3Euf3zIiPJaBf0ySjCCBwLA7oaf1YPDmfbfvreG6
Qr3QmOwZ1Zp/O8O7VB1a0qxv3W+1GYM7zDEEC0SsdFRLojgPdUxZYWznHvMvgTerB2ZanE3n1dVB
KfqYCDx81EuFvph8dWbTxNuOYrrqYdc9hqhMriOrP7i2Tu8gC9Jy08CFhwYzLXrjZZOEwbe2ZaxI
isJsX06TpKvTj/CI0WvXpQRML74Ci5HHSgLHSEObRuB0MkHjPNSDuh9YSnYmNt3ZUJX61WSzTzGa
I/4dqjuVxnAGlwtsRndWL19tFZ8ULImQDLZ8o2eKgDkbnXPF1AbVA1JX+3SOYOrmgPkq6vOw/tog
OCLn+nyySk0h3umd09T5vl9oJzZNQWudhT0skOn1jXhThLuBwSMyIWvfpVJ3TZcjPksx0HU7zOFw
1RvLO+G0NB+9RCSH0S4eZ5qPhN6rh6EM0WC2p8S/FJuh/N4W5EUwiY3SY876J1NCTmuZugRJ32y7
abYPMlncc79rX7I4OXdqVBeU3v6yRe80HHzTIt6dmRcJMT37vf/UAzTkOFs8cDt4qNwJTA0JtKRl
5Q4dYwyYuyGLL5R7NiXNOUbh5GYaRHqAVwkz7R0xEamOiMeBBs7jwcccazgQEj1rm9euA1U4phP2
vXgijbrPsJwbM6yd9BSa4tbiFXQ2JOwkqPx8JwSmTrAG+bkmfFxl29Y5E3LrWs1B9VLHrvtNrD23
gp/S4y+t71PQiM7aUrd1/R7PWIvcC2vqmhahKWGqAlbYKOSJa090nQFXXWMCDnZBk4hLJLbk13U+
AykHvusb4iubHpxXflCMxswRM0j4UHZYwApCdc5jMqUYk0UfAqZOTx2UarAsUMlsaG0e0eQDwTeX
kaNmmpt91qFyqyC5FLWef3el/ddf83dYIX8kBvmSfnTdt79dfNTVx09ikPWf/S4GsaT4DWcTMmny
YoOAkx5ii3+oQdBWYyRbNdJATgJB8/F/1SDhdz02CtHABlgS/GCa8X4LbekGNGdQcIQqRHfyi5b6
j7TViFR+UIKsz3AghIBu6CD85ufjJ/jJMgMrooyW4JQWhfw2l85qxteDfpVOUp/+8NH8Q9b9o5fw
Z6/X90vJkPwyJX3b8Vy1/ig/+NF6KbO2bYlYcZ1+O8HJ3AiO7H/JUPbPi/g2ZBg+IbFKb368iN2A
MiauHieNt+xcO532Vtb+mWvt33xoeJZcqmN0OT51288XMYMKlhYFOh+ufvdcFMi1raZbxuXR1V/7
zFzhUiRKBPkSJ58MAdr8eDteJWBITxibXXp1GwtJDckWed3v/i+XwShoSxHQQvrlhrQ3hQ0Hs9M0
0uxYCT0WmFn6+McXWf+TupiJMVu9BtwHwcir9in0MCM6EhHTT/eShcwG58k5uuU0nwyTVtD0ek8X
QPqkOIWr0Z798QV/feDWC2LLtfEMeDLAovvzBe0+7DoOzej9sTFrJuG05Mlf/OOL/Lu74tXGqIoB
znXdXzyqHIsnJMGKgTH5YjZn2o2YgG84lsCyT2vuT76pP76ctxKOfnwgcLeRyWfJI/x/9wCAB1gp
fLXrZBmI4CKX9PaP785m3fr1SyPJ2cbEwUeIT3NVkv3w0i5e7w21qY4FhjTCCkX62gxw+LdOLjO9
zVNQmxx1gvzGkEtFaCWME5y0ZugekFwSGTo77tjRzS38l6aUM2mfddRaR0YwtG/RYXsP6Kk5+MAA
ZqRMp3j8xjnZtW47Qy7Usej7Vv7JN/br2+sCVnehOHJTtscLvN7yD7cEUyFy0nZASkOioh9O3WVp
Bw5Qpii9+ONP71+/LAy4Lst7iKYFuev65z9cCc39Kk3tj0BOxB4+u78dunn8mOva3Y56acyfLH7/
7s64DLoUPOkuHvGfr1cgyeuxUByr1O/JWxxnCkkzIccx+f0f39m/vlrcGf5lfBa277reL4+hyYhK
i4f26C0EwvQVXaGiAtT4ly+yruBsfuwY7Ae/fFHkjoGDjZjRGh/ZP9gN/JulPPzxRf7NZ+ZKPi8b
2SWGkF9XJVullhwIhRjRqJNljhUmi2Ok5q3bnv8frsQFXCFh9wfe+pn+8DS48IOUZepjRpsauru2
GDlVzZ4YLPWXfPPrSsvXAoiaXzzoLLg/X6mlfYz+pDzOtuUQsbDKx3ziYP767diB9F2FByxApPPz
RVI3bwW92CPGSswMrtefJERmnabV4PyuNf7P/i/+p583Dm6H0sRGroaj79fbmcp4bqO5QJSVzidM
8Al/dEr/Tx62dff59SIUY8qjXcHrLn7ZnTwUWI7S2bH2w29uU0B994fmcipt766yx/ldNqb5+sef
4L+9pMPO7oA4EER6/fwJJiLmGDBnx3xpSc6IcQmLSZZHjwPvcZ51g6MDwfmf3Cel1r/cKbWo8tgb
mW278vuS/8Nz6PuDjp2OducafbQfoYC99XXqERvByzYRhcYMG0Ei55VwaPSLEl32ylDKrTYzDWsm
AVSUVw1BqdfzlJMzHnl1d+YZr3tGvkyubMASRCwXP3/GNKaPEP4BdNsnOUFcJA+EKdTqxg38W0QS
zhUj0264yUYA1wdJalh/56VVQOu9FcJH39FpKMgkJ0K2cfMx+cakpRJ3dupYzAp4aJyt19rRtd3J
7JN5Qwupf+bj3neRVd9bxmoajrC9KHdpPh3FwhgIlSunLWEPAp1Gy4cBt72czpS90NSQwVDG+76M
yG8kBiE9RQ0dXNUyi148NSO8YXLIlMXk0Sc9nN45MTnazWJwfERmRc7QiQ5r/GFVMPloMOBTLV1w
IIc4lmO+SxMxE7OtaxrbfkTifF2tFNe4NBBnwqZFo9W0HVhvTGG4ytdRB2Z2DCDTsV3TN2g9YpXc
Fg4ct23me6lNm8qdkn3kL87zKLAP7Ug5Ip69nxGpsJwV20hpgm3bGfBvnEYNvL04b7cWR8F3Ag9i
a1Mwr3gRkC+RHDu2uewL1F8bJnrzuzU3EFwjmHrZZkjKiKybrGjPEY3Qpge1gxomaiuNbG4e6mpX
h3odZlpuUuzAhsx3g+MNL+GU69eIF6zfQSfEQ9Yu3XhPH6S+IxRqglg3mdJVRMNZc7rT9iQ5fbep
G1yMfpZmTMLL/HZx6lpdogFigJ1IWZ90gSnkdvH84KRr2nvPqovoGMzseU2rUZ20nMmnDaPt4SSJ
DLaRlnftLpAEimyVrtQZgRz54+wGy9ciLuVlYEz8RNVv8j0EirzfU+EjPAEHUN7Hnmb44y6t/1zS
1aM5zo6eItvSnGQa5GXkeuIapRcZ6P4Vabq/2rrX+E/FPPjbkGQuOSApYtcwihGp0aBpynNiHnjF
S7djpkCEffEZNz3LWl8UYJ4zXSbfFjKC5enYuFH60Fir9mhxPUSPk9Y5CNqiI0xoIudga2Er0Bzc
FB0ZTv1YRqBPMgUJoDsBkXbFchn7NtNNRM6cjWJijXcDNCuzC521C4sv1doNY2I9Kr9kqhsNPg3J
2rSMtONOz8shsKLma0KQMC+SIJo0YU3r94DVREE7gsjc2yWS1pol7nVPnmxrstNNTcTkPBfBY9GW
gAJR7SygCZxlSPYeM8fHeYCSuFNtiv6ljoXTIFiOc71LVFE+ND7/CgKWJEsLpapj9oQUlm+5mdMv
WHncfj8jHXZxsvplsUOG73wWc40MBJcPzUHU+yu6PiLLaxfyXaBfLPEKb0eVs5SkbhW9eX0ae5Bt
CaTbrAy7Ag56b6vNmsK6CvsTpC+MecxbFiiiTqAlj1CvoM5hd4/iDo0NjrLp0WDzc0MaPSMD420x
6owo+1n5A1ThxPY2qENlQhsO++D3/eO/bZe/r5yh/2zBuftohtcifftb/fk3nXz8jVUy/smLs/7z
37svMviNQ6dHwUUhSanvssf+3nyR8jdJMYYDBpIJKJ51m/wnseQ3Bs+0ZDDpOJLZvKS0+YexHQOP
gFmHewcucGCTRfhXmi+U5j/txRy1aXUKilub/xIIzq89EduihMu65uB5M4SMGH/MZYgySV1g6CMo
Dgy3IGyZznmxJ7Y6MdgZTPecOAPyY0/ZdbsNBwuUwzLz1u8ADw7ZLl7oSGyqsfZqWqUz4Rh5WJdf
5pIO0IYubVvv835OH+1imAi9ZPOZ97XNhG2noJF8Vm7OQG+Wg3Pf+3i6Wfj94VITn1UTYaHAgQ8B
bZ4Tn14RsQsGAhrv5xJD3wxj8wgnPCxPh5FhxFNA23c+k7MmYHm0asi0bYqlwibSngw413jptkFu
y5B16SIQuenSED9HWDbDXZjMyKU7yJIirQnmMS4TKHzAbnoZWjPFCCl7TbdZ5EwC2wgY4JVkWULR
cJ4KuBLu3KCBDsLHBeX4M8HVeAFjE+qrPKiaaBOEhfystUYVxgwVAV3o1N7pZCZNZk5aFzcJeEpQ
7I1dI8dtYjvdL45VA/CdAPCTpwYHbxU/NfeAr7uOW0pnZ+epVVvn6Hz5MqUpTqmqcqMDg6MaA07H
zezIhLa8vTLpEJwIZBW4ZpX+2qcMyzahV/lkmXndFXGcIMbbfmGMyVEahkYBhBDZu2iQ7adekX2j
SOju4BCmM8n12oNLXnDe2/mLry4qNS7DiVhI9NsiRsc+iQFgMPht0OYcOuG35YndskgTluJl2Z3p
Ru3dLWVLUnA6ihEwOWkPzWk/ZFA0Swc2LMBsOXCarwop9vBCCRuym7GSzBR6Uoe9ziLbZKTH3py4
XurMpKHrxTqx3FToi7wIB32ReuSkHIjMbsxOMrij622rqj3rc2yfbeFb2WuAYJpNhZ+j3Q3WmhPA
SZfzfwvFPDnGYNmzXWmcmMyxVkEKLzQu5m0JJna4IDiEkKceQGK4En2xVLZNZ0DzlxNIAUIrkN+P
DSkqZJXoNrbu0ft57oGyh4nXPDM9P+vyyXpKSwYThySlLccMCUflBcFF0r9Lh7YfHtyCgdmO+e08
vZQENTVbcsN0ek/K9pRd5uRnkrPoj+U5FHx7vIpNEU7XHQqi6bTFyhYcEH6uNB/Cp6JnbYe588nP
bdWgM9MA1xYPkMscG5IQjRK7bm7daeV7xmK200NCIZji1JncYQe3UaenkvioctPVCd9N6c1tcQVZ
xQ+ui6pjxJlUxlJnaonrcGdFHEtPknB2P323Atzm4HLM98ItidgUUF/UHhUjEWbtSH0FUBirMXpT
LbITAo2SehsspekI6wDasC0AnJZXNqKj5hDFUtvv8JnZ4EsRDfoG3ZmLt9WYKjm4rQBhDwcaw0gr
EPduk74Q+rQmoizZk/vKn9ogwNKjcpyWiW4x9dlxwuJXX9mSlecILwDled9PBToQjUwYwbhVQmdI
xhEl+tIArM16t8XFM0jqDVpSpbVDogUNoe4dg76mxpv2BaIs5J8mddBa92YOHp0w58fh2+cfVT7S
YyReI9r1oM5ectg/n5TM7uecG0Kdqn6un6iouHrZK37DSkaqCyO+Zw7DeED070QknLZUQs1u9Jj3
8AzpnG/CacN9GxHycXBgcVzbrpbfmQ7+VTIu4p3aoW6P5Zw3Hes309hNPfnoa+zWv8qhg5IPbA+E
CHDI+tRiEdGxd5zuE2qC+5nZxDhv8rbOXKTWPVG6JWG1T4HsA3vrQpF/j2qbxwe4Ly9pVQlwGEPU
EASFeSqFDbDMVOcCamSCqQ0pnm0Ye2Ymzopd6i54/YQaAGFzVJqcDW25Lj3tOOMNh6WKzOMknIQk
6TLN7xtNQODJ5HYTk8IuNeS/qNqitmP89EyTO1ckdNnUR/6mS9fUqhJwwcUw5+Q6as5A1MTghcCW
inJ8KGWgPtIJgxxCumG+w0IBki4yIp62MZrb+yRx3VMvott6QJAUhUdH9tHlaDvqvRsKRpOzpHNE
4aVJq9IRkupd5AzIiQk71hd27bl4osK5rA5JH9RohAbIwcjM1T2sgg5wsLIJ76tsB1aLU5Ud9uoo
pbJW5Xzb0TyAMZCGQ7jxSVhnLUK5Qy6LYRx3ToIxDLECy919y+XBmJaVCx+WeMvzKDYj+C8vRCvC
yBE1kLDK5b6RaX8bEMzwlFnY8jcq7PyzOEoxqEVqTJ7zSioWs87EX0Gi2nzfmObJD5taD306cfcl
5BNd3C8omy48QczDgQyc7gVlVXw5hRMhL6qI8qsWOvpTo8vpqSos+9kSBl8ENJryZkC/R0BYHUq2
m3aI/P0Y4Xjaw84sH6RuM6QU8ntaXlDSWMwjKzntMnIX6crNlrCYV44Z5wDbb+kijI0NQRT3rCt3
uZdh+2lt5b/bUVWLg5m88Xb0q/6+yVzEUxRAOZV50lBwZ8EUXFME6O4o+uR71l3L9tYASV4VsZID
rLQH/2owNWgCHFjdnbaj+hVAFHbExDMBG7NSGOHwrHFgbUo04zxXPvIVLVP55ExV91ZU61fpdE56
Q1/Gyk8AUKNdGevU3PnKEa9IzNOHIg1TSAUI8SHRGLxK2AkWTCEK+inOH8Un27dJv0OkRfM6at3u
a5CK8HVB3Xpvx8QHy8SoxzossBQ5pqjfXd9Gx1EiTg0RJBsFoID/uD0Q3lVzBmco9tSyDre7oIrX
L9mT8lh334fJAVB8vMRsHMBYx/4tBaxASpapQ8bmCEwNwfQ0Qo7w9dp5rz2ngNsttPmCF5rIRg5T
pDsCrhtvWntEic7zFH+47hCT+zWPCeZuKD9ovYU9bhsqKQrBGWflztWckDaDCJI3ego1djFoZzec
1gWPPmMfcvSsNs8PizIBNr7RYSIg4qLP9sCWYJwtbEZndQPFhTCUhmhhKRAmyLYhg3lVYN2QHWVP
h6Llld2KdTvFMeTiEF28anpJYRWfDxmDtU0XWqnB0TdnHPbRyOGtQJhsDmisyBpRIOX9g9sVdr5T
tO4urbiq84NEjnfnhKST7+c8j25KCCrgj6qFCT++wx4LEpUKajuZxs8WQUmfxAph4BQCWzUPJmp7
1AZW+UDhN11XlAXjpqfZcwknHhusZvLPX4OtT+5UgvBw2+InKQ59k3JOT8qZzgpgluob8N+2PHUG
aO+7tZk0EeoU+F8xBzmPWZ2RayOSrELPyCc67AzQn32YVHWxMnBQ2PZ6Va920swfxKtNV2U2DNG2
8NL5rnaL/k2RE09kDdqYZ58kICAfoUIrh+XeRyHjltSpqWdD9DaE0xIH3nvlTddb6VvglO6LDDIz
bWg7BMjaWGCps2ORNXsD/qZHzdI69nlNrXkbl3i7wYe2tMAYfwpnW6jWu41hq7/YM1ottncveReg
zdeU4HF5kCKpH5Y+npwdmBZ8PiLphYuNuGvec6IViYcgD3q1U9U5XJUiDtDXzgNTwTTIZ4wrq64y
CSqCpyqZQsNz3aq8iwe2NbobYoTS6ov8ypASgqRRJKDmsVujDQpmjPRgqGLnjewxEkNjtx6fddsT
ajgT/f026Q7Z7UR0XrzptF1jJGGDw51pMZUE24tbjwTHpqy2EVHJ5Dq4wnqqHR15d73bJ6+Iikck
PyTdB5Abl1t638hO4UOhAkmimm8UeshAue7q6nYONSnsRVo1kt2to0nkClz6UGDxedqDJ86w0o/5
SVQZFBokKXbEoLl2fKs84bqYhoha2sppyt7SxoiPxEbgvaFNxbCtIHLjQlsD60qfE8uwoeswXWoa
6cXBQz37JcN9/wapmkPJHNGp8JpueDKM4V8RFgJLyNidH+uhs9utGHT+paeHtmzDiq1io9oxf8qW
igORBRMRgCGF6q1DEv3V7Kvgpcw902/VqlVA8hyMLz44tQlSb1vgibfiFNtwS+HStgvSI58IuVdy
97CQWOlAmySeQ8SVhIvpb2Wfpq9WQrJT34f6GbUg6LbCkkG+HVBgXsgOGNSG367uGDQ2XznekP8L
QmG4djunfw4hMxInWYW8Gs8gZGPNNsDxjbjMksgxMpnyh9yE3gMcBOsVk6pqoGmn7vNiB7HFARjV
3mY2AcntsZMMgCNywGwV5c7lPJXl50Kq95MZ4+XVN8DmAV6I/mNIINQfeLDKMzRGRm/aYswgKuH+
SXDCOIC9p16Mz0WLREsI2/W3PpVftklJwwgOgSxHUN/o66iaDdvtfmHa9QBVopuuwNN7zTZrijA4
G0qd9rt5ohSdLAMNQDCvemfsSmd3UfEaXbykFqmn9eiuC1g5HhLYZy7Sdo/fqKYg5uhpF/LKJBC4
KRh0/eS4A9V6IyNiWlfd71ufj7I7cfokv6Yotu2rQUd8xtGQCjzgua6XL87EaWpDQniLC9PTHU+I
Pff2zmbZhp+eLry4iddEjHJrXw4APEoPJsYSAEcdap9g1JZCEaseqTeXePUJboKC5wR34P4IFN2k
NOVfjK0zaimrHyy8vfDHi2U7dUEd7dWyxPZT6pr0Jm4CUE18eED0fh/Y/rej9nd7nc/955YaeOD0
9WcO8Pd/8Q+gjfubDbRaCRpiQEmQOvzQRcN14NtCIEdykHXQeftHF40YvN8ghjPstBXVBw02tAP/
bKPZAX/GFIpphR0wdv3/iJiYPar1F5M7ibNJgN35eZBGuGQoZ5uVimgMeYt89msv3Xrv5YH9J9Ni
uAM/d+yky4A9XKdmCvEFw7Vfxp6cROTcraubKLpgw47RHibBpbOiNBYqE2zjeFGmfts6g3clxoJj
rmemL34ZVd8araorwIM04hmnnAakCh5Hh406s7FWF4n9EVoUck1jntI6VGf90Fs36WDTh0a7c5MX
kfOi5jj4Ai37KpEWmQ/GDfe9i6igG2tinGP1xgIBETOKn6OQUOmN18Am8VgE441OYdEhTQF0sI1G
b7zuS30zopj6iFSESBtK82vAxn+Shk4PDc8i49ZkZ8UI6y2q25EGoI99uxs6Zx9VQ/U+Bxh/4X8q
wL4d+c7zjJkS+wC9yAZUdbIfEGJj2Ch1/LEQN0ePEwjJAbkosnblak5/WCdjq9NI6EMrl3vGD1Yh
vgC7U4kMjnWZIrnf4a12ivZMhJa9IOc29exPZ74JrOkZITjnWbovLOIhAl/3ugtVeDPmcngrTEwX
ng2Sk3EhKvWtN4Sf7mOBxVsESEe3DmJI4Pa9tl5C5oa3SxnV74NXowUe5jDYcu4bnd1IQqPeZtPs
ftVL64WAiXFDbYiM4DOXUx3GZ26i/GfGD6G1MTrDu1hNwqCV7YgKkXAzj0s09g9wFel2Th1hOGfY
ZNocG7zIyPtMuoWk0FAz+GS2lj5BiMv0mdXns4CjNPK4xW3ph1TTwsFqHYQ5pGpSJdw94334ISEX
roHiuW1LxoVy60PTxskZI2xr2VqoKKZNvnTVo4vrQB+4B32fCXciPDGcIVIy0vE+AxPUhNEWY8HV
9JSDlQ6SFdDrlFNPzrwP9doRve1s1CySeFvnvnoCTkhziJaPT11YVtbHGPUdLam0sN+DBi/dSej3
GMeUb+FQsqlsN2rteBEyGxD1U2PdP1umFHt06TtYbRRu5H5bWOuTW9PgfstKWVw7Imq7Hape05I6
5MMs7KZarn9bt+8LZyWOnX6U13BHOIPi9SyGbmd3Tjsexi6cdXzbAyViXWBRmpv+I++g2+0ELqoX
vCJwVgn2NWcNgV6w37wkbJGz08PZJgRHIOa3gKSetdAr66OvdfnNy1SOLyXpil2hgCfSLSe0ZANB
izjeIO/jcBNEOQYjC09etOtQFd8qNwveeCZSKN89dOitLMacVYSk5ZgFw8yvHfEmzl7bZNbCn626
dM/JltWExwcwwiKsL3bGQHg3cc67XqQDWSntVQEKLzMLIMmaZ2YzzfF0W46p5xNl78E31PA8VkuR
0pw2BtLHqgo8ka5zDR+7C7BT9YBeqfsnNz1W3lSvicgUOBUZQZxsUrItq4ouzFGXI9YOi8ysdq/E
aGc3YgTR6qu+M9ukHkExJTW+JAJSLesmlm36LEw0xM8qC9W7ke7wJgtd3HVRUqpdPTmgOX1rTJdN
A3kCdDSEDYexrUos2lRAQRa7zPbt7PU3UTMt3gYbYtJCxcIkeqyHuLuToc25s5Ehy0geNvFnrsoY
7nppOc0Z/CEazUMEMmff6QJ6qChNPVyDYKK8DEvmFpuxijzGKwrA+gHXclfv7alN6EJFo2+fhfXi
NqctrY8Fx3Cq5BFQbc2xMcvs56Gge72d7HAkTM9ZpYUt/HMM6o6IL+aWSLsN0rLZ2y8VJ/HNYovW
uqe6i990Hk32BtU3HmHPhON5Tqsn2texmp45cMHhlnk3BpAmlyjfpraFxYkytA+eekT5+IaxC164
Q806wJlHrJm6xUhYZVyQai0YtlwWIUDMrzU+P/0RdLIqPwmJWsxrHdlZidqybV18J1JO3R0wbie4
7WvXAo4K/xK/OAFCAfqJuWjE9CW0pji9mqtUjjxbxJLFvCq9TaXrRklFxneARCynt9vXljpB3ZZN
13zO0jotA4sgpg3zmAaTB/9/dExSKx/OiQZzuCXjYNWA4GkTT/eZWXlTHrVCAQ/lUY8WpnJMxzOu
/FZZsDCyuYLEUFoDYTS7WFsRKxJzjP6B9IyZfhq+wTJ49GdG3yzOcdbeNVjp1I5K0V6O1ezWzknU
K3oBEwcblhKYCyx+cI3TsziVjXeks+/4NxZO4pZTl12zh7LRDs/E7OT1iaAZCBIEzyt6jOh726D1
RUjTjJAnXLoVXYm7vOftQNqI6PQU0T+tIjyx6CTf1STb8GlG7Cr2VRe6UbFr4Plnb8uobX3fDAyt
LufShy7huo1sd6Z0Zo4uZqr95KLp+UJPorEpoweR28u4IxmGHAM7c+uSn77v4Eow5rieplmR38E4
Prlk/Z2mD72IciWXQAu+hUXNWDFhfT2flnYC+5snBOQFs2equzwM/4e9M9lu3Fiz7qvUqnl4IdBj
UBMQJCWl+iZT0gRLSknogQAQaJ++NmT/vzPz1rWX53dgD9wkSRAMRHznnH2EPkvT2P2uJOjISDRB
Tn95X9ZepFcIwdfDYpmvDnza4aPDjwXK1ZbVcGHT356cw3HyzNPCqKscGIkR6HQ3sYwaHpH9pXWP
3CpzPu5Vt8UjdymVvfaZsS5vDCjscJ7R64M8qy5dIdgusEupzKhbVIDdJlidk6FUKWmoioBm1CyQ
40yrLxkIw3RlRp+cOGCIGDTWT1PRgrCNK0ftMyo0qdtMy0v2DPOH0xjMgTTLVsjd2R/s2lj5JdM/
VXVzfdXRh30wQSIC26CeCIyggs8wTu0pDWQbQs1awpoxX+TpRZ2OY7N+ralMkOEgwbX4GgMX+j61
DRST1WECvOOiljPTKpPSMzejnw+3+qXPhLLGr3BiKUCgUtLCNfbem1qK8STV2t15RGF2RYJLpx3a
5JDr+W0F33LkRE+tIeXsNJQ1w7c2n+trnCoTHqBUnnSunT9S/xs/zQWpsJDPCs5w9OuAL7k0QdPG
K2ba0FzYZIrSIbPoeUwec+fE5vS7tz1XLxs22OSGJjNs4HpBq43toDwY3iq+B7H7ym3SX882WCtL
45PKKau66KyBiKUJ44bVquyojhnW66Upi4iVT521buscpaPF98S2z/101lG7TRer1RJXsWumO9W2
xVnuLd3diM0Y2jREMmxKOM6Ofp9+DLU9ROzmGp6TtY2yHWQOYDQCNqZdfi3AlwP23Wgm/WTcwkcb
I+pGvNOWokSaUuvqjiHbchFji77QOu9Oa9C4h7Uigp8viXFI6U1kOWX7pJtYnYFNy3iy2Z0VQsLL
ztG17mbNEVk2KUoG0eNdLFS9b3sOv8VcJwh4uou8ZNBPBmksWNmzCdHWUR91A3cyXnovVBYRUJIc
12lQP5gIXsDthEDJij/sxalOpgDzCTvjiD85Iz7UNcPRy4zla0mjU3tIA/vZYYuLYujOp3VtJezf
jRL9zl/5UUda+ACQIQVcW8CvT72gdy5cHpxHJaev3txVT8sIzQXx2DorZw/kV9U2b23ApNfqdXNm
rmV5StrqLmgl5RoTbxwcDVPEtZrqfQ4UFEMSXrtpZ5ruQ5CRWw5tQvDvsqldmEe5232YvZmdNrYZ
RyAWkBrJQVG4vWFvWeQxawZKaGZagJULfna5fl8rf4AC3It9O7I9Jdj5mBeOxxmndCIBeeHU0QH9
jtqa4KzoZfjI25Qa6/+4Z/TyWevwl0f96L1qvncvGv/M3xtp+JN+HwFYkqgSZ9/AMqX5B532DyON
+Ru2OPJNiHeuQ4aEY/4fIwDnt41k6xD4cGDNesSL/pwAbL0SVE1YBJ8w3X06c/5BjEmawXbI/9PA
S32U61ucgjFTSdZcYzPt/GivZrkbBWl+JknYJcFGJwvMlH7IFtV8NEaP6t4zNKs5VVQccBaEsRgY
gGk+KZdzVijdiV0JIsG2tzEsUIGw3UjRU8be8xSqyi6Kq3XNjoS5vGubCcCLOwzJXVoIYVB+xhCO
IhmUTJbGMs3CLjakFTJrNE4dByA23kBkNrhtSK27tSGEEyXulJ3btO8xKg2GMQmHZTa/Cbb+Fpp+
WT70qCzJvrGwfezcGNPuzhrnVRwWECUp/J9R682Waa67xF3d7zy+5ycuuva/NIVbcBJFRniLO9ro
DmPTpBeDkQO904VbUhy4et1ZY+WcOxlyg9HofIwSe4AkBiSOrgWfYGX1dwco53AyOn7GIYKZhAyN
HrGRgyxmUEFI2WfOKernwV4Jd8y9NI8GyyJBzUXVh45dNkNDR093AjPqEmod8PCovan91iJ0qj3o
ltYIJcoAf2c6spkF5LTsAo5bmL2rFXuCqdEuwhYt83Hi8FKEdkHbPLaojFYme8vgjiacndArR/tj
MYr1qjKXTewv7OR25ixpn6DXqg+P7DsSXJGN82mrVsoFRGxk6yFY2gQmnjH4OoQY2szYnzvHPDAA
KbkilBzdQdM3FJtZYSBcFs4zVkAmt3mh/a/OmPbj0QQ5+7WJ+/57QSGbZnNKrciKUPvOnn/8OlpY
DrgzYtgYhH3Nm7Sx7TdvGCFmZRkDiZCCaDSSzhnpth4Umc09MBEmG+Yw0OgrRzIMNynkhR6Fpwbo
cwqGDVmfCM6U6YsCV4UkpJ+gvlTEdPB1U5JzcCtDWVBNHPGMq2W5NOhcWOOjpPKuxmeuEoZOscb5
YiXEdvD+LIa+YChO8W9PzIcCxxI5mOlUQohn9KYMAj5CRe/fxL3XQkWyC1oDznF36rrYzThm40sU
FcqWR4MwHKIpJyHOJgEA03J0iukUY1NhUzcU40R5Xkybz4kFVWb7puBm/LJiox3PjZT6llOiRCjG
BPrEwDtu4RUH4P9osm4LszlTjA8gOowurda6YNsY0T9aGBeCzb75aNU21SIr4hwPbXewwbB3JPg5
D1JV8DBCdCcEXptp/Mz+KKu+Di1tnpfwSlz1ZShE7jzWTRaUX2i7Jk8bqqFViLtUpua3IDXG9DAH
rEC3RoWyxmNTxYByYRVNl0oN3vgFDAfR37kYqOiGHyVwD4+DP1lwm5bJuLNbJAx8LHm+hjWKAcHl
KeNlpDcQXiaD5zyVYlo39G8re9wnmfsKY08xsrBWihMSdviY7vKp/DoJ053w/3YzkLPNhLV2WJTP
OTWTYfE0RhyaVqU+lVS8v9swtPwLkAUg2JIKxw12/GYWV4GgZwW4tbL1geO5NbxQOrXexTkElR3r
bg4lrQxUdiFboP14d0ls3Rq1uwGAGt++ASPuF+xV4vHGnU1zY++lLEoO2m3Ox3GA3sfuNH0QodYH
k5MMSJUSkhg6DV8pZeJsalFrhHmH0TOv7pw8y26zgs0zVLg1OZkWw6/pJx6TkUkPiP74gEfTucHG
2H9fM05pdpEqdPHcGA6TM0+vRUJIgR3EBLE61OCF5ydcCD0l3nNf5SdWgR0XbgFqSziQN2BHrHGg
7bspK/ubgJ2YAl0HX4CqmVrHO71kXCyBSojjhLL3it9gu1xxD5AAyAZ74320dnWRmvi4IuGm0O6Q
8b06gv3VXGnfYWBnhaoNlg9TpRUQVXw1KLNJPPtwEMoK4bjJfHUcR6M8K1ROkz3X044vi1oX8ENw
dO1n12TRBfngXpeF66GLUhALlyAQMDuTNMsQOUfrqfQWk3/H/OYJ4ojr7KelVtga3bJvbxFK1bmz
ErvcSVm5MM5wCG3+0TUNAI8U9VeOqsOyB961yZEEaDf2u3eHX6vrMWbncrmQ9K9dZhxHPxpkNC+s
CfrhnNH9dGwlN96Ja0HFDGPc5wZ736GiPYTyySibBySkjmdOgOsS5h4QwVFhibHAJlmgPfTGl+Ot
FiVbcZiGWOYPNrhxbo6aYmwsOhxjmM6octwXsUXd6gje8CYFkvXU9izUhExyp4zQuHANsG01kjPf
iinN66petbvEmhkubtXpD7OVUtJtLt6YhRbNOumOO9c6aQTw+d06s57hvhmmag8AWvN30Ri4gAyG
RnbOsHVXm1nv7gAZwwxBe1VtlCkDtgKUZUHx3di7KsKnAwPdQbCIdK78e7PBOhPizw9uS5pd6Jci
3vBa8mSudxPp/n5HFLu57k0ZxzuUauthVCsUdmAL/RX3hPGct07fQwvIAFP0XI1XdjSOOEyenp9K
2oVeyXDCa4XwyWh3wQq53caWuKdJJn2kTjV4wyTBOIUtQOFinEx4E067NDCZg8rgsZn6p2zpeT9F
SQPWudG1fIWDHAimeNSNb33D08p9P1czVeuBWe8r7FzOnc9vZoqMGtgDKWXVpXjs2r46R8NPIIJW
UrwXSe8ylgYhZh+Y4CiwwD6DMNh8mPD9SQaPY5A3VwMMtAqIeY/DmRLv7srEBuHvch7X2d6c8+E6
9sAnHSFlNdlu1myu0LEBrGNXKqvt9MzaRGgIRpGVNoMVFkJW2EnH2sj2trL4z+NsJadTN0xzwqxV
7FOKmRa+A8zs8nwKwMWd9JupKJpwWazHNVnj+hKVdXkaOwBTR2cc1w+r8zCz2X3mU2dHH3113s++
S6ACsfTc7Sz1hlYpvhUMuO4hAVLD6uspeFVYU0AFm+XyXjH2HKKVG/MpnkVQHaZVWOddDBwfdwkO
pZB/CAl17tcXqxt8JzRLSurJHlg07K2+gTewXwz1dZAe389i9t5lOQ5q2GUzi8luKjGK4tnp8i/W
3Gpz32ZtfGY4Y2thJxs1jVZr9gZ5X2F9yPrqru/Kln6BOX9L9BwUkTF6+BpmQGDP7ZRgq6uyrn4Y
0JHfG7Wo65y5vcYYagT3nRcUZ+00DS9sX0lb+wwXv/NU7m4a1C+swY30wNx30GgyJ5MfZresd5zr
1xOwJQ3vuBXm84gf7hblt0aJakpQ+UtKCsDmnMq+jKH6Kxp78m3xSufFG5gF7Oahr1/V2kHeHool
OGeAyP4qTuO0wJnQYVLgTrmYMYbauwbiDEESa9IV1DFyZbg3ccBv7Vo+YJgFgvyS5HMbUacDksao
PPXqtu3U7bBmAhPS3aBgXZPEqtJ5Bm2bzP51Z9vkySazGziWr2twh0GavnKvX5dT4mNIbrlfYLhT
iSF49JR4RmsW7mQnVsam2NT7sQFFWzrdHjOY+AYsCym8dTOqM7wKmSikZc2ZDszC9Lsy++6ZbFJf
7xjTQ5KeUpyfoW2CGYtpgvjuYuK8z1kxcCVrLZAH2OQ/LHkBoq9f86E5BNpdT1Yw9GwWSmQr8Nm9
AKioZxfLtqMZyBYqzVQYxwZih6IMJwjJTYHDzmRXUCMlCh2cMEux2DBjDEzDlaHCuOvou2Gtb2wF
Rm6x/Qr8kxL3cR9r6rC2eTz/S0w4IBf4BNlnATKr6wX1DGyKtdHyFvtipjWeVqNgdZ2wFeRiQ5tQ
OWkiGxCc5Wx1k/7Ijn0HDUsx8ve3Ds2xypv3mdJ4GjgACxuR6Xc2W9Yl4MkiXCt/0dwltO1ZMw8f
pUfjeRYTJ8AxVT3UFlFRe+fHnkbsM3jRfTbN1iPfs7qWReY8dT7B7d0w4MsQIigfY20O4OLXQPt7
7Avp17RKWv/AmCxdAelAV4o4gdnrrmbO/74aeGx4S9LId6pvdXLg5zKcxBSXOfsYtzNlZFjeKBtN
DKZoHUe9BsSbzQGS8q4F3FkpiddikXPTgz1P1RKNccvBsjcrPJtCl6Y68Q2YS7sGORUUY1F7IrQH
1ppD75Q5NkOqI/hqSIKlUenISh37ZSbVJ6X2D3luU2XnuLQN0IO7BKghtgC2V5rr0F0KR/e0HAV9
deExvjUPeeLLZkdQL2a07bCURXpYaKsvx1mC4Knpi6TIVpb9vnBjCtVo6MvcO9B8JRVOIuFICtKY
WqPGYrC9o5QOruHUuGN+rNYihn/ZNJt92qrc+hQt1Mf5XhccEcg+8kA3Vob0mJbjAMI3TxYiedZc
10c2M/09RtKmOCNmiIRqlQo1CkSBArapFKvsmDjOZbBSch3hdhS3c8XW9th3WOLCxR2K4GJYmgVR
LvH5aMUUBG95JyBZtt52HsbjoOKD4rRR0izr9stZESNwQenS40NbFlSCKVcF6JlBb4KdZrKYPBhB
y7xfkTttQ3cpSzawKcWQ4VLi+MUaa+AEXXsIgBGDOuARQcJjCPtZFjTHtuTWOnTumOENHQEjH4De
cf/an772viRGgiot2zgCdMh0oBtGSuLGtBz8YyVxKVGWQF/Urq/KAt986+XpqemliXeS8GBuKCBB
NT9Z/UThuafzITvh+Z8l/L43X35ABkmfqk+/fv/p3deQHziaf3r6/U9/v+mIXl+zzZ5w8bpBa77R
C0bYVrmIAJeY79Z6ZwAsaTEeWTwpZVmt+RFgHLkC9Zkx4A0WzaHoks6i/mrLIejB0R3hJPocmfUS
VQBhD1jQ2x7vEfhHHBGEPNj76LVxqP3lrM5438v0GjEsJQmhF/B7p4GzMDfeYrPZXqxbcsL+TFGM
Jnf/TU9AKAP6VsTOAWSeJyMRGHFzRGOO4R4GBHKYIZlt5x9Ga+in0wk473S1qMUYL2myG6ovkjWi
vAka1WX3MHPpbMZZMU5PjFq5H7F4rat3SwYnTs8JTxAkISjdz4dxYYlf1NjlNDgsANAmUznOwaKG
KIYT9plNqf0BlOw6tAQIWo64Hcd0Jid7biiCLTPSOXVzC7iPc2KMW/jl9yDMZyiGM7zKo7ZydXpC
l46Se7PUhGiCck1bWh4z2e9dtw7y10JR5+l7VdWeqabfnLm0pszRwiWuDn5Wa33eWf2ieaLSpHDU
S2ItBGKHSR1dq+KUCeQzZxr1GQEyMQwBDLczw9hPEyWVeJVJyexxrqqMOPTsQgUoqqE/5QE/cKc5
Xefetpad5reDVxNDssgaVEevsFp5cKaMqNL4e2zpM8IE/o84kxXM1rnw54EB9WfgSX2Gn0Y01Vs4
rPkL3hcHy22vymG3DFtoqvsMUFEMR5jKVWV/6W8JK2PGyxouYzk8+xrX20rDlH+kMIFgFrWKhLRq
3nGzb7bsVkIBokF3tL3cZdKI8RSuKKYRE/mWb2Yl/+UaTYD+PUliYYwfa5oRGAhm+67wan+XfcbI
bMSoa8YD2IRQ+t1TRm84VAl3uMlu6fPqifBxE4diIp+WrbQsHAQH3cesI78G8X8hCYdCaODHa7xn
CWjmdfmMvbW5Tx9i/BmHwyQynklbIiIUJteZ1XILz6Grcpad0y1UZ3fEoiKzCoLnUmiMKKt02a2Q
piaOR40STPYOD/EbP34Ce4G3hffGzyBfl22hvmXL9w0D7gKI9B2ZF3bwM1vRYgQMyDQsKYb8gh9T
3YEKGGc9XZZqyIYSQn3Xs5Gi7QFvylYdjbrkiiqjQEgol3Mbyqokq6W5S6ZLplt5co9xma3FdSfd
xrrshQxGkUQ4eQp1KIJK6YPhDg6zWuEkvbqjS3MtQ5QS2907lO9N3wd/NbeKS+I1SRelnSHYuMdZ
yzGyHmajvpdNhZPBt2Z3iFoXE02EAxna/qFZOiMmVmcP7VKGQAqULQ62GzPqTAHDZVhKMkEdSRyU
7knpWai5Y9ugd3EWBB9sFxzgiHEMTMWPdg3Kqzvm2lvly1guwXhbJkjVJ3YaOzZfNq1Yt3VhLPN7
P9oxO1RcPZwqv0wE0JojgwGDI0xFARhPHg7IKctFoSZ/+J4G6ThdGCiq6WNnecaI4aCRJHKY01UJ
KeZpMs0CUw6R7/Y1zmlMe9Ym+vp9EVM7q7ANxJwSqB53GYyBcO81RiSvDhz7kQ112t87yernO5RD
P30zMzGl6OLsfd07TwVsvgMSAVD5bB1kuLgyIiBXCbdGc8sDidQ1uirVJhGPSb23V8xbOc2wD10q
5/yIwaDRMGUJcxgQcpiEeQRwbAH3m6M/Bp7WFIOz44urTmPKn1uMVINOI53OIACnOS1h3sXtu2oy
+VXLnElPNrUGrRitzfYwI4aiWFznXJHuQKaNAsiO4nSLvNVRJzTkVqU7eUZHL+0ok/JjgGSSdvFw
tmp/PuIIkYBTEsU+WXIOZxUDT3/XY5yrEBtbusnp+iyR67je7GHbgs6ptq1lFWFQLEyOZZKSDRUw
TWI8ZLSPgVTpm8jpx2CWVIg7JLQAjVKqytwvTJhwXRf8sAFLNOn1aPIn7eJJ6AvGRMBopnYSG61Y
Z3sGmrNzDY2TtjbG/3iHusSK57CgHeWt8ev5a78GlHZkpQ/KZhT0prKu9EDcOy/OPiRTUD6Clwoa
JzoSuDsmmLh4US+SHhnUH7+3lrbxJ5oWorwfayn3+TJ1j9jVidv65Wje5pOex0hCgfjOMS2BDV0W
t4CHUwpM/VSEq3bbB2J0ebUbVgcWgtZmz9nB3LQVOU65HxnKTw5Tv9VicDdzGp8t2RL8UKuHcWVy
KFNOzO599AYX0dgYi5vFw2W591eP22wEWHtScP/fxrXnAwJgxH5rc0BpYHDkKbaHmPapqeLqjLqb
7nSwDAwDRYc7aRS9cy2yRNW8uTlm1c35JUMkqfLsoDp/AIpfZ1uISzTTtwrGGGcMRZle4GXwCLp5
ZYMpVMxOdB1zTo1TyugvwmJoFPusIE69KwgevwhE/5klT1UfWwHu+2glWRQzJIoW+BfuOYFMHt8k
rDC9pQyiF4rgFkpBKjzuTza74SVqm4Rp/ySW6Z7MUpCeBqUgZk3L9exHpmzzaWcLb7qYMY1SgQcL
851zVAamVjX+eVXkwDLq2HCoDSMTsOtqBdMZcorf7sqgzD6c2iCBnesaucZRDvMVmyIk5zKn22Cl
mMjwWFPKAuE9s93W3gumJHLfsfqlZzgEGrbIJKjDhh5jDphYUzi6sjYa4dpSI5vgW8QLkmeGPgTV
Bs4OWJbsUAkMNBsynvgpExrkIDBZHDlVt5GFOfS6d/FkGV99jX+V3hArvbE6g1ovbJWkuoi7ZG8F
izvjkMnXijnOyHGcMYZtnHVKtd+DuZ0fJL8kOxxj2V+qoSLgQPGLuCExkUEH9ZqFVEivUb2G0ozv
O1vGdGglFhq4RfcIwegAEeSSLaF/o3CNgXsmRLqN5nu8gQlzX+9kdSvXiHC/pI9BS1AIC6xFfURs
T+qA0QOOuIHTilGOu1R0s435UJ1y9jPvOLl5Z8RTEjpB7NyZIyNWFbnIGV0uNMdcrrvcrVeqEVuq
ep/6tdEI4GMFp7kqxzfPXqvi1tW0KkamsQ2AGcMgBFHEMdxqtQbii+vV1qUOHPC6ra3zRxrAjZuJ
85c+2sqGPtXz/s5JCgZeOA3x+hVIm1Q7HnV4P+axVh8QStZhZ0wm4fpeGB2VV55Mb0cKo16gGGBc
XYy2/0q4gV5CQ5XN9/+I87+L8w4Eir/w4TcdRIuu/q+Lly57oWb2tC9f6rf+R7jo9if8Qbew3d/w
pwRAGyEd/a6v/yHK2/Zv/CNXbnwL/DvOn3QL0/gNKJhnGTjz4dJZ5p+ivLR/kxvwAhDZRrXER/qP
6BY/C/L8+bDvDGYbEmu+adu/uPKps6kbcmTzdSE6KzKEfPZYKYGw4wpr63rdpR3Byx+u1vXvcv+/
Z4z6vCboT0wAvung1Idv9bMJQPWUPlu1nK7XcRgPGWzlKG2r6nfwyr8FkslfQgDby1g2LkhUekme
7levgVR5CRlMjmxP05qOyOpkTfOZQJZtUjWINp3SpnpRTMXpXPt3Lo7E419/TvkzO4wPajrgSQzH
k5aEW2dt7/AHiBcP6mFZ16W7hiY1ntiqCA7Tdpgk3jTt3N4pzqrKMKM4pfOzakFW4atpQotA6kkh
OyIKbrd8GVKruJBawhIeVfJquWP6N1dqu5l+dGXwPr3ARuiDWswXwrLy8/s0KKTIGeDV1zSypgeX
SsjQqRNxnGpaNlfMjITZaDbbBVZ7iX8KhXNVTxI8ONyJ9U1nSfq9NrV1mSNFnFVxOV+kVHacgEga
DnqyrCM96TnrbaBObGO4ntxlepRW7xPaC7Cy9sSICm3Uz24+3/3NV/AvNwG3NpffJAbCx8T28fNH
q6sF37Rll9eIe/YZu7955xGrPyfe0e+CroSBYDM1tONq2jMzNw41FO7or9/Ev15eDDcbhtY14Zxi
zPn5PTS9O0GGzYvrqdbUs5YOhROIMtbkDofFuwrWRO4sBJ2/u/3+5bM7eIAC/oKtQ22X+cvXqumf
H926Sq6ZnKdoEfJbmXJsB3Qlojjvg5NMp3deTMSvSmCgim4U4V9/cnP7Kf/g9zEM3EPgOzlFsc4F
hO5//ui1DJqa52Rw5eVNf/QSYUdkDb3bBCVqz0C3PMrlDnfNVW8uNFzWKGZZFx/kYK5Rk7UN3SFt
evA5lN0QB8CcDBSlFnVUavnIWHWn4X8w5v1HQF9+t7ihWJANDqJ8Z86vmEESbwrLohlcdVng3S3g
PYjB4pT464sjt+v/08XhT6etZVvCHQkN8peLQza8SRrPX69I553OCfPJWXKT+oTVh8LJD1J384ul
7Nds2CB7LjbYgUbhv34Xn3fBL++Cl96wsTxReBJsd+8Pi5QoUBKxyppXtRUbl47C2bHO5dOoAwoG
GVt2YWsV8hyfP2b23BhfHYejG/YXD19/1RbNk+NcpH0wgZMoiNTufacDvgcxLYy93N5Ms+32LLG7
Z8bV1vtfv/1/XWM35C15ZVMSuIU2uIEUf3j7CRZ7pysC4yqtnPOOM8MT/cHTPsdkuuyIgeHYGocg
v8hxv194mU27HUJEfOqNGMgOdspB0F5S+QyJrr/wUfs0fjAIT+zJ17/7QW7v5edLbVqO9IwtCAfU
2/7lwWfiBqYDb9RXVl61tyZaznFqyV7tkkIeSLcL/Du194VZ0vxQNYoLWElY3xl6U74jr93vCrtm
VsgxSF8Jz8J6Suxj/P1H+5985X/zY/7h7ope9Mt/vdcMIheSle//898XL0OX6Zf654jl5//0+1ZO
sF+zYBIHxAt5snu+x0/6/2HiPXZ53B/MDmzYrrCm/7/D0vR++9yBQKBmMWajxb/6I2PJZo5cJv/Y
ZH3m37OA/gOD5bZg/Hl/OZ7FLi6wfZ6aGwkas+/PvwXTpWpiHDLqaac2LD2wCwB+jL9ZMH5l8X6+
COlSjJzg2lg5fn4Ru6q8hPHs8+QXKaENGCx9JsSZoQjW/3D1r39/4/9+n/jHxyHsxfZ3W5v8X55f
dEQGZbAET3JBHyHCx1xOL5ue9U9fxpS25fiEBEyXb+6Xl6Fml0LA1nkkc1L5+9qohvtmoeH8b67b
z7uA7dPwMtCYwdU5WG3lr19O5kNCba3HNa2QuJ3Y+samKA5jsDawD4Wm6tNjYEL+++KvP9//9cJw
pll1wDMHtrF9oT+skAU3IFlQ49Gq8jiyKN6BadODV8FqMhC/JcWhFje/XETW/g3ieNvY/Hw/YvCy
uEU2tLbHz+XnV4bRJkyKBh9bkzroB/IyU7xjmV0dSldMYZAlqtmLuzP7gEPjmNrbN75Cqvrrz/+v
N6y5HXK4/ty0RIJ/eRfuwgR0VaTBcpJ7bpvct0w3dkVRyX/8QpuJ2pIG2F4wgb82DkxCpIuXokvr
ggahgcH1WCzUusxJ8jc7dhzav15arNocAH0QvDy5/U9m4Q9fak0IZzLa9HKlMQk0mp2lOoqpL6fq
DGzpXdZNhQy7tAhs/FNjfIb6s2B4dSt6VnusxGA8UCuwW+spnaMap8Irlh3E+6FzrZeK7mbch2xA
cBDUbR1HLoAIOjn5jawhjTumH5pd5js73FsQYKx2Oy/SVhcg6FCUpqkJpJ/PN32IoHBGEFHtOLfM
kJwe5AcB07YKwcOBDEf9t/ovsSXXCx8X83nGgWk+kLn2s8PUDurFr+gxvuhFENc3Pojjb1Tn4dwr
rdloUNASZj12nsM2KaQ1XqnWHdoDW3qfPJ8bkKUQvrTv3LGuZuIRtlZ7tcQ4YqppLYKdUVbNG4nq
3NmXUHPH09g2u/tlnKDnAOLAB1EWlfBO6CHvT1VMA8xuZY4371oSJFTJrk1GCVOCl4ERzTLv4SUu
4z3Ik9X6ggkUvtXmZH5ORZ2+dXBz0KY6QKqb446k7guTXiN5Heg+uF1HR+hLEiQMuTBB+NQmS3cm
sGgcDZGn7RnmICvFlurnqQVzi+eMuEE26wGr0HZU9wGFS6hBa3EdO9gyJw5nomSESLAv1lqK/aJU
NyqSIROpjkuyhKLrnhTj+dy6MVdb+dWJMTkYszjGyaHH+FaK2L0jOd3o+Rh0bUdNrTUUOvtCc07R
GgcJrsgkbVg4qYKPgkeP7RjjwcVbtX9flQnxZri38NCkcUi8jC9/J6STzl0EUBJCEzRGM/Hab/GI
imsjT5KFTjBSNIkdg9QFJpBib2SfdE/2di22Tveq+1g7i+lfbhpuG+yQsDoVnzO5rYfl2oF0AdKx
ILtFPMnN2btXIbK1qOsHuDvgsCInDjish02rLBXZFi9F3oZRc0txWQ8FZUBGry7TwCiML+OIV+HI
hrL7mBaqh/EydP4FuXdqOBpZ+d8s7K4Iy4Ri3nNMmsmHmrvBvuwX1NwQf77ysMaNAnNpmcXHmVUv
/br4KaNOHCOGefS6uVqvY6rWMEjmTnI1KwqQESvq/GlGfqETq4PqQKmUvUouhonO/S01pQKYvHK4
OKcbNHVPsinoCAQ4M6V8OY2v+RdZp+2ji8iIxrP2TI3l6hIL0zKoKfuaZk+9JmlBKtrFb4kyT76H
/9SeMUgD+0lIBMO5G7sDyYpYPCyTHi1KBsc4vsr0IMuDv5BEecyXwrHuFxw96VsA/dv93metRS62
rBaSc9RnVSZ0mUYGgkgfP/fgIjfQ8VyGtHmgL8ZAV6VF05eekG2xzY/5Q7FiYMds1qXeRFs6Ci/c
4SZh0ikMMiXnok9WvssUbmYtc/d68QmM7H1XDH5YT2N50zt4nkNJD2kAu8akWEaK0Tb2Wd4jEyyD
Ms/hFK4E22RX3kg3na8HSGk6nDv8a1SFqWyObAe4Eo9pbHCE/CTlTFmegpFDACyR1D13iQyJjzas
pjGlm8IEMg2OtciOKoMiDTGB2rqjObvxzWYK+Yqhg9Qg/bT8XDLRxJiWK5fHEC3XPuZcexw3/63z
0AiQspHNoDzB5LZ2hA+hU7sHEynCDc16yAAeOV16wckxe8KobgmW+Xy+pgvIsXZBI4psV/QxYbCs
RoMJ/dqpribLZmmXyA5f6YVN0NQHBGenEDGhuLz5PpTGeD87E041LzXzd4zlEBtT7J3PpCmMC9U6
5AWlzjDLDYM20v1k+MsTKPGqi1on9zCzWb1wQk82wbPD9L+IOPDVX9YlITGZ1FP/rZ/69Gnxneo1
NSdsX2ZXt6+6asS8czPacxRBmOyYbhZ/sOdrdVoIhkUHf678McqtNXt1PBKyI3rvgxSD9UKEHGls
9BdSDSAGsjuJLvmcztJ+GAwxfWeFyvN9M2SBH/GYk6goXmcWZEd96qEXY0V0W1Pvg943fw3Ju40E
PP6XvfNYkt24tui/aA4GvJlWoXy19z1BtLmNhDcJl/j6t9B8lHhvUGJorokGIpvlAOQxe6/djFYU
Eg82cgWyxdBWquv129m0S/QOHWuVVU2tiI3QmXNWbyM87S0fekEjzAGj+5ybAx0bDlSk/WUxc/v1
JtTZEi4q+rg4Gy9hrI+nmVpUXSuyJ7/6JOvOUhvGO1yfsP1dDlZgB1lv5hfcOtFllc4YFRgjsIEs
STaEDKk1HmtMvxX9auaUDFjh+NOHhW81Q9c8sQWZ5iz+UKlXwm4MBMIsTyGZRAXErgE+tlNd5jJC
7qnPY/3ejo7UVsJYhN5dq4An+G0DmtOlzNhaqnRIuGsAAm5m0N/IfuZ6xKAy1Gg6hS8x72foQ88i
cwZ2lYksyU7UouyZW6YkFjTCw7E2I1nAA8IVCWgKSc2tJZNp3n6Xev9rXf+xDOb//UZiTf/aEkTy
5w3E8hf/v4Fwf8PVx+YBJg7V4nf/+XvX6v9GS8rgx8UYb/KIt6x/Nq1Y/xic0+suQxXbdpecmj+a
1t+wEC6RZCwu6AEZk/03TevP5TkrDss0CfrxDEaFeOKNX9qTigDhyKqRZ+g9dqdIzqfGYuCWIgr7
/er4txuBpcP6VzvyxyvxQnwb5E3ZvzQCncFSOyrBgZQ+F6TguYVFRE+ybeHp7y6AiuxvGoKfi/Tf
X3Ahm7ue7gEP05d//qciHW3ZKOwgDYnoTXZtN7FLxi2uvpQPuyxn0pmvKMKBnEzAEx//dAH8RfP8
V18r+W0w03HI8PX+8rVGPO8q4YLH1EFPhJI5ntrZhuzKEL5jnP/NV/tXr+YvNadlLyOuwPz5kyLM
70rWkWFNWYM7MmpLlDrjom4YsWUN1//5s/3V98p2lo/GHomcMq7aP3+viaHEWOVV2HppsbNZf4Zd
5mEvSh2UKB7C9jq1rjOT//nPr7tcIL9cQDR2SzAVSzuX3/fn1x1cJ6tRkYAONmKU1c0aupnLHtj6
iFoS3XF8xv/9FcRiUGeUE+AUoYv9+RXN0scS1xahgeRlRrPoBfuMqvIi8wjqyB3msqgA0PLFY/83
UwMgYL9+WvqqZYfGPnnpNc1friAoTZU9ZeZ26DQIvciRZw4e28Ri0PM4+Rw9M7oQ32Rf75vya3TC
PYgF/at9U4BHT0IEbgjDuFWamQP/W5DBRjcPD843R7hOWrIakNqAhskX1LAlZYxZ0ujL97FlkrIC
Rmhfa4HbTrvJlEbxYOcgbqlpqCVWUpK8sXEIqkZrP0GDCRUA+SvCuYdbgR1h4oBMy5ueywJ7TJs7
0SaP6/qomVVihVmaw7PRE4+jMbdnR6ErlJEZzpnXm2vMlbVcY/ysqpMfJxnYwalVHREineMIuN9F
kJEUUik6z52qbRe2rVXoSGSQYON16UsXM84wFp+gfaZnZMqJu0uMJLtFrS/dGxplZzvaLbVeLdC1
hWIkETRvyqAJLbrpZIOlE625UAnq0hqJ6AK6LfNHgqEz2MHkz76SZJGI9YJ0Q0eW1tZLNSy5zCKC
HrEwCrLX2MW8vGptLrAwYPf1MNZs+XaBlC6GJc2FhJr6OU4TaaKKxVwbd5cO9ma4odKHvoUD7Qe+
2Q5erR9ASKkMheoikum8MVn6HF0nHaJ9Ss9nP1oiJoG8J0e6JJdd1pgOkDSpl7RKcBCManCM58Bi
5WqgYJJeQaZQLIluwYmlsFdMshSPTMcrwng4L6IonLo6rmF9Zbp2Ug2qLDZXPTpMouwGO2uetSwe
vS1iOyEuh4r6mCSmsm8osCA92s1VZuKOWxGWaadb0RUobvIEXf/aqCaXbEO77PUAgQQJM7e6kyTi
WOgj/gYhWIasJLO0qiCBBHuMvaKQLGIY2rWjPQNvZAi50ietW+x/hetXZAgqw1EvZpzkJAdRZOJQ
aiycdl06DM1nwyZrxCqHVTFG4uXSS5X8QPwul4YdJfGH3muVQWc/kY9Oo5jgqqkbzXNC4hSm8XnW
oWGv6oDtamg6rQ1CRI8hz2S9bsah8jpwIkVXeV99bps0xl3GZEMZ88jtGPg96cUd3iPs5+NwX3hE
b6702EJHSrAxKurMtdWzGAKarWly0rXEMziuPRokH8hLqd3hABufUdk1t73NSb02IM0wWwoGFhQ+
Cu2L3GvdF0wqEQYBwyEju68UjZaWIlGbisC+1GtClkC8TwInzIy2b1VggxFnlKlkkOepMu6Ea8wP
BZnxH5oxGW9Bm+UvFizxj4atCb5y3lO3qQBYX8el0N9b6QefmYrqt9GMnIE5Ttt328lvMMfk8OxA
uNBe3biNiKwFUmR9QFMBqATg2r6D0Vw3kG4ZaYSolcbHaFqeOz76N4zAMsu+LFM4NQlOPiYmbEjx
GtVyJamsdVW8NokFhRxSKLOB8jBAy3gxemg9K539+iec8ZjQGTedxSarIsgawmbskbFKf5mDphLr
ps/oTAsnjTRMjHr9WOsOmia4Q47BMlxEZThi3HzM4iqRqxHNM0xioDcEeZdu6SN5nLuFmBrNiJmt
moWVb7IuROtpoh1XkVUdR3DDi4fdSO41p0Q6Htmo0QGADs5z7WeGDhbPQ99L/lbExd4E3i1b/Anb
pt9EXO+2XbzKgRXxRkfxWGzttIr7lYsisds4tGLFij1WUZ2iVJEHAHU7Qq+oiT5atUYMzAWsKFh6
04tv8eiBJC74WAcf54G4Sny6vU0hA8Egn7/LA3T8pVLXdct25mAZfd0eJ5omWjJ7giC4sAPc3WKW
dLcTd1sUVkONB6bVFqGa2eTJhQWuK7oPxkCbt7ZuE+WcpfhV74rEBuBeNi5RZ62mEMAVo7Ti0E5H
Zlla4075JhHgbTdjrvkYjyVS0fhHUA9x8BATthqfhQ4wdzsLVhE7z6uc/gR8ChyDWU+5+MT0NLTn
toFmvPIS38ZQ1jR1EE6WGpvrrO5q+8Qz10u4EasaPWDcB6SoZ5qsP2DcZedFbaptIurBEQQDrXZ5
UnZd2Bd8rnl+lrDl9FUXE0jFcWI7SXebpWwMrgYPRfXGTyTaeCqVdjgRiqSro9DnNKf5CpKerSIY
rfgd6fZgbHgQ2LIGGMBE7DCMg0XszCCLJKxxtUOq1ImMqXn0ASYazIeY6JovUQtxO5KRcoIPQa55
X2nap2x6uTd8cLgwELHr7dJJ2N6a0NDlzrNhUa2GNvYUjnReaps5DqLYwI/bExloMJDxMyP5kzPZ
FWtMUpPcQV6u2hBdrfcx+E3drKc4kDsj6TRnMxVO90KqhP2YuCW5UBqc2Q/JDojnTyKb91FwlG+y
QDbWyo6NuNjHut/Z23Eqo0c3V+AcyayKfAznaTQ9W64FBNgAKH+yEO0uv/c453hocJldqTmfj5z+
SY2r2I38KST0pz8HsKznizEtDeOOTDr/UcYLv8SvWdxvAGv7cg1UegDQNKfIYAH0jdUdu2XbPyA0
CrwwTiaMn01meMVx8OyhuKiIgXDQfDtd8ZS08ew+8/DuM05khhUro478dj1OgfcZs/N+buaOsMPO
1S5jYgL4JTvXuGRxgssNOLbaO3pSs8zB7AdWDHSkte3iamSa5U4wS2ZgAm3IDC9J1hUH07y2tE4U
q0w3HNQ4POVzbPW44Mh5VcvXintjWEvi+tJ1XA3xq+146gJHIMr9YaD4wQcitFezds0LHE5MzRpH
2LD7QUNAjYzc+RPpozxXGciTi4Z51cjSWnja1nW6qVhrRey3TyNKcY2RmrTc98lXQbkDbxjle1xz
Lk6WHpcmtkCseEfpZ1N2hB/Fg5MCo4m2IlMy3mrdYr/D99Q4p6bFtHyfOOTnnPHhDOKkI77Fl4kf
oLY2RY8/DdQUpcQ6tmNuDFxKtEYMU3FdAvdM7GfkMzFsSKigwdrKbJlTGSzzjhGXlqBQk/ERDYJn
rZml1O+eMStvTViboiAN1MWsBr8lzJCjiEqnQOYFHUWJsOgyHsMp4xgDJ2tvYaisu6h3P/Esk762
yiq7NdeeZ8XRV2pVQ7szXUxvoZ6IJH2CVFkTqoBuSfgfAck8+SbnEnt0Ha961yBz83HY7bRYNb1q
8dKa+hsBbWo+gpHwkjAVwvwapjy5ZPg1vcgGMvssnMAabxNMwlVoYiQKCIZN6J+6sXO2hMGo3ewx
S917qRSXjPHSVzZd5RPrihY6jm0RhNgnA6e2P8TJKwYSM15Hdi5Q4utWfTmhgfxy5wrjlUZozxZv
eAvUQaV4e7MRfy3jJ7s4Yz1SV6IdKAB5/gLhVyqLszCrJ253aWN8QLdHTEJC+EjHCLwC70NpTK5S
Xknzjbio+SlHz1iCTfWSTx9tBIkJJRmTxNs444VoGunxio1Prl/Q3AV2w3CSn56do1Gl1aaDoX6d
FGirOfBbfT/rIC2w4sZjt5bM9N7F6DRsIEpsQ9NIxvhao7/HCKSy/K2XfXBtj5jr7DVpIwMRG5zl
4mDJzJdovpcUDr3DeMsQuiWaAK1TswmoGL2NS3OBAw5hNXtBm1gPIKMkfKRgD5+rJfajXgJA7CUK
hIqMVBAK0fgiaokKUR4yli2mh+zsLFEi2PlwCRj26Kg18Va4Usw6gJeYoCF+5XFFHklgEU3CiLLo
VgDmvGPynV0izch9MtJe3shxnu+775QTUtEIS8Q7NCDDWoJQnO9MlLpd8lEEK6d7aDAI7mubduuU
isn2Qvc7WUV+p6w0rPqgN3KQ3+TfOSy2zclYoDg11/3vSS3xktpiUzrddyNL7xVJJvWl/p3wYnyn
vZTWEvzi+iVgm+88mO/u/X/DwX84tO7/YThYFVVbyT/PBpc/+H02iAT5W2fMQyZgRAWh6w9Fi239
hloxMEFGmOAU0FH+czYIm/o3plqGyz8OOMqsgNnA/w8HNcP8zf6WtED5pgJbJk//jaTl51mPb3Am
I8rg+WLT9tHz/zJzaRvqmiRz4bLErKZJ43Gg3Br+fNvPiX5rdbGzjcbeMTa20QwfekkUX4Sf7s4s
pdNt0lafD1VZvuR5OTHti1soMIHdC8aNJUxklmj0JCPBKdcLElmsA0d4UCGjJUcPRBS2axn396Pj
RI+5MSYYt7j3Xuu2LM5V2ZIyihFugVe3cxh79nSBMytYbBnMaAAdzc9KePZdjz/Dw8tQhUkhHppY
r5600apa2pYa+oPOqbfTueLBNY/+JmOrAES/Kj+moHW1v5GhmD+PdZYvFDEIeYqoBtCWW+YvU1AR
kPDOes6huc2N+5lkiSMKDvIraJ39m0pJ47MDZrJxZ3vGcdWNKIjo+Ztb7tfsSZEJ/zVTnGKi6GBS
FBE2cJq65K41i2kMK1ZZx1TkRMVmwJH+5s3/PMH9fu82IHrmYN4ye/51JAUlDK8y64iVRZLZZgTS
uitN1u6ulvibBhfL30iDflUXLl/WTy+4vKE/TXBRRArWkMxT6PMxIUFfYf5gEG7CuvpG2dm29bBB
2ZN/xAK41dCZ53N+STjssY3UExSlDWyINRDQ/Z/u4L+Y7v6s9Pr9iyBaxPe59wj2Xub2f35fZiun
kQveobjAHUUbVR1ht0V/MwP8y1cxyI5HzOJQVvxyqdSa5Bj1ai4VIAPntjXaTWP1f5cg/y3A+ddY
9fvDMFVdhv/MVpEp/XKLWxYrX4A9INNTX+MUrmyg47URxSfYC9Gj6IWBeZFF7pNOJ/fYOi5hRYSy
ELBozc2X0JnsJbyCtSacE5dz2s24CcnC+WGYuaQzIPV2M/cTpvle0EwvfsBhrwdwhiProg/i/tqw
JjjWKfPBO+J/yueGqdwR9Gcr14CAN3Fi4uGlmh0llGhZUvMb+WHSB6CfBmDvg1VCJP999vu/8+of
psv1+u8PrNe34teYi+UPfj+wLGsJfkX3hKrs9xPmjwPLNH9jGWXp/P+6jTJqUdj9EXPh/2ayLcBO
s/wLHCYOx8w/Dyz/N2TDpsEii8hYhuzuf3NgLWsrbr5/Xc8YKCyHp8aSuGHDzETv+/PN2dVK6zWb
hq7NIvxfoijK5BiYBZpMUybMmEj6XHQABrkDX5LUqKemi5iTrcbEgHsRJqM3fk4WTKtdStBYcwT7
oE8G9rTE/+GUvZ0srKy4EJc5lDKo5tBqqsckiHz6liwOpgNTLdd4XfTG+TVcwa7d4pAF2usnSicD
OrPiQ6CVtKVRNIvyIk40qw0Bbc893dL4bNdgX7YkLSlCcOK8aMDuFFmBntpMDYQmZTdZBKIvE0lu
0cK12fuMkvO1iJXW3BBFXiIUQBWqFRvkHgTYk+vXu3tPeGW2c2cSpgxGE6+ozpNVxe7jIukGcT+T
J3MSji7v0D91ayQL03Mjc6C/QenzxmR/By2g3iZR9cKQhGkO6RY55sfQVMZ4GvlyFyYTkBTNa948
na/YI1X7EAEG3TOCbXfOVKUXut5faYn9ndmImbogHxRpDTQUitp9OYz9ScqsDEnVeVEd2Jyo1v0T
QHXvmnC4CBKQ/l66eR9GetPvy8kDwy6sp8CbhxMmoOEobL38EpPTHSM0Rjs48fq6DuCcNxKGTMVS
Cya81z07RF2v6o6TOK2ikW0SoJKagB5EAHZ31eWod0r2hXUDyU7zSTN4AHkwqG3mSX6oVVvrVXuj
SXrll1HA4joFmeRPVmWZmuCEW7iGUwDYkOBLoofQWqY9xsl4uEqHhFl5Gp9sSr9x32bFkkmqquuy
0Qk58t2+jjaAAxciVA8IywkcVPKcx86MAqUxXRjJCB7k1N1nLpIaH1fASvchPk8aWvqVB+s8LWhd
o5ZcBnL+OrADNn9hUxxoG78d/OA2Sczc3bpa0F/IFCj0FJkjAfJl6a3pphvrTogWlWHv9ANEr8i3
91YNwOM404ukFzJmqH7kB8+8s5F770IXun3QrKjPjs4yz1mNVvsqcy6Zyi0dbxuraYx35JeB4gER
C27FL1G9tQ3qGbBNs9M5h4zS4zGj6iHZWBnXpUMWWa/KPeFldU3illGcAOb7a1NvIVk6FcG4YT6C
v+tjDeApCXul/JCYLKDVZUKm63xCJTF6Kekeg8eAeMxViykTD2lw8CNVm9d44BlDJYYJlcZ057M9
xLeWWV82/ZzviOr7YUnCAQc29StypK0njf9c9Sz9GWsMob4pMUyGnh01paLyPW6WZFKWAPUYesrO
Qb1mpdOccs+VbYgBXJu+QY/px5AvKwIda79WoRhatyNCqQppz1iSpTmIZk1d9KrSZdVFjMtHUsGN
H2R95gFleIuijN+UWbEbrOu4SeTBoIR/sqeCKQn6pS0oa/19UByKgLdwG2vcl9b0ybOgxkM7e7kf
+uhMOKqZsbtb0q0ZKceDCcoP6NYgjyQ7EiM8oQZgM1aK9p00MQzJkVVqqGqHKGWhpTFEZJ6gOwTm
6T4Bo1oziBTrswY3qkZOCGrFOXcM7m64eQHAETl34dGBY0dL0l0Z5/MLBDeV7Dp31EAiST0kZ+vT
TvOAnpVsOAmp4CCo7vGQjPOD0vMrDUoGRMxa7szMmLeqz38gulEnWGsa1EzNO/lpZ526QthHu0m0
D79PaNCBnTOtctxGPxh2r5otsmjb2nqNdLZe0MPdy4IQlJV6bbryCTGQs00Kj+jHpiLtVwYegj6g
RHPF586cbl1azicWpeRi6HIfCVDZbLg07KdRByNWqmQ+uoloNyPZi3hKSJlgNgdY9EyVNKOAZIab
l/qPAInALc/b6Bz4c02VT47vKkbOt0aX6uw8zNMHpwDs1tXu/JoyV9xqsOZfqeOSPEyjKD2neZkf
KB6zG4he5ZFUxisMn19QZoE7eX7kH11gTWe0gfNxnNjRVJFj3mYzONDGrcYdT1of8MwAA3KooweL
iMGNw2OQPaOwx4Oh5HiVcMTAXhsNti6l6bxlgxOQsARNMDCT8XogR5RavNkhkCoQYzXWnqFXuc/0
RjvXWCpXtSCBF7sdXyKrIsk78dzzNHQEQOfepTfKe3B4mhNaTSBtBrnOFxz8W8cp7UMKMHLXptFZ
qAEw7cB3UVX7qjbfaqNHoSuvtaJHCMx5WaDVvUPVRupSelNMzSn22RJ5MIXmQI0nM7HmbYreFqlc
t2e03GwdQm8WPiiJnImzJeQQdR0/27a11S0EpX6lMnY0dtMTSugdbBZvG75/+zGwR/5TI756NdrB
TiRefDFFoIQ59XlaCMhSzBE7pp1a/G4bfX+cZ8JnHCI2QzF41YWRG3sPtMq6CBYliqM+4oFIGrCR
hzYR961U9qrUzCunjvegucd7Zn6UuonG5hSI6bwDu/lVDdVNVoOhk3q/6qxX2bZhnIqjBDOTYTSk
N/FBPomnuBnDodevEmgengk8t3N9BllJfJGSzLNq2vRWeM05SMejIOBvo7exQYNVPZqjsydTeY04
DWGr06RH18tOKYDWA0p3k6ZAlgqq8/yQJvSiJCMVW8Z01y6NrD9OTB9RSjsgr1GWti+uJcmvBUIX
OqjzYLopR9A3iIznkq3fCggT9xlI6/UM5OGZrVv86LOJJ0vBlmreAlRlulYOqU2i7OQBSwa224nD
nAxag05cWOC5pZu/mdZ8VcOL27iiIEvLxVftD7JdM9bmNizTVnyYY5wfGkaRkJwZF7Lf7JGlMlvI
EdQRR7JNQKjzsEaCLGjunvzRVwSKzGRjIq9H84f8D0EBd1C9NVRhHXyFE1JL++JKzr1g6WHX/dFE
QPrSlqa+dVoV5CErE29rV4F2A6YTmIE0AHet0AMW7s7X/eltIFG20FajqVFIzqmBTDlVJWEdc5ZY
F7FlDt7TEKO63higEspNMsj4Wje77mqWprvv4sS66r9jRJtYGTGzcDYUK1EP6WH8JmfbuVcdyOae
r4NU2Ze1aCaCT6xsg7ugWQ+wiRiT86ObhRGsYvTzoYxy4pbGRL+q406/MIVtoZxNieG2h/6xopq+
GVV209amdpXF+rxWFtcuVCF9N5i1OjmD014op7/Ft/zS0FDfkCrJIVdlV5SA09nuGx9Bb5w50JO7
ckto2F0sUy7oDtiCn7aPOmjM0AqCs4lPegf1r9jIykbNMnrItSNTh7pQXo6skq5ibuh1Vel7PbH4
9qP5R+xqbzlQhqPwhngjvGSvWu2AZn98cwDGhQ4JDGhp5+4wVQ0B2CYHJ+ycEfKRKoaXAsXDWYuD
D4TdzXZo6mxfSeeJxry9pAWyDky+KjYl5R15ZBxhCqPvJqtlu7Ernq5rre5YgM52Umy4a8XZdzhP
1oNTp/scZOh1yyDnbnTm7GgJi5wW07/IDeXsHHeKD4PFWeIkSt0XxFI+GRCDdqOLvMoGiRMCegy2
EwL7TTBoHK5B9zn21k1STfVzoWf52iv0V4tJHRxMvbiJSOXYGMUUfwSpGZwrlBjPjuh2giVTOLlN
9YzxA0ByGfu381Te6UlZPHdJ/6lN+iHH84BZO1Uvuhy26TAC9UMh/Y52sDo6Wt3foklvSe2J4ve6
87z3ynL6q1bY9kOQIRXAIEHUZx1Hzl05covFbtXd9fqcn6ClwMy3Ift/OTjFt44GOpb9uNwBIOJM
M6W2c5G+vgKo66/yBixv7OojZTww1A2+8nvl8LZ9tA13+jAe8qSHrV/bxkeuA8wxfVMjvGwqX2XW
iE2lfGOTTX16NdTkEknTLq5yX+kvSVGYsLKILzD98gkOvbGbrIEYVr/aVaPwwM7EMMtytz30dtCv
a8/M1+DXo3XlzfMxZwG0m6WR7JohgTEOwMTjiRS00WmKjGFXd31xE/Rd6IPOWZPFB/jZrfT5OnOx
lyq7T44asU8PZHgP4K5dkFi5dyvqTB6V7siVqqMboXQCwURnhFNKSDt0Iuc0UcizjSd5K9Gag+5l
m7RPa5BounHTtdU9bo3mhB7iIi7cEaEJ8Q6IqbS9hejmiiwqZ1O3JEnD7mTDKcFB+X7/4tuTuC7g
DZ/q2TDvDGmJs83RwRqRJCQ3idtNFakH6JxHxpQj8iNh3SJVoMbXcO2kxpSHbrnw1PK2JObVCZJQ
lZG6H4bFAJb1BgQbhGI29hUaPsVB85niKtxQ2ibXVdGIW9p0usvIC+SlmzUfaTaxxEitul854LJP
DQS+MytV/Zg0UgIAJpg7wEDD806reYLYrJYGNZw0MHnn3mhuB3zXa5Zw9D6xwxhAK5zLjAjeCz9F
axTTZHE+GoJFGktBIquDfaMk38bYxmFidnKbZrVzWy71D1DDCpps/YFTmTsUkXaSBaS0fgdZwFb1
DuPImWrW2HOsVj6m+A6Ibo/pQ7sFDDjX1V6xp+cgSqZgjWPkB7kKz6kuzIdZtD1qCbvHSqWmd34v
58iedWmUk2dJ0//M5YzCElqFN+dimxa2u9OGATENOFjisyFubBi74QlIAxWzOdOiNMzbANyXpTM0
xfmTb4Joso6LVpMyOvaxpKXnePD9XeREFywWbk08XetUh+zTC/+hSoBYQe871IF/YakBcxRqi/W4
gDKoAG+CCFqX0Q8R5MPkjTlJwamfE8akMvsEH33fl/D702Y+YFR7HbAgkkPdSXk16MGjlifmejaE
d6UoY09RENUKeZNP1PmHMMt4L5yuv/Cl5+7N3OxfI2/GVgFzKsS1s9NUcKrxUdxpbpq8g7uKqIKm
Ta/V2Z2M1Tl3vfrMLjEjsdgr7hsvu2dwJB/ZHo5XPecAesXB+qQ/ePNr7bIyyo9SivJtnGR7zhX+
KFIYR31fwaVeG5jHVpoGpsEyZ/+IlGajuYH2JPQ22WF7dN9Sw3WemQrrO81szvkgJli5gQ2taIaN
20RWu8fFY+xpwl9R8vWr3u6eXXv65BKJuC2s6qqWJgyCaNTPSVmdPdtack2qdOt0uf1lA026dxnq
kAI2+Os+QPBRqZgUop48YTSS077TrI+B4JZpBcMgCc0GrFVpDMXDRPAgz23RXqey7g60bKyRIWeG
ZFbD+61NZw1h3D/mTFE2WqAIq3RyvEmFY6z1StdCh7Uj5xh+ujowmgdYKax+p9lGNzrON2wZ82Od
mXTA+tc8eWIbGHq8JcPV9cI61eRdrebPNDJhoykf+UmptxelVnBW+uDCJuj6m1ZzppWHF3FX6cRY
+qy2T+Yc6Lu4mS8NF/y08p4ojyjK7QJeFS7LA9pO+5zDyVtXhPJhsegi77VMaICDWnxNahG9+R5U
TzAc5y5lZeFFgXeu+HBolNVGF85jLqIGdSp2sRr26irowT05iVXsMllOb3AupkvZVPnewW8GNnR+
7udmxpPRe1gl04KXNu0f0Lq0tU6k4g059hN3DyYWI+6QmghJMOvCsiq7xLxLSr3aslDrGCksfZ01
gz+DKTGHeGLbXYOEib6aZ7xHn7EBGnHT1KMIqxaFrmdiEFTR3ByaotQORhcYCMrMLyZQ+L2c9E6a
KL3AmdsstFjEe6KcboasNUKmm18gs4JTOQDfKkyv25vwACn8m3hTBO21C1uQSQvwTIQRDmegLI4j
9dNl4Hcm+2iZmixgGHccEFONeLM0Oqaxa9bcP+Bzp7K/WcjCW+L8cEfVbcB4NEcfPflUR9EYROFs
KS8cJNIWz8kfOKCrtaapGfJaBx8+QusbuISDke75yomnbcx61E8+yT6H2BytLda8K1UWh1r4WOvi
qd61lVBMTz1qR54P9Padn4bKJo/Lx7m6ZyGPm47ADiIT5EScI5zXJRdmUzjyARzXo4qZLDJeNF9Z
ixMv4F5B+G1JJnDGR/J35HJtyYNpJP2ONevVNLc6NGL7B2YNOGWVyAgMd7NtrXmkC+VAkVt3bI5m
1CXniKXWpi5TjyjilMlrPOzQLI2g/CeFh0kxQbTFGwyMyDrSs3fRyVQCQtjQSFHtMrfIhrPZudNd
I0pgRQj4eiyK31g4HOR6GXqDGS9wazSvV9Ka03Ni6XyzbmTpCq5eI1lJ8XgQj41npSukeSImyilN
y+dJZi4dNEC0CR9V4T+Ps6yadc0Q94n1an2f4EACUPcNwetNsL1hG9dVv0oxUdPgCUOfyEK15MBh
+c3ZG/xRDVuvqHnkST2nSxlVelfrMjZ+aB3juhuPUBMNsjkSYQ49y4IGyMt35k036DTcKRstQgaD
qK8vrLEFDN0QrkHbGHSGONXKsYaN800t5KFpzEcQrOYQjrHK26M9ci+tZuEW0xnOXG+heY7MK2yb
6mtwXZ0gwEFH4j19MxQTRsvXTP6DvScTtXdL+Klzn24H5VKmFRcRiRe5gcdL5gzgQPm3t9Byj41t
vEcoJAncMLoNhDlCNSfvc+iM+ZELYXxgfovVVZ8UgaWsKZ4M3KcrBJADBuBg2soJ99rGzHBf1aVf
XwSp1ElSqpK5XMpyv+lCLR/Sx4n03u7GlH3J9dBOHrBpBslrPRrK24QBUrqJhzIv7sp2rE86AyFs
howtZRsXTwQxQMAs8HpcjPXMWoLAQ1MzGmh1CI/hlGsbjs7qcRqGp7wq7ovGi95aP7Nve1aLt7UB
RN0U6jyZlIhu45YvHUQqanDnborrJTclagQPJTLzsISX10Un6kMWEF2w6hmZP85Y2Q5W7TtblsDt
szkL9WVFZbPz8AOrlQW/du1U0XOeomWPOzKRrCE2DgwAnAMRY+lX0PYa0Xo8MXx2BpU0LvypRd9M
TI3xOZlkuoTzXDvqDWFrYe6LZMjNDaV44+zZBIt4x0UfEJuQyIAFZldN8vB/7J3ZjtxGuq1fxeh7
GpwH4GADJ5mZlUNlZqkGlaQbQjWI8xxBBvn052NJ3Vsuu+3tfW77xrBRzokMxvD/a30rTXBJWyuM
xZ11VOSAphvXMaI2tNO24wBh0vjhiEw4qYeIwOTrrsjW2AQpE8KqUkMPdhszCwnLspbVfW47wAfF
Kk9ZVacNuWlSQVluAYy1uzgpq55tUeyN47Xfjl9pBSHJNbk3WzEHSZjO0UwLdH5USX1DafoQT/q0
MhOY395UdzvcwRLpVOaTMwjDMGkqcMbjpB/oUaT2KknJerWdarxyKxe6bUwZG343Js4xn0MZ44ke
9OxMvwOibeJ9Rp1+KaAOhe2gIDaN8EfxZro7fQky6hyJUYiiZDhkvk4fIWMmCV0EX/uoafwePHRp
Hon+bL6AEvA+xUPkXbeQX/EwW+OXpPWTg6JEWlMipCrr0Je4FuVcb2MZ+DsfzOMBZlqJ5rMRXcP9
SfsZywqrfZNAt18XDBkylWyr3HgJ9teQWEiDqNz8FrjLl5nooDsaA9elYezHKWnk1gGaiukcE4rR
sS3XibAK2YJXm8F0o7DoBVqzMp3MkPWzueCkwCIz+xoUTSpVW28gInHtkQRNDZ+Sz+PcB2gGyIES
oWJ7+xkx2GtfU2MuOuFeN4j+QkZTtmaXQrpoY9YnoWbxNDT+RYwcuDKZii079GCf4dY++GkC4Tcu
l7gy6+wGnYbVbLryh/Tc5v2ua9zgaEAVgEuvZ+0lQLh3sukOhCPMphB0Umes6HtjZhl62j6kKK00
luh7zYvOdDtYFDlMf2g9RuXS77617OzktgCWZ+eQ0s7rYNKgQ0uqz61GBmg1eV/JSjDXtk2XKQmy
+Ba7lrujCpB8KMCAbYLBNq9cZVK9TfjSQVBvJjPIyQjJ9n0wfCWIY1kvqFCiDUKXipaXbHByfdQz
8235OHTeyNOIFNTVsfuAikV6I3y0pVQI1p2VU0XC0jTuUJI7d5YLkGWlR2W2N0fD2lkZKhVYAuY9
VdnX0Y0fwMfS/uK5u3bKSe28eJzXkz8L8qeDsxt58U3ccA8xQ7BXKBzZ7Yek9PetoteEZahbF4ul
IhrIba2FpZ2l4aAqNZryCL4BqpzN/MwD7Wt3hV+3d8OQo79kExvhm9ku4leMtzmA+8ac9zEpIySM
lfW+kt4jpmF9pWNwR/g8lqdSMzkERt0VKcj9U9wJzqwyPnvLRe2MzttwgMvWemlNoIK7q6bUPnUu
eUkDinG0FfXHBINNmPsG/Blj/DouEFNfY+e+npKMnGumkCNgxvIUCzIZ7Nh9rjyHJg1GuPvKZy2w
8uHkOglnLaNE8xBHW34g5Wg3eyuVnRFfUTuGru6qUfvi2dinGyatgxocLGxyLqt1myfJ/WCzih3z
cRi689SzTQK53kfusaTaH33puiFyUGgqJY9tVMDcHQybddfqwS2PsbrSlHXUx4ajR9Cw223tEStS
VJrpA40PSFl5wEF4l09jLdacCBPI2ojcjh2qbkKwpdk3h/8oC7+DUJEO/5lS4+5rWolfjqkQ/S8Q
UH85vw5p/7PQ8O3134Ubmmv+iizCXPyofrBA75Ab/YBn8ScfTKDhIkrzsBV7qBB/SDcM71fb8HVT
B+FoG6g7UHX804cMcivAzIugAzMvLrbg7wg33uhYP8k2FkIhUB28lkjfDc99L0PKCOwyUj/W1xkB
4ye3tvNbZD36tAZ4Zd5kaCmuEmToBwegebzBHYm5IOsjJPujNyFQBgWOBALj7XMtk3SLYiP/SPUU
NatfO9OZuR/kPrBeTpylU2rHQjVf/HhQT6A3CCID2IEzXre7V9sgGeOn2/IHerFFxvmzJmX5cbi4
DcRVtsflfY/JC9w6DshJRKXouOnXwDGNbwqt/XUGuSLFeWJhIqTDvdfwM98FPrnoqwCjz6e5HfY2
chwR/v1H5tK8Vneie30Vp6/N/1l0Uc+0STtwoeJNMfrf/3UZXjshu1eIu03/Cxk1L0Tj1tX71/zm
Lfr/evtz/FovoLff/AerGNC3D/K1m25fe1l8/7gf/+f/9I8/0HH3UwM6jlta0bC+fY35Wj8/AAvj
798rne669Jfrr1X+9f1Lvj8yvvEreCeAa0xPkCBAof3zifGCXyFa8cy8DXtrcXf/eF4CEHXQRBHm
8iQhEVxc7j+eF+dXLAC2C4MMjZSN3+3/x7eP983iWy0Dy0RMatrv7MFNRTh4NEi1MbrB+RC4NDxx
plDAxKM5bn+6Kn8wfBeZ5X8/mt73z4IhFuj4Zkzwdr9VVKWqyKvUq9TGy4tknVpadZqbptxFEHFv
cvaP30fnvyUFLN/9/ed5QA5QHUNY1t9TkT0FOaryGkWnp4/Xw2jzyFLXRCLljX/xUb/VN3//aZ5H
X3YRjCFpfffT7NTT6J2Z48YOouCG1PvuCZKUvPdG06A3WkTRqSNBhEz4rOu9zZ9f1z/6cIRywOgA
aFqAlH57XREQBP3U0r7JnaraWR7CklU169UlM9P6xLzb097jUIBXOnv+84/+rbb0++9m56Uz0xjI
xX/HwozhVzmeqTaRlhFvRNUBgY9M/2reW+B97+4kAla0pY7L2PmdYtgrJrrbeME3hcFGpB6EvCZC
OWNz1Jp33TKk4rRCloVZLL9xe4mfqRTTDUGP8gdX898Oqj/4xQYuCFDgNhwO33gnC4wEnVZV6mrT
4uFeazXSbvxr9V9odt/e5v0vZplkGYV451pv6sSfJMuxWdPS8rmnJu182PzsLa8RbKeUOmxt+mIH
Lq3fecRvzdHQRVJPOG98b/iUGv/i4i/y4PffxOZ7MOvA24AY8tvRhdg+GLDxqU0gOfv5Qxl/tMVo
HzVc4s8p3KR15ZnB7d8eV2wGmJDYFjCq3Xcf6nP61Rq8bJtFUL+Jg/iVk9Jfkb3/6FZyA8G4otb7
/YcEovFyv3CGzdik+NHREITMR/+LAWNitmL2R4fHRPRuwHTSbpIxXwaMFSRHVEhZKCK3+L55/TvD
0gwsaA4gURif/juRt+mOkTuQ67FROXnqvU8bDil/8Bcz+B+MBTgvTHI+RhPPWAwjPwvWO2K/HQIc
xo1AILcxjHggzkam9cPERmztKEGf1UO6+eeD4Q/mcctkoTNoDRrMNe9+GwHxaGbRym9abHlbm2Tq
EJWZ2uhlbv3FPG5Yvx/tjAT2qjx03Cv3HUa0aBsbkeg8bChp2R6bqdT6StwDwRw+xVu8YLPdVlfK
GGDBUHCrCnq3U/Zq9HhPEyOL2nWVt7Ha+7WR/xUK/A+uQwBpn66H7TKg3j8Uc0ZTkQKu2HSOMA4l
9vCtUcvgMNpm8hc3+g/mH24k0BL0oBgUgB3/9k5TVaV0pcZpAy+G1m5zxfpyn2rkXumcsEcKfPDC
NuRkH8GPtas/v+G/ezBdPhoCL7YkTqXWe5j1ICNjMnwN4yYGaWKRohKkKCi1P/+UZU3+zcTmspFm
QeEzMEb49rsHc8CX44m0EZtZs7Kwbmix0vKm2TPH45Xla5s//zhzUa6/+0BWr4CrCe+GHuHCYvr5
6SG5a541nWM+WciWQFdKmydcaHjUX8mbt/DtJ+ZLgziRGLsc9dsaUSx5gXrjkU6/lF4oRPaMxq1J
zSQ+mLCWTGBnrrwuSgNJbCCG+jmijGispT9N6Ra/FCUBjukkYmeJsBHhIBucwkgNQDGpc8ag4uqI
QMmoQryFVtWmKiOc5UBuEVv+IbHgxYSeX+ofsXXQhyn8KPlUygKFmpmyGJMTRjN9i36R7VtvWJIM
I8fvzQcEnOiWjQSBzNqDCWetgSRlyU1FIN4EVbN2/Rvy6iJrMxE/CPbQzpJno0HhRHdvVtoK12i9
Q2pM6kqlAnnXKyO7y/0If5VpKAGcVCMp7Q4pF/HFZHeaJJRKYjHjdesPTBGND4AyxE8uipXoXYrl
0hmLi98BalvNdd7cVLqlpaEv3fZrQciQR5OS1hqyDD6oTlqc6hFM0a8k0RTDqovS6bWPiUClMVf0
r8AwzXkjmXT1nRbbSYJAvU2vMxnMSw1d1s5Go8lLBNHg5GBNKZPXIT2Y1j6bSMjqY+tYfX3tgOhY
cpCoIFFZjFvNKs6EcaFMkmieyMINBnPAxJY1ZUhcWeSusSoZoGJ48vP9oCHb2yNYJXWBNEBkLbD9
YONVXfAUU/9O9kZj5gB55zLddvigxMHGPHg2LeU9CkEO4qpzPPJt9ZyBcjsE7ZAdPGFqH3wtd0HH
RTV7KRTRwPto55FjB5KUUNzcEDj0lN+T/CG6NpWr2kf9QZFSFledEsjJtcLvxtXgilQ7DISRwHqV
k0TzKgwUAtUwRcdpYMsXtnOhHVoucoNvjmClbWADEzhaA1Bams+akms1RfZNHsdWB/anpexqcTXv
oXOq+uBXkm6ANeedONaeLS+ljZV9HZdGGq+VpzWPeUZTBXFPnOgbooTNS4oI+VoVLfne0C6qb+wB
pkcmu6S6wn7ef44nfPmrtqFxtRKmtFzc6lEbX3Wlj72YIKX0WfhehhYGcPZXfM70twE2RBmRhYBN
C2aAYI3jobhLXcV7qKbNTNLNkznDPCFQjPZ6694pS9OssAVvNK3Nmlu76WzhqZtZzXNpIw+pDXLY
aExsqTQ3Wtg0Tk8BU+h9T16Q3yN11anBlaHZ1iZSN1sv/H3tuyMDmUlhDJVZtNpZTEQDPntxm5QP
vQoCOv+ubB4a2C3qE7if/gMCIB0+BbMgc0UCd39VNqiStprDSOfhS5KApGEmrjDH5LlHU+3M+O6h
hV3bgYgeLQAAFa6RrPC3+LDM7/zp/zio/oGD6ac15Hck+3MavxJN9HNV4e0V38sKQOfBcWNcsvB/
sqYsNb7vhTiTP+BPCILl4BtQW6N68c86nEVWEUbAgEAbrHT4gf9VV7AxV+nEmvhYEYEMsu78nToc
oSi/Xe1Ytyk6OexUOJrCzHm/I/UKhHEZLBm6kmmjriZdZUhhzFoP9nNBOfwMmaWCcDmkeXKSwhNi
jSmXdnkGyRMzA90+lyHsdveerEjxbXKC0S9BTbwySZRpi+kolq3uHxphVBloajauRc0rciRu7MfQ
YrQgg9NtbrJ87rBSZA5amqx2mX76UQ+nuNZqCCS6xBgqtMlY1S7RhyGp7B6cW80AheESCaBWfVGz
ZkhW0ROTi/ZlhgNGbrYc6Q0DiZ9Odh/EX/IsZR9hldAcwspdot7r0gbJYY95SivXjwHD22/YDjsf
S5LHIlTUoTVmQbee3jAfSeaNNNbTpLW21sADunHfsCCcNEGEIPkpPgVebp7txK5RIsRFfOkWrkiy
EEbqWPgvTQQiIOyRyqbE0cP0BAMgDfcTktSxfIyNVuBTskdVnshVDdBnDDlrW1XTpF9LPOL+nu31
VN+hBwCDQkbgaG6g1AU9KKkFlaIPJL4D1JX+x7pGAnzn1ImcT2Qtw1h5w61YQitgr6S9RNHYIpa4
kDGsF3szW1AtjWvmR7beSqzqflSfqjesSxv4CZ7MYeG9QKMZQL+ACC93fZQsvVcXCMMGf0r71L1B
Y+bW956TN5SMbk72x7F0xGf9DTVjFJAm5BuAhu4nlJk3LE0GmKe/6t5wNfobuqbyF4yNvxBtiOED
bmO4C+imy1ygNwSUAsDR32A4lSwtL8RRASTH6V2AOd3CzoE9or0kg8ZcqRa2jhH1ya0m4O0YyFWh
MJHoSCISgsFC+Kjri8xP7+RYA1QEc9SyMTMUNArakcA0ZtN65LwP6j23dfpP3uQ4ULoG9DJE2cGr
SJMFVjQUSMVWGKx6YLCqVJ9UxakLJZ2snk0y6IkKRqlbrsh0nz+QYg5vWsGOgnZnkVaJxmqYF76I
3r0mqFSeo7GsLmRvGU/pG26oj1kCV9Jrq4GtWuTk/DMdv/g8+S1aVN3sriIdfcUqnQLofVJV81db
c2iV0lkkxbIlrxGoW+2Ltd6h50Pn0aKLTOjd1wdTdBaOGxBoKRSunoagHtGYJjF9JlmgyOPouSQW
1KOig4zr6MA7WyDPZdPfVfHC1kRyBQ53EGZ+Y2R4T/Bd5deGNouIwNlcf2kRk83bmAW3XMG88j9l
Tux+EGRpfKo9AsxXwxvACVq5qPcEeJaXtqjZw5SEEto8ch7Nr0D48avZT8DrnK71df648Pz6NzCU
Y9UjkBSliocxiUF/QReb5UNGoO9nmS33JygymuyToNWxJhuLqU+lBYSMwiXRcJVYPqnS6OPaU8A2
4gHBvR9vUDRPH2f4z8mFwD/KODRXZH7bKbsj5UFHD7WO/DneccJradtjexWbuFuIV84b/Uq2Neci
SytQutZvhKwqXWhZQVTGPWg5CoaLsnVhpGN8K9eI+BN9C1Ma5HBc58uvCwBZrzW7HoAck2wMo9+E
yFWDjcg57fpNhN4YIhAZV9rwGUFZ/bm0W/Yb6HGolWgt1Mq1UNhiQLb5SPsKiTQDyljvXvBgj089
HrFjo2LQQ3HgVGgfCMZp1j0tilsGrDKAnS38sNi2k3GTTq1brFMq4/qa/Q77CsuaxYioVlpVOLl+
Nm4ws4Mgi3AL7rs3MNm8MMqIDMXXo6JZbitc5icbCWzEWaLAjF7GbY80Z3arGlNXwS6unbJYbmzW
IHSys5ORxU1Wb7ChA1mRvLLw0+QbS00sWDVI3BDWnMZNSLkXrHcMa5V+TlM9hcdGi98n9xZMG+Uf
UEHzAm+jkwnHLY99mG6xvfDdmE3ZZrFm0MSfWkLn2HKVWIfUGxuueOPE1ZlZfkzf6HGeoHK7QiYC
VU5XAOYo5gZa2L1x5wby9pKwWHB0iUgg0xULpK5749W1BOAStLJg7FSQ6u2KtT777H8H3SF2ckZY
ecDe0VG6SWe8jKKszsCa0hxez+ztcTMgn48IOPiWsYU8O8p1HkwtnT8X0uyeE425kETt2n0xeqlh
Zql1/SOWXELgrL6rv9mxg8Ni9upjQTr7F2yR8hQQTlyvkqi2AvQUyLjWLcXMPCQczLidxGw8QqEE
6lHCQAqwTszepwiAMHKVwJxv81Sbv+WaoPrgMQ0gWLTJXCoyYHjJ4AUXEDzptMp0WoJwy8w2QbsI
HGAlksHYO5Kt+kaOSOJWMw8N/kMJOQ3l9ODe56jNYZV2C0O7iGz25nYWN3Jtqw7MNic3/ZQQO/rc
Ky33OWo3lh06RTH58OBnowj7lOCLc89RikwEEIsTpyKA4fTd7HygdESklYDAiPLDkFibsUjesLl3
FGgkd5T+dRxQSbp2Y23IWFnUHFX3bpGKfD36mY1GLyf+ZydJddThr8WljtpJc0gY7abWN6CGdlDy
sMUHFbJCqzmhTPCLYwXCtVt5WH+ePRRd44sxTXF7XXPI1ThppMAvVBFQpZ/GPIKh6lrTHBbYn5/i
QiPplm5pSYas4doRicAyBeM5K6FHe7hzMnl0Z6GRp6r1VXYvJo7aa44+eraL0jGGx+UyyxthCSHI
OgfCBBuazP0QfZG23VsbfawCe4cYyvfq1RAUg+0zcRUBatvOcQb9tc2ZxrBMWKZ+RaCNhoxjAMci
RlT7pe1fB6mIpm8iUHp+7pkgCDewgKOdOPjW3SnS8ywA04er09mUIOOQidAJ0YttgqzNO8Y52dih
zfk7vjYHu4if6k7rcPcLpXObMge/XWpHfFETDuK4U5G0UTnieLHsF6mELA5xPtBk8ByMXBgsA1+7
qvDR6gdU5wPlnImxu+Pc1brbVp9x0DBMa5gWs0uAdq/PZooW2WMrzEB21IOPA4vEAweTwRKG0bbe
Z4hRxicVacq8Kn0ZfdMlnburKs8wUhVxjkCwjHRyuM2ZwbwWQ4kfc0Fmil1VdPm055rnMpx0mvyh
22WtuGRMPMUxyUz5iqx9RBWHwtkjJ9HbGv6Up1sUUb1JzWsIps1YpRV6em/RMNaOGzuodKAictGG
+oywS6NiIw2d07rrgFbU+GHYhGg9TyufrbbC0u61T8wJKZqrofcXCpie2mEMDxztkyd5zOlTWPXC
2itadmsytljfzSXHyPX1b62l5+zgAxLEV4TEALZ1pdmaq7riGL6m0K4oXU2DKK7YICzBdo7ieYsC
4ktWDevmgx2kAf9q2e09Hvw02Uroqg726JF4hzIylLtpvDS7bbop+VaZLgi2YnAX+4eyp6NoIswd
PVtqAQfHg36KWVjSEOVIjSQ5gCFzMJCgMfF7eoKXuyE3QboxCAdBXEkZVg4BEuhwcz25sWQXS2L0
6hRlLlLy+miPRZutJlKoYRONWoYxfawbD7RohhB+kDKvTq3q4JDUhd+axzyoJ7xOZCUnm0F6A/kH
tQFeQtO5C8iz3dzBJjb7SZjzZsVal9BSQ2F3KEwxwFcSDWqPbHrMEtySOmqx5wEMoLGC/1q/xg35
CJsWkWX21OB5mQiCiMHYbqY+beb17ELJmcO29gYsR1YsXCC1S/tNwSSkdGUMW44dCOGpSsXwfhFI
WVq0mSZLmGQzVZ53wTds4fevRNadva5U2aPnYCGOwqqzcKCFHZt/+56tZ2axQegAQszfa/r/qR/8
gwP7n9UPQFCK1+o17uqfSwhvL/peQiCfeGkYAVQhgwdFwUKR+l5CMMgUsJZWtuPzNx+Zwb9KCBDF
0AtglTRpxVrIMmmh/JAm2CgdHKLXaIvSnuCx/ntSnvdNCMIgLfIMKHKYi+bFfd860xzNdKSFTrOw
BnAMPQ4GgVtA2CC1E8UYhC6tvvCIC2S8w2RmqzjjlLRSVSHiHSXhjCd9Uj1668Zcin++e90j9ARs
kaLaX9Ng1O8hz3PywpvuveSWP2LoK8uguHZMMa5hRrFpbqmjhRAPu1fYYKa6sjVsauUknLXvRR3+
hYjz2aqNx+HCGT3Ds8aOFpyWkU0PhXL0VZS22Ipk22I99aXtb3Hb9XNoj431UJYaO+8qlcoJgcAT
2guj/ctkOJQpcFYxDfRe/8BcFoDd4wrgD43siP1FU2uwKUq21WwRMbQQycRBk+AhfZdZmvWhtmz7
1eWUo4WG3dUH4IlpFmpUL8v17Kf+Z6EEFY6AAxEuuYxNNWZYDY0EmLTmGjpPfvD1ppHnYhKmf+UB
Pd5Z7DdIFpodU9/ZkxnfF7iSDlRQ5qVIUmBq8HKrPOcuLekw4XJ/1tguP/a9ZYoFSFgfvVkNcLEh
ySgonFnTbhqUo8aIy5dszKkRlGjASnNtzOFG9xsMQ7XdDg+t5hYQV2J2MpgBI0VrDoI5TnvP50cw
ceXfcunYJ+Wo/BIPtvUEYseSV2XJPI50SwbuupbYVE4TpeGDiRM+4/ZKA4G8wfTlB+oDSk5fbqpZ
lXuwEB2UuDFxaURoXX9Dvva2xdbDjpzEpWt0wekjG+3go2uyT4fzrlsHT0oXL1MaIEJvCypKKMSC
Wy/Xio8M8IIQrMGN1IbS+lBstKgKYgiJDqBh0N9dd85V1d0AhZ6PZjMDroXrMLATZfD5e4259mNp
FgbD30G3VoxoXjex07YI+qOe9KpYi7/qCISztdaPxoPtasPXFMXGvIbwMmbbgq4krNLBJutgcmIP
H8G05DklNJc+67ho8Vszr5/QVvcLpJXGD2TTHFRxLCLIuRMrfhxgOQwrPynHkH1ksS9B6HQhh2co
/9SBIFlqvsxv+gDZTeh7kFRWjKHaDn0iejKK6Z2twpG6W7dK0MhwpCLXzV2VNMzOfqV52cZooeYQ
SFZrm0YBHVm3Sk8pWMxJvZ/1ZjgFJEcdFmHGzjPhLmOWEFW5rvOpKw+1bTX7Hrk9JfbSyCpoLzGn
RkMf8CnO0jpNuOLWApzeh0xHpAdwP8IsOaX2AlFIev1DmQJv3jeWhhUE2x6DuNKdlAp7YNj3ovRA
djOLDj8yMv+zRP1jESP9e+Vc+Ire7mvxy//91qXPX6tfbl8b+VSkzz+vV8s7/FiuEJGiU2PQojFd
Vhf6xj+WKxt5KcrSAL4lQjskHf9aroBc6vpbNDrFEQ8hCyvZj+XKBI1JMg4VcgStJJEgSv0bjEse
Wd7q5wYvsqCFxGhDUkJTR5n9nXiAXAOvFV1xldZlGXP8HKl0aTvRgCDWkGTu7E7/4vY00/UmkF/s
We/X7eiKS0NMwaPhDeqCT4riBHEF1RYHQwDHKH2y2ppi0NwM/VKRc6881zPWkPR5FPFoO6/Ys6YD
4x2x9/KOqiX4TJPF05STSTr1AppQxyz5mChCQ/cT2cN7XTbqY+w04pouZH5rj51z7RpTnjFTNrw6
Y2mZIXpc6mZ2H6IkmTD9ZF4oZP9iTwbv2Dtmsu/RAOwaMVin0U1wNRu8lgNQhTu4qE5F1S/gB3Eh
7xtOgyNfiGcD1MISsnYLy9xDZdF3VtG/lBgfH9OqFBfouV6YGV79SN/PO0MVrq6g/Q37ckq9sxRN
/w387dNQLqBeXqmNvCPHBedek+NLC67xCFa+IJOArzyOfLhSmvONpc/bpWCmdpBJnryYCzh7Vn7p
/Hm2wrefkVT4g3EG1o9v39LnbHzRYQacx6l5GVNelRPWEjcWXu1e9utaOe6uYjO0jjE4fbMzcKCB
tLs5TMxRXKRR6jvc8PnFCaIECyD5nMLjHSCNfeOusnkx2NLvdU1biPWtYVwVkCgfLJ3LnJUU6Vwx
jOCD+Nk0db2dMPm+U9RFG9lO+WW0XXr/NSPuTAgZv0Tj67Mj149S9pQ0JreAq9Qlhb6DJKM2lcEL
SCSkvW9FqAxKyXuOuUWwgutoi417uXntJGDs115+tVzcLPHdHauhBrZ1ipxvmVc8tRWsHQw8L2WX
PXXUCpkbnXq/XNbKEtjNyOK+4B4x1lZbPs2xXoWDxod6Tex+8/2p++bYMQEBNTeEkoPHXqV/sVTk
nm0nn4iv7ewvZm1yFf3hnAtnvOGYCmQefPyK//WjHuk3RhHVQzjQ9dx7fqqxCRjb4q5rSZ7lkOOB
hWvzoyEiLNXDuFDepeF/JAKhW+dRp18cMfmbBiTzdYlSdRO7AaUieNr1Fj05Byse2zOdI7nRGxUd
6Xhap7wKyrVnyu4zBukxdG2V7gPoYKGDsXCdeELlK6334hf6v86uQpAYrUFxRTuPs/uLpdd2shIT
vCF4bqKmMNGBKarn/iRimGQ+NfPXbMRO7A0BigzQ9GwOl9hSz/f7y8iA92uWzylQRgO2ywLqZOfu
h1YfrcdG+uMtsg3MIzFF4lVhTclXzFZoLNiEHeltG+D0p/F2ir3szKiXj/hjjU2l2FYhSGiHdd3q
8bl3jeaAvY880JKuhotmltaL4bab2hzNsza10W1Qe2jkJhHcSGi+6zbLcXxhEz7lUzCf40Z1JMaa
1pral6BIp9NjY9pIwq4bkGwhZdgluj62q4id+BUV42zjjZl7Fq60LnoVjXc6EXzb1pfkszpefADj
AhBb85V7GmVuPZV87HZShbOXJXGHANFuDaZKvMWDcg5F6YAxqXD7IC1e01kiJabt742Ke7sZ86rb
WDpyEytqWr5h1S0tNsrLKHbWZmrCnaOjHcqqHA+DZn+s2wCPnTSMc+bW6UOuR93BrDT7qSeFi7BU
7NcgW3QyVMpW5IcS+S+obmBRe6MxHnrdTR9JbXUeZeMerBk7NVXs5N7Dkg/nVvgMOBimOHCmXTpj
dl3BR0OcUfXRR4d40RCRyrSL2JrfSDeRO6QH9FyiEnbfaOUiHLMmPwoj006cW6JbkmoBwUUNBahO
l7D+3NGghgHvf9tAWE4Rw6TFS9NECPTBfiSa2lmJQdSSC/JXwv7ewTsg2ZK8IY8CvZZFGB+oZJtJ
5z72WWViFK/KcMQGtOtU4m1IguE4j9J2JcHsB5xDsgspRxWFKL99iEdYk64ynENCEtBNHCstRC3g
rzvHVp9JEE0XIJLDUy2DTQ/wZ+WoVl8RU1VsSFWlC9XRudQxV8Jb9uKvszT5TV2CKdPE6KrP2qcc
K6S1Uh1Jm6Gt6vww+3N5mp0CzQj2372sFNCtFOhiV1V9jl5moM5RqmDjyGRHQZ7HG1nh82DLRZmt
MH3xe33NwdChsM8j+dnr7hTsmmghe+H9oJxdltamg/lwyluICnDhY6WvmsEyjglisuNkJks2Rmcy
oAynvU30JtmxKRlD9MJTOGFo2nf64D52+PY32uiPz9oU++wBmvt+qNJ9VzdoNJpg/qhbgX+cVKwv
j4R19hJ0f8spxzzQ7OZM5MYIa5CEac4HVFzER8yas1dGWl1TV5p3luMNG9OMYKj4hFpRpfc2JvXq
c1ThUPSTvr0i5soF0uAzt+rk6docxffd4B16Cm4H+n/BBQW/2CjKQdi/WKlY7zDfJXb2QYvj20LK
6Rw7Y4CtaM5fJHqkFVC4CbR/dU8/h/nZMMewsczyNcYYfHLLgDMiGDLOmna97eRc32DvvwM2mhJ8
iUNvWxJg8WrhdqV3qKasD5nw+x2tLPPoE5X9gYMhUeuMVO/g8oFo4QackA3dv4wqwrG3/eQj0Quf
NdxoR52sKiDitgTj4KTlB4yr9fUUM6m5dduCWplHhmNa30J1seOwM5wK3koaXUTdflC2blyZTXLS
Xbv9kHocMdtIY7R3wtw5vP+CGLqRmgIwOlQDPKJ+SavRxqsoKS8NQIh8QsmjYbted2Igj6iNhzAB
CkH2EiRjqzzxrOL0bRnEhHSBsoNRXGKGuHhde9NbLABpad4nWbV2y/mJHSxYKUUpE+rEF5opDFOB
ArfpdI2HNoXEWkxQHL3izko9Y9t1AdAPR+H8pV+wSDUBSwSi/0iUoXdkpqk4clvGtoZCu6qafHia
B1WjYBgBHEZ+2l1mx1B7rYzsS1+hUqLwEdymTRBc9fUoV0GQzN+6oDt0oz7cGdj+LugxtLODUGxD
dzDeDjH+xbJlnXNH37rKWp+QNyzTO5PD3wb1obVJRmvaZiiHt80o7WeLvNRNkXhTu4Ey6awK0T+4
LG6nErQJfLrJ0Pa2KacGuYJmjjw18Eb80m3XuLP0BxJm3ecJbNC2YuMbOl6fbPoAR9YEJ/FKTrR2
yOhVW6smLtkffERSsi7hlqlDEoBGIRiHrp3liFMyj4QZy8Ld9IhHDxAPyqu6Lk+FTUe07VxxFQx9
ddY05gmye9wHiwSYrMP88f/YO3Mly5Er2/4KrXWUwTFDaOXizkPMYyqwiIwMTI4ZcAy/09IT3lfw
x95CVZHMLJJVVk9qs24KFCozI3BxAXc/5+y9NqSjetO5lnZw8q7a2fYI3C6e8o0nHSsAk9cEuaJL
6mjD7ViDZDGXoTabwxiIyMVNgEaLsaw978sCjNVs5SJQMOECD0HfKYlVclK1ia7FGvq9JzpvV00p
OmSr1j+mOHN2AJSWHq85kRRkh4TW9PPJJi7mZuRQgDC5/ho5CMb0BKqqbxKtAovldua8sjPpfZ/L
yeI0rJDm2PE1gd+UzpimsceBRJx0cd05cbwqjKgOSqDCOzYG6uHJNdRGUZZ/9UG5vEp2t69hjK+5
qBRPF4AqcSiKwRNbnaE963immReyajRCcmg0GmtT9cPJ98rm4FrSvOGNrQ7IrO2LVzUIBWoCi190
aLlnW4/Lq1CFXUiChz0+EGlYv9GmBkBj0JzyZ5aUvhWCcDiVXpbh/cnzcjpvTZU4axKdZ2QLStR3
NqHGt7mvaa/CjBs9wIMAFM1sVblhV6GLZUFquFGoMe96XtF8hSc7fLfLLNxzJmyfbMZMEUekeTpo
SWs94iazrxPf6bZhatc7HA00JkiYYg6eVp53M/iVvnc1XQ7sRl19q2IaJCuTZlC6agvVH+bcrd5N
LB0fbBTzwU6UMtadE8U3DrKGXVfy5CHy6Xewy9ynYWSgSWAe41FdleIS+TI/FJALbhKygwEGqFYf
g8SDsEuY70VoTbxmHj8fY7BYMeWOa2IkNggspVS600RHJjQHK4fOJO2g/C1Lq2idt606eSMZhkgW
gd87/gDbFZ/EFAEoAn0RDJp4zLGdBIWrPhr+04YBJWfGcmKRZp8+92FmbUaN6gRUb7upXe+tq0gd
rBvV76MmVmcr0uVZRd1b1ud01kSvbUfFaTzSOKyHPLQfNHsJyMnVnTtXOy8jrI9rfZomtwmgFhyj
3hkYixCAg9pE2/o5gxp8ypcxbRM4VPMA/6rJQFlM1qfwK3E7RFFy9hFerXtmO9Ajk2gzmnq+5/hz
y0iMzissIzPBXj/yvsJP7IfNhLniiBQvOhZ1p20y0zLWSV+fx5wEKJ2iFL6JVe4qLZ6vCEDL9pOr
xFNo0+ZCT0S2KMH1KxrKZ5VNH6ydUIaL2NvnrrUtGyAwup9vpeY/hU3+kI3Tfd7ZEB9A5QT0qR+K
krTXpiUMTw2PY+56TJ1T6xXEynwqcwAxJtjgRw3+08pwzae5V6+wkYub3nZj6kARwoob5ktVpezm
/UdS2eUmy8X7mCNLGUG8IBYnWklvnD4YcoLHiOluHnWtzM9wq9tDyXl3W8/pPS2GgxtDREe/lr1I
uskqHedrOgjmekya9ymBqb2cpQCRPzQju6QfEgfEyfaY5pAhRzv7ojHnCjph34eD9klSEWjR8rrU
x9dyKNUWxzmkc1RDhdtO5zB0tKPTeeF2dsw1kNGKqDni21s4cKteaM8ChuCKE+B56D0QNSqDZaXT
EfUhaF/MtFKberbKYxZxmuz0Cg5a5tGwsCq586L0imOpQDUAGi0lgAGOkz5tKieqDrMhCXrEZGba
COpHHB4In3tdIXwT8xqMuaKJOI4PWuR6J29W/hcg9+1aeXa0UTI61rpBte+bX9HhVscBtq9h62RC
lpfMzu1rht1ql3IWBijef06MREFUmGiNNSgnITj1bRj6PMcwXGisfqEtfT8jDV45vnFJEv+kEvU5
2P1XM3K2RZ0dDRf9vOBMkXQ2UMYiPCUl+yadnKvYD+EMgCUwU4irIyubnuebscVDgLf2qZDaSfPT
R4Z9w8UCfnxXhakXCKP8dAgo7Rvjw9bgGaDPW2eCSq6zs6u+h0wdg2UIpjZWm06I51r3n5GFMXc0
6r0q7FOVsc15iIERhrdHGfaMBzKO74Pm3Cs2yYwHgk669pp5aCEa0rF2wI1eBrhEuSY8dG/OVeQM
CAHSiNK6L3eh5QIbhIhueDHJIWneo8RB/eAZwK9qL+ko6WeIxf3Mv5mAwZf6LszHpwpW3y1jrH6n
+QUTDbOiAQA8SkS7HLXDhnTBNdv2k9b556qX4+Kq+EZ/jvlNNb3Kwloi1VvzgWjS59zU5tsq1V9L
eP+remhfhFbflrb4llv5c+3778MUfaaoFBTuvMjsqcb9z0iKg1dx7oY+Z4D46GQAf/Ru7ru3uKwh
3iO9CeLK7LeObA/LjPWl0jS4y0Jk151umpwV9fAMTiLd2JrpIgKIMw6aS0yAdNB3MULds+OhQGtz
IlHx1iIYRgJDxge5hDtV5ZBWTGBX1jEvkIUZmrOvo/mDSccYcDkIxer5hHfplZt53xXxniyiK9r8
4yaWassEjm21P8BsJBee6I1NmTVyL+cYHSM+juui1wJJnbZKB3FP2DOZCLXaolwtVggPqm2Z+DBt
qruMs3lECBc9T8om6d6Q37UrUaF6yoFYvNg3e86WQ064j9Mcxzh5WnR12hS3hAREb84iA3V1k1Mf
Bp3ODR/dbpCBBd4qHAjkUgqFLef4W23WLrwPO37KnTOn1wbusc0821dWmB46pD3B5MnnNGrvFOBK
gghOts5B2q/7dZnOj9UcwdOMCVSLMroZrRXDLYE/mGTTkzHGR12G14QPBWFk6ju50Db9DNFJlIVE
M/R7YPrRg1n40M2c/pUs9BP1MDDzIrcCB03/vmIpIwmZqLqqdXl645iWcFnpRMDM0n1rGoZlGTqW
oHM1ggk1uGN3bcUMTNAlbKUmjnEkURt4urXLEJ/IhVXdPs0aI/VVH5c0MPxCo/jxkEXjcXQp+Lv5
UqIGP/Sl3m1V0rs0HGp3bdBFHlcmrSE4LrY4Olnnf5OG8g4hE/01M5HxnSmhj0KScBrLb9WFk2rx
AZdRPs9+1BxaMSdH1Nt9S49gdCQqpry4d5s4/hriGHmlxWaBKe+NGzLB2sdmofKmzaxB0UlRw9Gm
OzI3nI5Raa17v/35kkBMVb4buCXlj6gp91oOqmsMwN9mockTr629VW7BDZ6iaRt6znjj9W6xrBPt
XavFS9OocyjlYtFsCcVUG4Lv5utsrkJ0z7ig0D7HN4s8dW9Vwn/JGNwFie4ofwU1/8lVcfHQxjJ7
i6as3o1e2W1jya5kDp1x1JtBuwWVytUDlU92huhFApwqbV+BQiNQ6ZCvrxrDKzlKGxI7C2WY3nfD
TjauOlOt03BoIZsijn4lDo+uQ6Xw08HoSNZ2Yof3rsFM0B9qBF4AyPetXcutil17X6e5dYs76tsU
peGFjxQe0hKWblguKFg9ouAVkZ4ciKrrjuwo7alAQ7IjltLIyHMwxQvIYkZoSVJsYjbf7WTRIhg0
gzYJ8OS72J+me8zM0cF1a/nR9x38WLt9Wcxs7drttQvMQHNdJBzjQw7Gx6owbp0Go1TBbBdpTsTL
XdPRaLigtzDxpns0nPq26nLYQmB5dhxj+teZvsHJKSFdFUbe7K2aoXYP+ofji2hPTaTJR5L/qIcF
K3ZVEDEcl1I/9+x/59bRrLVFhiM6rOmQ+imdm95uD15R9QemqF4ASUq7jvX0y4AWaDU5yf1sUrbA
liONA/NipaO26bziARGhcQesy6DXXJRMZ7scaRITdZpfOuIflNYIga20OEAkJGI1m7Nz45CtCrNd
7hkyirVnMXrHM1OoAz+2/Dpnqj8hOZ+oGHpt00fLF9sACz9GTa+Yq3AfeDIZ2TriMuBRCIDA30c5
ns4+1Wt28zFcpVNuHwqYYevExywYAYJb90SerXxPDKuEuBTkiaD2k1SKt1FQIzJXZQy8rCoG1qsL
yB3smRaNaoHpYEPScoq/r+92iW80Rw8gSBCNtn0tJ/XQV9N015lEohE6OR7KqVCclks8fzK87Sbb
29qkXQTQzOdj3XYlTNgyRz6x8P3Ih955S3OVoHQwpTHBa+R6JHc8ud1Hgfxi5Thgx2XKzISBjQsF
txFbV/b3yMjVfVc6IMMZ3gQyHornzE8XAdjoHntgwMjvh3KduU21btxYrpVp1Dt6LYxNHM2+EjUd
piZM61st05xLONrhluu5lC1BASRzmBeig/Oz4WVfrGbAIw8q6wD4v95VuksDhZortyWZAsAcjry/
xo0SQ3+tkCwFRkXiamwPGQl1sdzaUf/aO7AlUZB657Cwin2C6niXTOO7anSCjIEIYngw5ujUwbm+
6lSmPqK0tVJwE7M4TmoodsTJNMdSb+oLo6h0ywF1S49ro4hV2RpWLzhvF/PakIVYE/TobbWI4Nxi
IGfACUN9N9KFONG01DcitpJtamcwfHISKshwPJhjNWwiPRXvOk69TWOb4zqOWgslmmiCxqE/W+kx
IUBzPR5Jw8yAeZMmjWez3o4VrkGyNljX49670INxHxVE7EsUVsZ6iNt2UzELCiJ67U2FFKcmTesh
G9Ju43e1htEFTmyZes0R0ZeP+htv6CG15RvDRrmrpT5cFH8bTanUNqnmGvs20+2HZK6QP0sZblER
nuPc4mg/2/0cRFmdrVSE6QaJMm86XA0+pEJX4TejHrA/ObcLyaRZyaqNOEFDOrvHxNLuCEIYVhJ9
8A6So0CFXVbFrZtZTKJQOj0KVJvXovXnvTb73Ve968lnsefhm9YzyRREu/ioYhmKhUwML1M117t2
lJRh9FRu5gSnEopqjc5vwjsgCvPglLP5AnGP9mor8yfPVjl9V0s+OVQ+a6nTf+Yy/ZspYco1mkoe
c4xX69lX6lHV6iNJ8ugqbznL0Nd3hqcKAPtVRSYqMqD2w49/nuLyQ3qnQLXbuzohLo6yXmZe8Rt9
AhwNlbV5Qe3v35jodowg1G0U7wuJg6O5menP9RAZzIMdEPTDNEDoLNH2BL2FkWExQvkrQI0u2EHv
c+RQRL814cq9vBjXrai6oyqK8SltunadciD8Qu679lypDp2pF3XH3vHUK7mn+a3oXJupFeL3K+iN
n0Nhk0mlMYt/zT3RXlxQcdfoV/SjyPoooZvMzTR8nfXNpc3RMIW8NFFXPitCv58YzsFxZOLbkIZD
ucmA0xq5A4TcA9adNKY68zCKj8V6xmhmTFnqovS99vzhtjaL4UB4Ke0vzdJ3tTExUTb1du1DnbrB
uhoeIkJ5OU0mTf8JwKhN1yS/kiwx+hyvXINUL1loxVrOdDRiHh2DzIe17fYyDCpBYd1M/AeijbhF
YzwtmDbIvHUKZDrD2HkT41u4Vr4VHlCpll961uSDqTfWS200GTTXjDs7m9VI6cPnhb0MR1D0zUsR
MhSFALtcWylbbT16i7xtoCF8mY2cMhlAfb6Ecst3hZpnzUwoXFlunENdVR+LvJSoPOjXiwGnOjBm
r47lQFRYavXRPnJz85pF1b8pbK4F5ngO1L5pyvfJrszuo3fyutJu+TXdybAb1vIo0b0nYfL0lQyt
AfGZs9vtlrtS8FkJ2WTtWlc5f54ok85uJ6f5xho8ZnLmew2AvqHu8/1+N2V6awcDueB7en3mKjfJ
5FvPIwR9UpN51E35DndEmLCLzXH4CGntotrBg0YvxxfFK2P2xr5L9CoaL41cZEVJaH2SqtDjHJ66
uD5nXZcM6xBaabOCGzA0V/5Ypd9QnObj1k7bSl6D49PWg1e64pQCl7M2M5VkfGdI17iuUG6RLaDp
QqwRKpRq0xbSbtlNZkm9zLpgzduZ3MGnkC5KeN8MQGXWmhfdpYlnuOybte6U63zQ2JFArn6AsKiY
yPIGjZTw+dxc9WmMwtBo2+ZFzyOqXzrf8mmm6mE3bWftOY/mwX0uHAsbSoYuAbRhqbKTLA1OG1Ne
4cQ2/M4Bm+2m/stAjldzYUzz2Bv8CSLisHrD7lPMV5YStrcbS68HKFmS+UtQtS6ekrHURDBlhV4f
4IdEE8q3tAlsvpbHuWTZXYH1szdu1acvut3ab8pW3ZU2KM0EkhoZFeNYLNwrI4yku0pUGdOHqItb
L4r0gFkTRBDagiyke6xr1SlCprMW1KfR2oPAOKyXnt7Wl92+rbXTjEqNDC19brZxT13ECBLRIwkS
yW6SOVAAi6ZOZU/EvPTx0DFv5pzhHS2rGuXz0IZjtsNRqeeB38ZpuhkYf8h+R+ujYCBadvUZEX1D
szJ1ZJ0EQP/bhsmdsCShOTg0cTO1+P3KPM4xvxe9usRcBib3yCrCM70SMuvs2HG+hURI0r4fSgo5
Se83CnTXl+/SLqwJXLdRf8S265jXRlbCFnCMuPokDlBca7VuLdxsld75k0ONbBLuwCSM2PM7gA2j
fkphO2YnpqeVQ6enSq4ry4osLCqar44FV025RSp8UOAdwWwZYra2/DK+tZThrmPkrsPKLN3IC/II
59emNViY9VULoT8goMxF3gO7dDjktZ9rTEuImeNnVZrvb/F/293nWPop8mvm1UixAbzrXuCH4bTW
yJg+mPPUbX1Nd67piLQ7DXndGdZAuu0Q4wQ0B3YzUWswj0OTm9al3yhPkPmNIPQ2vjttONo52Nal
fOKMdpnpG8DypG2cONPBEoSwaLbnB+XsqKCsx+KWu4mRt51eNHI1sAFMt25J1F4iaaFzBOkCrTe/
Mo/k+Ft2zzU78dliIB5PsUVQkvYFqAbavo6oChoYH03PYlGxdHa+lZPa1iJcSKlM6F6fRpogazU4
4blyzPu8aXKsHhheo9BYZzYVEvQs+hKlscowgcYzXY+YjIDS9UhF50RVd8FEK62BpdFHLZkU+Djn
qvfJ9C6qQApYBrNFdc33Zz5AAI8CrAIPc2SRiVPTUS/JSSC/5tIwn9q4o+o2EJy9Z880iyKoBRVh
OuoiSDFTgsgwNi1mjpkHlRURCg17ZDkXV0nSJM+4ybgfRtXKc1UX9YMNmfMST9FjXnM4dKfqyadD
O4Tw94FkBFbG/V1V6WTnV17oeihRDRtEg16HQESZV5P0hIE5mDOgFTiLxxuaBuo4l4wiOf6QrNbZ
mzgKiVEW8uT2w+2iiq5S+8Yigo+O8UHT9XJTQw8JWl27oTnWBEPJ+SLPG+DUJutA5ur4K7qxDOB6
DAFxEneFZJrbegMGHrzaDEzPAO8SFMriutfp5/qFU20zvDpBMWOjrK3sfU7JPirGJVkGpsSqqoj0
GMKJUCy31QM6waceX9CuSBHRWYha1crpODrWbeQwIJg5kVMC6etoig2+wyi9qX1annHT7SK9Iu5L
OqeoJsIjMqZDJBDp0h08lEn6bFn5eujqCB52SEcrrKQ8+qlHh0+QcMWsdHjDnkcTrasaOpTJs1bF
GRjW7Ase/PhulMbrSNJ00LVg6TF8MDYbiKdxGhCUvtpW9WwcJs92yAdkd9LDu0YMAI4Ic963lpp3
VWr233w3/IAqREeqyCdSBBgMSrN6yhggH7D1eVeoEmnCzbE8yyLTloFjtTbb6CA1c9wCyDPWhs2E
0RfG/MHKlNAIRl3h4ME753ajbyXtl4YmDxySBO95PL6EbFQ9tOmzpUk6HdEbddRL2HZp0AtkKLY1
PNo2hPC4k+RLTUpbtbrrXVsJA+fOmt68kaLZLBwKgNT6Zhq5EbF2FdeemBlcezGxeCiZNmGLsESN
I64UL31zQVgv41hmXkaPQoc8Ju4pmGPXs+4ZG31IreFQMY4eTca0W7vTfCHowztUk/sItWlkw0dG
iAaHUYRueq8lvqQdavptPdl7uh9aUI7Wl1S18S5pNMqHz6wwzk3hk/OHVMUx5nnhH3JciYrmIe0Z
KuHu3PtEv4gm2vZ6R9dbO065c7Okc51aw5OHqTSNK3w9t7mh3lMIMk56nRH9s6l9a02b7YRn68oy
O7WeUu3GiCptD6MOAY2Zv7uNXE9VdGlb8OaVKp+zLt9MScNBcWDcXuvuum3C8Ct28C3Q8umhsQ3m
kdNd43m0tTz3KBCQo5IuN0UvA3IsiSrK1h75FXqXAgHFn0XXxCdugPabl2mkrw7HSZK74Bemv4OP
xAndKa/T0QZljwn9KPKopJ0ZhZsWN/VoVS9pIzDHmZlFNERq5SvdGs9jo3ONyt86AyqZ1sXhuOoM
+2JTlOSY764NJ7l2CGvwIu8Qp1YCIDk/zDSkKEMUtZZ6xwRAvzeP/Q2GhitbpjSo3eax7OIjuvg1
MfBvJoe/rNZaOD7F19YWOxXJDtw1bvwSH+x1iNtIGulT5NY7M6pQEXa3vl6eWoHDPRn2M7xtuiV7
M+mu0rJyTq3ekoiKxISTjyp6Cjq5BkZxtHKEemXB+B+x7NptaGEUZfkYe93OLKzwtpFkW5ZkRM6t
dez67FuqjKusrE+UOLj3vSIFO+sQo1rw1Es81tLT0cWk4zuoJE4NtLM3mIPtL2aGckjFcYKxGS81
CiQZpGnpUl4bzjKvM7bwk8ASwIK/8zHIHdRA2IsvOuSOos4RDSnXBsRsWGegFeKqtdi3DJ6AEH89
BlcScDp7Cf4cmqkjTxEN6cxApxZleTJyXjQ/xo5Jl8W3Nl5SHEQcXjeIbK4HSTqNjUDEz7gwOTDX
qthiZmXfSTt78jjuBzFa3T3WxJVWWGzllHMOqyfhZuemtgIkVVxjY0iMJ3GKqLEI6aHG2ODU4pBp
sNCalNI3fQ8PBIc4k72sCtzers9F7nlnSfZEEGfDLUbMHbl8fMle1qz1rLd2tHC8Y08w8W5oxxN+
u6tE2E9sbSedfFhQ+ZyVEqlbiFiFs8/KjodgsPJb4O3mTa2Q+XP7VeBl4TmNxAZz657ihNEknaEs
rHZxDbRorN5pTjNrSLsluGaxPhJyk9jNoXOHs9Y1dIGiiz6bh7KTT+xE6NWICMzLx0oOKHzhPNDo
55y9mkhm+LC82gY+5XRGv0EqY38bLDO5pH6RnplO+nC6BUK5pCZlQ3EmXIfKtj4ck3MclvbPjNTJ
AOVJviZ/mpO723q3RHbQjppwQ6LLBSXfVd7VwMjsnHtl/r/uOSabh4///A/DxLn2770J93/9r/Iv
D2X+1//zMxT7pvnr/y2+JtW3770JP/+IX8wJizfBwH6OS80FjQil72/mBIc/EabDCFgsWjJf/w7H
85PjW6bwfWCD9NDxKfzdnKDpP1Fymjb/zAfn6GBRAM77J/wJYsHLlRKKTbF8WtdEM0gLBkWNJzzD
osHCn3+HFJWWMRIDCaoLM64/dJQJxdxix7HMvS4TRI0hJv9g6FJmbjRpab7gnbJIF4rNo0KDL9d5
5gKuGKP6xgaoT985muYvAM7ozqDfebCcqDNW393zm18u7y9Fn9+AVuva//wPa/FM/HDVmD2AdDrY
Lfh/bG8/XjXUNNqr7itph6RXh0qIm5jXAA1B1qaY8LEsoBQvbi0z5NyWkx1IFp9Tf3qGYV5MaVpH
szXGJ03HzCBHxyVOFef8acwGVgqIFsMr3sDigS9atza5Pk8bpDDOWXATtRWiWe0rLJPhm06kzd3A
yXOLIZHt3QKUQVyTu1Gxsshxp8d/nkpjK9Xi/aW21QrS1TL2Fy+a2087C72gSkqbXUGjA1e1WvnL
e/pvAaA/ek88HdvRguTEyuJg2nQ8HDDff7sd6FbpLvfJhaOk+1cUtVS/zHw3httNnF+aX7+a/zUt
4avl7v3OyrDg8jd924Ev79sf1oPlH/6yHiygfMyxvg4JAHipaZmgtn5xK2mOiSfJ1IVrGbZtulSG
/7AruSDBWQp8AJ+Wrf+MWP3VriSWJYZBtE70Mgg5jxXmTywH/wqUvyDfyZNDDcDaxWL4/QOTJxp+
H2K111Udktbuhuio36Ixor3roxzAFLNOGCJSbnLosQOJcoNA+rVh5bD10zFnjG+9CDgV23B2IUdE
+a6R7Y0YQMn1pYY3trw3CJPa4aO7LYc56NJ0+uWh/1OP4P8E/rzN2/7vn8fgrfr2l6dvzccPe9Py
b359FA2IcI7nugsgGGwsj+XfH0XD/smk+Q2b3YFPbuj8o7+h4tyfBH1xCEGQYDG5LBva355E6yeE
MoaAFGcb+MntP/Uk/maJJ8qZp3l54A385i4evYUk993GFOWOMdhWCwlHR8WeEcwXEUftO68k0FjA
I2fzC1PKiDN+YxrE/9CISfzMNLfYSPK3UqTHOATiiceOQEIoc7TtcknKu1N11pvllcap93TooF4y
MJkPZwN3AgJP7yWkortO+4wmWDaV+TMC/f6s4d0B2ORS1hgkzTTC157BLHHsTctpF/eW/Y5mTHuz
8slEwSFgvmO/CGwHKbeUajq4ujesM8dIHr/7Uv/FVmgs9+EfWyH3ycOJ7xnQqi2T1cFcsLnf3ady
ApeRFean7doGRjHmeC0pjcOOMBte3kgiAgDyhLvBLmrwb07/1Z58OqGSMAnyhbFh3GMBB16UItl9
0p0M1lijxgZ9YnwpZVlJJnS64v1tGsQpou+TTUED5vz/8TlcqA4sjpxCODH9+DlM1WI/HspPRgHx
XR6G32Izm3ayojRFPUxJGpUfTTVaVA6RuYtU7Nz5OQaKbkKLNblVGhAlRJyaDNUxtDtGg7l+Vulg
HLwobk5Zoawbs4hTWjhl8gec7R8Zvj9/B1h9PTrYvDZM938DJm+YY5r0yj6LPMzPcJ+sM01wGoOd
Ms5kgJd/wCj+DQJh+X0+LAUcpbwYNvqH3zCD50GiqzPcb4iwXrTMfoQ0IDYkP3d7ZDmEnQ4stz1n
q4BRMc/+mG9//8syfzx//XIBrqMjzoEGbRneb76sPG3HhrbdtwRoo0BaZzOvxOhaf5RhYXzOMqz1
IGzVAdk32Wi10qf3HFoZI4OEoLVB1EgEc+xLZwl51S5cXVv1s6y/KPrrm5muX7ymaYozbs415O1w
uYtNKVyNVHBtoxw9s7eR2cUdbBDzbkaz3e9z2UTPRVFEd1roIQ/spVedfv9jLxzMH981sgbYHW1O
U+zB+Hl/fEYt7IBRHHdfTdWAZygNZzpO+BhfmrFG+jDrSbktzUT/jPWR+DwrHOn5V1AAryRa//sY
oXzM9KfllmVDOeFcXUDMzVT1z46md1exY0H1H23vFlGU/TTG43DFf8JvHjNnYRkiOoq+5EUw2nsg
zu4Wmpd7+P3P+E+PMn0+nmCgn74By2mhhH6/nPByECrZ2O9VjRDaDuW8kZkGmycSABVSAGi//+vM
f/X7+JWCBUwsj/PypH23fNVY7g1zqt97tLMvdhjZxN/hIoTVQapXn/vGm5n57h46zQkaNjyILGzv
DFUsHVXFegTkTZ1LvEh0ZugN7+nuZBH9SkvbIdBxaUJ7tRkAJ+n6oM/oJM+T0d7CclMPhmsY2qru
ouFBwJ7rXKcD2ai7J710zQZpHg2kRjOVubIxteCM6D95+8W17SgojWnj/2r4/7en9X9+vECsWoSS
UBbiIfotHDW3EmskffgrqaZqnUXEgk7cMQBUTXwCfLhq2V3+4P6zx//mieZXOhwe2UbgkC/F7/e3
P04SF7D3+FWXjXfws25Rm7jRmtLE/6NF65/WDN4ZFkm+Ztz1vDxLrfLdN81WzdCiab9OvnpxmhIN
UNW18lUUYZDOfon+hHS2fUatip7Jc+WXpEmzy2TRRPyDSzGWPfGHPZNnmweOgBKdC8IG9uOlZD56
+djw30tUeK/MU+Ak9r7V3Bhpg290VHifgnikb5yChjBXmhVpLzF42BcjdZiayaG+Hs2+lGsB5ISn
dCy+2V4Iu09i0kCjSyrbnulO06Kva8jcDBMT2qcZp0gc0K/zK3O3+YNvcjmu/eZDEQryM7nAp+bj
2f3xQ+nJ7NWcx99kZpB96lDXfujQNPB+Gv41hqGuXBVewSlHOgzaK96ebyOoslWbWBYztoi0xLoR
gPaqJBuuZhxRG4EuwlvbhSC5mvr6c4GfMvDVZoLo49m4x+XZXmXRhP4ELctTXYbGNWuxMgih20PH
Tm4RQJQa7FISQlboz7kBeofRHnB6WewN4C+vstLIMK00IvSy2T1qs2GjaSr7M5j7RSCIm8Bf+TZ+
W4zH+AyFY6I98bFMFX9wB41/fkJNQZNRt7gBlsuz8eMdNFXXDm1kvDVGrL9afUOyKMIqGLR6nM9g
WYqpcUGQjTk6RWdEhsJYgAaqxMjQROmaJouOPANViMzls2t09l2NxviuzZjYBlVl4ukfI6c/EXhL
M1Tr2vL259X0T1U+l+RrU7blZ/fbBC2Woe9St34vn2v5fX//q/89srYMk8f53xc7D2X0I85q+eu/
1Dnip6X9BpmKrBpaRrrNYenXilv/SViCavrnbpqOBp2S5e+FjvhJmFCyWRp5FNgH+aNfCx3nJ8JU
OOjxP2ehiog/RwhxljX2H6sRRQ5wEH4+uUnUXPy835zmKvpLJAp8uklmQfQbpHZ2UwbgFyZMTgtP
zm/mt8rlvGAuDMkz6mv650Pix1eaIfJPNzYADZjSCW8gSYZPqWHqXwiXqR45AUK3N4zejFa6jQ4K
QYVOHrrjq+4NTU3N0ob3AnOgEUc1c4SayNbMVv111YE2DVo/7lx0sG6BiMayyhtTWk2/N+pGrzaT
VpuvzNKt6SvOm0Y8iz4NY7S8yo93UZrE48XxMogIhOLpgOaEUz8WoioZKWsQBB5NLGCon4TmbeE0
DfVawdMeN8rtIDsHRVkJExBANflkUSCpPjiTUBWWUb8U29EpRHrXWlVj0W4cY+CdmuWc9Sgi4LJK
s2abuuX/Y+88lutWsm37L6+PE0Ai4brbgptOtBLZQZAy8N4kkF//BqRrRF4VFdWvTsWJqDgHxAaQ
uXKtOccc5A4oow/4K+m7VwNTUnvw3YHzRAzC6Lp2pM28gCgNVJ4yS+LtElldgYBxJkf6oNJuWq67
sV+Qktke5KqhxdOz0+T/+ZBasbJcLJgZOGO13nhfWE6ebgPmjcFBt4vZ4xuuy6mnIC6NeGsZbvPg
9LNzhbI+HZ1Dn6QutDxbxOONZ9vWtyBOo2lrkjL+Qw5VfI5XZIbV10m1b+nkF0RhUjMeGrQ85cYv
428SOxAREZ7T52vsKiQ0k7wL/wCDdSQGA3nxnZ+zER+dOJjITmVxtjdg1SPkSyLQyVkQORqaZpa1
FwNhvPjr2PfIyDJBU22dJYp/jCtDajOipfK23VJE3RYqyATGF4U1krRWt9/whTIvVXQEMC0OK+oY
/KE3UgvjA930bR88ZEWHC6NeUlqnWYl4QWexcoGmtNGXvmhgF4oiky+e45+nwVw1R75ICX48GvO7
dqpXxFsuMYohj8KqmTtecRU4hvkZLX1fn0Mqh0w1OX0xb4StvAfXhurKHMQT/SYavGTZrubxbyRP
99NOaLHAvgqiudkKv4uLPbpJ90qnbfpdpz6Ulb5K6xsBYcXe11hDXwtYqecU/UG+j1b8OBMdZ+j3
S1tUX2bce69YkSRMzKT0vosJ2/3ZooPsNQ5INUFbVabbFJyFsW1zm8mWSAwDfnfjLiCjJrKysIJK
Ij7yxI3PpjxOBeA2hArn4MMTqAEOngimXpVxLSqH5MgAk+eyy+xBnWVaTIcCw2RNuDOHEizwM7NB
ki5tDPYDJyrcFzzVdnCLZzsw8ieDEoBc4jQXP4VNRNMv9hopUQLnBlTjCY7RpReF9EamEmoFJHFm
vSIwIFJk/KmDIdw7JvaILV3dDK8dE9R274Ektw46ILs2mKfE2XIPnnP0ldmJ7RKYFtGu0QCen3QW
42HA30A2GpbR7wVdpvaw2FncXWiNypM+hT3gV6rm8kaPdB8I0UB2meki+z4TtcsxN0jgDvDed5uh
KcvbeOkDTGTN4h51JqZii/S6eBnHpH3mjZlNEkxyn7wYVhTQ3IiXT17POZTskth9EEEGVELXgERw
C1V4pkqrMs4llPPvoOHtnkPP5F7U1giEVRYFp1EYzFW8b4qq60M0VVRUMDAnBOpBJ49VgC8K3/Kc
HAuncHO0wDby4f/s8L8Gb+6HG/wuS19Zt9Lf++rrv/Frj4c+CXeLUZBkbkYjfG2C/drjgU96HhM2
f42wECsB7n93ePEPTXabTZ4+t0nvjH35v1uZ5j8Bp1EqA59AyvXY8u801d+eNtbVm3YBkxiH/xJd
OvFuxBbURjwivhVYmVUcwt7gc/PK4PhbwfPpV73wZib2tor4dRUCPjizc25n9PO2eG2zVAfrqoeQ
Qy4XMVq0x+J/xjv/8ohKM+DddSCArseM9bQu0D2+T3srpiS1haJoyMeBTwmQ2MK0oIl83Faj3x+X
3JNEQfswYWdJfFLcoNTfBXIaPjWB21ubYRqr+2pRiIlKmsj1JTI+YZ8g47LqEz8/I+ZC7wr1nYAo
PLVDFOhVkzkzRHfEeCYzK0pDrefxaHlaYgNhVr6MwCBQ5fGnTH2DNXqM0PwBumoRnjZ2tLWNjNne
qqm84ejhVKE5UmrsQO+4Fnz32f4qA937oZwH6+hFdrfKNKqObM4xz67J88ZFV3MUPVee7dw6sI/T
a7OezccFokq+8eEFP0wT7Kg962Z9JcF9FYchJobhgPR+7o/tEGGyVeOqP8OFg4a3Y2RHXBCTfZ9F
jgUYZR5gxH3XJZZsN+nMQQXWdBI9VmqY8DAJjpjHhhWt2QPojbLjWLprxRKl1XRO+gle2oFIQ2CM
1RKfdULp4UI5paTfXTuwqlysOtVj1cnmvIMr3IaAfZZPUWrSI7Y6ZUM7DyCgAjNcgId0cdW+ZKy2
L30TzA+V3zU/phIeAf/PUDzH2NieU3N0vuI8tn9IgjGrJ4LlNY6CYp6svVWZwg9ZsbuVNYIpLrS0
pUgJ9FWThY0wOrSwLqxWbow4GORlft+emxmHUlbiucl30nJH8Tx0BtDzWswCXJYYZLwHmwkG2wxa
HC70stGF6XgMwHuQJjOfdW40pQdKbtMDTpwN5DnksaW++ESNWFh48qoJ2wYdFsLc6VcX+z8HsP8n
1iS8f30Ae4jJCH/5fXX++S/8Wp5th8kmtEUa37ZDB/V/j2CCrOOfU1BXSgkWj47Yfw2a5D9rg4aB
AAdyHiFNwP9ZnQ3rn3XgwerMM2QyROfw31meWY7fLGkcCnEdwO6h4PcBGv086v3emVIFmi/hBrdw
1nWF53jwDTRQ6Mw5L622n7i7a12FnNeAlt8hMHXEpUNoAXOHok6eDOWhycOtw4vYWW6KNFaMhbNN
FsvjsOOh1cHuxtq/6dH0u+QUUbjukkyrL2ZBfPgZ49LFQxOA5hqJchrdY6eZ5r1ofdrDFs2Hl8Ut
43kTx6uaqpXkGERHOzEHxfJh6Sm6gXIC/xFVlap660AISQVBjmkTZUkSNY2wUJkN7XKHEz0pzmOn
x5I5YaVCvKtI0WVOkJYuaqssvetk7HZHircl3yLN4sNUPSCV/ZzrOT7G6dAmW3MqEe6mpVV+UaMB
OCSeKhOmuOA0B+kwyn6YwLm+tG7aArAtkc7FIuIgNaVxxcSmx6IAqB5JBkIq9MQHRKg0eZbOJUAp
cD1od8JUWbUvexApwVJCRohYYL9m3oxno8OKTTB7NBTWYaI/92yDyH9oxj7mrArvH0tb1BJvF7N/
bZRssiPaL34P1pcmOM9S9mqG0r6VPo0s3V+dKMMcX+hW959TpVTwJEyjecrwfeW7LLaF2C3JBNZ2
sTiMzUPpfK7SQb94c8p7YiQVOXJFma6BHBL56dYAmU5UA5Ny/OcDOYdlBW0mL22Mop6FXyevO5wf
rdciYvaJaQNBRpbStWIF7XYdbz1YBWPuqevloi/oXAs2VFUihrXtWc67CSclUPXEmkHhQ1FWG2T/
EZFBnk1fDn8MSc+8XdZ4yEvE21ujMlxEYcHEZNJ1pKYU5oRagJTGhouAzA38TT7XKmDJtqMSq2mf
fLcw9Rqs9LoiWM9CtY+kekKx6yuDVliAq1hteqX8K7hqBFkRzURgFWGMQ3JZ2Vn+ajWV9WlOxqI8
FmRRf/P7QXHyCaok3U+9O92npSduFX59Ze/svERvvs9TvoCe7MXIRseN1bqNnpYckM2PuGyBFmyo
O/SIWyvm7UDhM+fQ8kfH9berryi/NIrc/xr7o/I2oznL/kiQ3QKmzeIkX9jaxmKrl865xMMgzS1m
3OlLx0TvEvOqBX5VNyo+0OtMMb3A3yaVkCgNk07Akp5E6c/fSJ6AZ9COgyNQlTI0PQZekxQhGE3L
OdNLvxxxfA+vHHe8+0Tjt97qvixuaNcSiQurmiiZmgRTIH0e+yGJCSD3RCNi8JpjkLKNOfOVP6du
DvWMPVIWuNOIe4j1vaLR4m2WRgQ/cD3lV0HU6uUSEkALZsbmXDaIVD0RxNWxdIGkXvY0MZNHZeYe
WUjCgzLgyXY/9m3drQJMcBO4Pxu4IFnb3tbKpmVsu5nr7DNM008O4P413GCynxJ02p/bEiEZeZoz
uZt57pLS4Uem+0kRE29snJa2aDE36ED6wMkf4gAW+VXWZHB5wIEVp65O/eaoyf6YD4Xv0bQpjBTl
K5E0ZX60hmH50dR2NfcXzuiBwz7gdqolBV2lylvaCZy/RhIqXqKxqK+9wsFdGXuJxrCtwQvuGO2U
l9ko8WmvrR6JKrddruMBuTSNIdCSBwc9MxEtUddHpHf6mPSjKsVaUckk62+kCdB7T3wMumvtR7gi
MsRnxECqvsxCDh38d8oh76bnuXOKhiQpf2apl0SbvJLaJIeDOyTz15Z1HlN84L2aVWndusB8DnaP
5GAfzJ3uP9UOKcLEsNGOCMmYi7AH4dL86hB+4uxqdGHq5A+qhjwd90RTwStgFmFHU0Mliic1tAL4
e3sHaxCIe2ZC4Ca7yXX3Gfmhz4NX8kl4AVrfLQZD4EDC1b3aBIyJx/282EZ8EDArYjxxq79KAaDV
28oyhnOMQNCx+tpUjw3NLxghTu+f7PUn2DgO/hIQMxZ1+38Osv+tIP2oUNq8VHHx8u17n7wplqhu
ftVKgfiHV4SDkc0QYh0Fcsj9dZT1/X8omBFledRFgmY1Zcx/FUvC/cdl8gOU1KLEwt/H4e+/jrKC
PjZpDD71l8kyxMz+36mV3lZKzCZplfPfpyWOYggBK3/c75USPkXMa0bA8SurJcaxJTvGCVF4rq6K
I7pLefjtt/nDoXY9tP7WGpfeqohDvUhQJHZPTvBvr1fZVg4DEyPtEvnzVlp9dC+npKTHNmWXi5+Y
FwK7+K9X81+ecd8O0hiZc9FVVUrQBG0DufYFfr9JgftonEhQC4fWMS5AFCU7i1A9WL5F/pf7W1v7
7+5PmsJeOxZ0IpBjvb1UNXWLbhAFhctYZheBlsYuQZe1ASWXH6BPyk06eP3x5z8lvqn+Ih56d3lS
PIidgzJl8jEj6/LfDbwcOpeEWfhdmA8wdlRR2oeh1vhQkt5YQDnA4veHRF5ham0hOXO6//jxWu9+
av4A6ngi3PnR0ZHwYr+9/1wBPhxdqw2jcX3I+DIfxt5In4nJKnes7aQmR1iuzxvR7uKiHY9tWTmo
dUkATbeM66w7zx3no2+NYKIWG2/px3/gu/f959+H/o2+jXA4GZjv/j60ucSI0EQIW6wKYAxIQexJ
Pgv9gvp8iCvj08fXs2hH/f5CrBckLMWnuYK+GynRuxfe6AZ/IEmnh0fAZTfSGtcadmGxgExby1vY
UNlthgOGHKFoX/qCSpBAv+UC2m0+7D/+a8S7zw8hN9v6zxVnBegD0n/7eMrRI1oEYF84sXdoPPox
BLKJzvqpZZ4FIqhLsouJrI4v6dh8c1HIHntKtH0PtRyzVuQnt7aOzGdsKCSs2XMXd9vKTuVjDGgB
L38yN5u48axpS9fFrzfK54OrWV8uyqo1zsrEh+Qk4gL22VTDtgGf/vzxLdrrE/ztC/x5i8E63xM/
v8P3X2AzYA+G41CGTqN8nGZVix90oCvxUHTM+msPJn4dIFMhqcQKrkxq+0NblPFFB+MYd4gznNVl
1L8ylzHI6ZiLu8IZzecZl2+4TFlxl+VW8wQpGOV8P2bfbKsYcMcM4mXUBiS0uRpInW3FZD/Kvjdh
6KO/v1TlBKaOyvfu49t917z7dbc0IgniYYkDFP72gaJsj3IfFFKoR3KlYDuiFlwcY/vxVd5/Nbw2
zE3ZcVaDA+6CdwNN38m9ceYphF7exV/gH9KzH/qzqdPOdz/HG/bx5d4vIj8v55BQzkLG4f7nWP83
YQlzsjbRHZfDbBNf5qj7+MPmbWDP01+Wgz98D2wM6xbLK+N6Yv1LfrtSOQu0h31fhGqK48uCScVD
5prFnTba/jTaaXFXWqBuPr6994v0entUAtQCTLAtxBpvLwrzOTALQNvhIIf4dciU7++9nDko4MHa
AtqZuPYjFPjmKQfeQnaxY/ztgf7pF3b4I2htyrUfvj7w3+7bULBLJzNv1obh6nkyUev05C8vW+GU
0eXH9/uHt4cnSVeG1juN5p/dmt8uNtlZMgyon8LGgFwsUyyvmNu9Y021QVU8DF8/vt5Pdea7JWDt
aTPT9/mNqbHe3l3tmFmKK74OTbKYAIdPHnmqCQPkfiOHeiq32sj1J3o51S4Bgk4JXfvpxSJgiOPW
Y2p4ViPdv6yitH8d3W58LQWQ202iIpvDo2tcECHZPH38R//xibiuK7EP8aW937lF6dLdSfwmBFXq
wGanMokItD0PMJbff3ypP730DCUC0xeMVgJ3XVN+ex6Vn7Z9yy1RDnXRpSV663LsZ3VCPwCAwc6r
8wRmfvjxRf9wfzaPg241YmCG2Osf9dtFtZJtLoCuwMipJOfBCkab6snWcCLjL8rjP3xfhF4FSN2R
wtNOfP/4E2a5GgQ5YH2VVIfSzTJifrS/n2Tb32CjXM6EPQzx1hmx6ihm73954f90r1yd2VCA/QM2
1tt7ZSLgYcgfqrCU8chJkzu0lia4Hol2vfr4Z13v5f2rjkgcqTKaBe//lLYU6O66WJahZM86zZXd
n3pXszfDw7MfY9F72c4nguIE++lvj/QPvzOdNUus+XGUuvLde9T6eQH/wG3CtDWno83x+TZp4dFt
Z6hil5leWLtSJchxXDogPDh5qbY+vv0/vcqYHdCZ+h4a1/ePmvlONE2+04QyMd0wFq57pmCh7Ou0
vynBCzubAoPqX2q6PzxeVkwsEZzPcE5474ooGty22fYsnnEmg6vIwEDAhKUtk13qRtnh4ztcf8R3
D5i+OK12ysc1I+/dSt1wQvJzoDZhS612lZbdA1Tyv93RHy6CK3G1KhGPJFC1vX1hy8DuAA8lrAjx
HMGKgCICWzEmUOHjm/nDLyeYALI0S8ldvf/lil5PRmOoJpzdVj7mad/3NN+hWE85SOu/vBt/+DQE
e+kq91oHC++PIl2tclgDQxdSoZOxmgSp2AUmFa12/fIcwKnxKRpr1CoophiE/M+o5NOvx/PB6Hat
ygSTkYDZiMUY23+3wyOfhwBAzltY5ETNdJNErcSu9/FF/vDu27i6ePlx6PzfPRx4S+vNpleGreHw
GgJPftTx3J/iQaWQ51r4OikipL8UL3/YzPnWAyxqq/mVTMm3rwrjWYhYRVSGxlDJxypfjE++ntt7
gkuyMHPLv33hPw1q7z4Am5MsrlZ2j+DXrOe3jSNmCF8W2q2JELJLxqfLFBGhmxrJDz4G74GFgbHN
iAHmAdhc9Cmo8LJvkrSe0D85WfujYbh4pzLBKaAjsehoNIPtk4mcvDoypfbPnYEgAMoChpFkt5Mc
k7RTWLeiv6dwaT5//ND+8AWgUjZ9pKNItFFPv/35ECH2g6zMmi6xYUzgcUFee4ROfIbfMF3/29da
F0Y2BmBUAWfPt9fyhN/4i8gpbl0j3g2WgnDVGf2RzMe/tT3+cFv4C9mBEJ9zyfcdlsVsB6YmSwGd
n45Hb3ozOTW46WWUZOHHd7W2vt6tiCgu8PVarPiuTRXz9rYgVRnKnCM+LoJTQAC5tqJf4CIz6wrz
GY2/dnayAy9+Da+MzWdEMvjNTPLiDiIUbqqC9+wT+mV9AT+tfJB6tqY9jwQ6M13c14//WrFuBm9f
X8kaRKVNu45Fz333EFq59M6S0BApFSLARtnNS+GhCG16WtsbVGHx62gm3f3gkCzK8C+CWtIJfUM/
vCXRmcySxDKHmw7M17b0OIvUBYjRxB36k5tO/o3yq/lopmrcdaAUz5Wbjn9ZtDlwvV1K6RdQSglS
MEh9xbWK+uXtTw7HdspJ7WnCHqLaVqhufIoEFtGN2ZBEsJVdS/A9Q6DyVVEP8JMjfON8rVs1bens
kfTS4m5Jt35jg6PJMH3NW5TqQN4TIjYfE+K9KgZ7ogYZVbteeUw9u4HAoSlcZklUTxhAU44Og8xQ
l2ZRFi97d8m7l0T6TbrPzQZoIAc3BHlSahTtPjrC3PBuzDypTq0PVmmRc3SJEYZh5zoLuSaGXpeg
zRnabTsocurYqqF+dejSG7s6conc9jDV+QspUKPOvFMU5N6DJYdp442IOVamw95o5zASVg9x34qG
bcQ4+S4tYuOb30Qr6T0rpu8kMtzqvPphWrXYEdGsYfJaJFvnwbht3FhwlB71i8kc9MzBcbgZ8tq7
KpDkc/9Tc+/o7lsQeeml3QRmSEMBYJqk+/iQ2GjSUAkn7plYgc2tb2iSIywN1LnKius4aQs4RguP
Q1WRcQ83Nf2ykLBN1Cre9zBxZuMHwN9m7wcDQh0zJyz3wkGHcg+kIrquir7gfZUkWSGs9JttMzTO
YWh6R+8NncldNjJj3kTeNOAqZHel+xBNL0ELkvIwTU6yhVf63EP2e+VFgJU7OOXy1M0yPcNXZox7
TiE5pA87KTZ+x5yKdJ3slqq5GGjKTE+sneVXax7mM3ps9gUK/OYxiCemKc44XLpVABsrF3nDM1LJ
Symju96bHsEj4lyrmInKg8AU6m4yw5qvewWpnQFw0IEv0iOCnYBklF2RFvUhMc1+Oy94lBCTEsJS
m/UnA9jZRcoO/pnZ3UIuQ5Qyy4nqM8OuzAOIb/9yCcpKwo0Z/CdXGt2Z7oOccG6w6ImavoDZyTcu
ONxTZjvfsm4CXo4OOSxdm4Lc8e/kXL94w1CGFTvBHTDZ7t7JPDvsNYfQUdQz6qSunK7K0ZQ5ZDKb
nBvLxaTWteKVI0t/g52yJRJN5nCz4UrFrZs9WAbwIgxR3YUZJXu3zO51NGW7kcnliX5tx4jKUMWu
ygRDIEurfY1hd5/2kU62iLVbfiQ3IH+oGzOI21brQrvJfLJ4E9rZmxil17gfzLlBW+4Rvrz1F5OY
Fp8crS2bGJM/w38lmTLnqEP+MRMzDZqPCLCG4faWuFvik3QRX4y6NXce8DyofLY9bHSK0JKEPutM
awvlxNKa/jnxG4BnUwl8C0HV86QyFuvKH3cwoMd+yztunRFP2DCvnGzj0V+Sy4G4sM9EUjTHeU6t
72mbVD9woMUPgO7qV93eRKBp2edZOY8WvB0IXzK7nnXUXHgV+txtTnYmaGDmoTh9sTzmHqZhR5UQ
kFPVXEF2NV+bLp3DCiHJSWnDRLRexM+jZQgyIVR1tjSzPsnJ9SDZOmyDivT02xbf6Hd3LCF10n1l
fyScyKnE59606ZIbVcswopsHBvkT6RTnCO5wHy5xw89V1824dZvWeyBKY/wsccud4sp1pr2zOFV5
oHyewnkQy1ffI4h3q2eqmVyZ4OK9ZgLUXq6kuTZe7OvF8VmykY/NN8TI6M9jKqzQqWbgsQxpmzVW
hjDCsZ2NVzKtU0QWIoEBPZWPOHj9c5BrAOw63rUdrLJ5h7QAZLSpENZupyofjkmVZvsIbUCIom86
MZDs7wFwOt2mdRzb4SUWzSenshNji/4CzlFO8NQhNoccbVmvIbs7qkXpRT0UELpCWgpmrHGXxo19
7zRBRHPGNlDhppNoybRqpmOclwjBOazcEQVtv/bVj1nljBi0LL7Tm8RvkHrnuboAcYhiMZPOTW+z
+M4eKIREA+co0CzftVYZnA/D6CO7cIlIcRThQ9vEbqMXd+qDa9JsqhO5Je1paKQB9NExxy8u+o1L
GM7u1pmScwfleVjOmckE1s4Pdod0ZwmIhLParj3y2Y4HzwAMpLXkXhE97uZiMg5W6coz+KbrDkIN
8axcnLDblvbcHemjAekrRpbBChVDiFSl3PPiN+WmHZbvjtGMl8ZcyLOlWBjvux5Dk2TMbkTjdMfe
95q7QjhqX3pG8o0wWP3YqKzYt22FlkkUN6MnH/suqTamoRRw0RlQFbaThdWrjlB4o5HkTiOO10+y
kPJy9InFKW0A+jrOFdnnYknOnMU2EajTwyVxXNvDeSO79L4qKwstZG/kF+Uk1XW7YA48obFwBJFf
Jql5EL14CEkR38DqS5HzjyhHjZqdDadhxp/kpPdCeeaB6IX5vqsNnxwMIsd8Et52nmiuDAio2EgI
/VhXiMG/017tLjuamqgXCrfx7xMPzXmNvxTxIkGL6VENFtVp79nfExO4m8Tfbe6qBUeba6HPKcqk
tTZNgmoiWoLmzHHyesevX1xI0wgXxg2vGPaDs7mccEoU0pmObqRQyCTAei+mBZZzEq2xSxrVhN4V
sm2YgSiOZygbUrEn63ME5FlUPwpjtK6AZzoPaGcc9LbWFF9MRWoXm7QRBYvpmgfewyJ393XljjdT
3AjYZnV9JlCbbeY6FedL4JM8wuj2qlmIJoWprs+7kts0QMuhJmhca0PU5+rysV96zgFb3yiq7WKQ
1LtBc4ycyQXlt7QOegzU1HvpJOg2JYTCcxYsrPpBtddUK+d9FbdhnU3VyzTHvPB4SZsabvMwBMEG
5tV0EacMHezMLq7bwYv39IGXrT/X2a6R9ms2qe6z2TlEZOnR+pL2PknJkfdoNZaGz9Wu6uaCjM3E
9OyzdCY8EEIDjswqyEJXo1KLJwWjv3KMMFVLsLNQNF2QNnwllKpxoXB0JHJULBvYmChymNxsF5b9
O8Zo5REjQnKph4wUr8mZqkPrTfZ1DlrxFviuviILU7F+AX5FpRLcdk3Uwx2s4U7kYgZHVpqMUM3F
P+PdJ1fZRqk2qC56nLO2vzFUDVs3rb36QNoK8Q2kW4SYZkYUyG4Xep2C+Zh/YfdjFSdMzbqXVq4p
+xeXDc00OZhYsOgu4949s/iRT2avX/CwkkrVA4YX8NNDqwJiFpF6m5D+Yna3FDg/XANG96Sr7hxp
0OcxmrsnrwtesUxQanusgRbrr8qddFd21jOscExerAv7Ki41IfXDo6Gi6JDBgLohyr1AQU0xfYzJ
zNyUotJba3TVbuyYQo4YRZD7DOWl6fbBXrpDu4/gwp/7iMUOZDUEhFcTetln3ZnEdXXJIeSIex7E
amQv1qFEDve58434bCmTW2mX9yQBN7upH5qTJvhui5m+ugjscly/gWHXRvJ1TPO1tpvdfSD4H4rN
fVU26ROibveUUDzuLNTAYebretfqxN8bWU+YWEds8Ez0JIvB3O8haa+FZne5ZCOsjG54DExMTsRH
jyf8eg32OAtQE6zHjCQNNw3MgxdFu1Qa7gOpDJDyG6MFOO5ZjeRzs4It4aUByEUiCEh7S7aWrqcj
4dQG3Dq7YQMovcvMn8vrOXOar01Vkd5dzXcjSZkHCyE4BOS0/DyqeDoqjj57Uav7NpgFQ57GeSxI
rIaMHqt9D871MobguzPTMJXVcirMxjyDE2hedeMwHQntGEOL6I3NUPrprjWa/qTBA39VqW0eQEdD
8EeGuAlGf36QkqxIfn+ge41MTgx5R0Ii7Oe0cKbdjPdqXwyKN9xajT50JLoSKH3mpOyKyLGpkoy0
ugogiO3zzhn3QrXy2scBA0Sw+Gr16fAIvliGrOjwObqBtmFm5Xs5OvGrWiDFu22VMAe188feHceX
znDrmyB10y8C9ogElofa3SfbQEX9DqVIB60WMLIxkeQbphW9BMzcuBJx2fLsCp0TwDHhpQu8dGcv
DVY6DaaFNnNqhqbokqsA1il8FDZd04iMvQEa69QtVNMJEIoDbBSkkQZOuKQxOkpwpOOB8lHdkpTL
5uAj0ZgolHpQxGnu7B3y4bLcFxSfQNAN6GSHUuUATvuguZ3zIg6blLVQlXmHf2iBteax9ricYXZZ
UdaXbj7PHEz9gcChNK8O1tC2xD1UxsHoYnSbksIezWuWT5cLLOhPnju55/RougNRmZr31D11uKwr
Qp5UfW2ljnVNdLIRGlR1Z34+jsBIOBH37ZrSyplpwwXUbvB9ImLSqiMOe/bDwujpxpuNxaLSmkj8
9EVRp6/mYrpXRSunm1JnVxOc/w04hm+yBfjqlfklpEhCA5QQP+pkSrZjWy032nOKg0BY98VOFwNo
OQFmCE5HB5uiOz5Ek6gu2jpZdolTkY0xPTMTaDayNz9XeT5dk9lDvEkCnkE0LghR2NVhYfWc18WQ
38BCZd+mCY6Z3HrBJYYEtovkeLImkXIwb6OjKdKEr33O94mMgkdliWxfZOnX3FH6ou3pV24JdSJN
CHLyRk7DcnR0Un6bqK0OA6qGM0s02SeV1fVOCNZcz6RY2XQd40donK18llNOUBFhYfvIEuWD0ffR
ud+7/iGPXCJcF8tleEjCmZjj5RrJyKsfN8uO2GWL7JfEe81bUjw4N1k4JKS8Hx2OvFVJMino4GCD
dDGzoWMXHttHpp+9kadF+oImUCGNH+oggCszzqHvqRoT6zxAGNHVQ1kNFRtKHe2mxs5Piln4vncX
HBCFcO/hZR+XWvVnxLG7RGxN3cswxgCnu/mqhhmEUJiX2xmD5saNSwcmRPsoMKReTD8J+wtMII06
9RSUkYvBFixw7qZC4cbtxwsM/f3dkg9qO5acH7eqmP1i0+A2PLcjpORxnPzQaPA3I37YvVW4JDYs
U3kyI/qqsDaa+TDYiTiY5ax3GbrL2qqmfePTxxKGHWzisUc2mhGjCJmKSDcq0gsCjK09+H3SU+zh
znbz5MCICVkMcrhdb3n1NzuCV2sDiaU64MujhYR71mNA8ilDHoCih9Xxs5euuCTZnMY8aa/AgYjz
qZifg7z7nqSZd4D4WofK6ZaDqQPzGChFdNpUg5AuGnf6DubaqvA019NDFizJ58LPum9O+yPrPM6a
Tm2GIqq6najccusJXT7FdQtf3XbHUzcpecKoOH3Cl8oWotxq2Iso6MMICWqycYfYPZpg6kna5Czf
wMM/0LeLbmPF4hXFughTGDKkMxUzCTVVhF4dJH3UIOfe2B6JygWwUxLhDE1YIVMoCsY6b56jUs3h
iCOJTlSe7IcxTfhZreWEYfG1k8I6dTBIjnnRto90pr3rpSLSA1G5eeHYQXyh6iIj796sg0OXYtzi
hN4l6kCCeGGRmR0Z7KNguuaNJCZo2sOSZsjmSDDRWwusScwf1BIX2IulpTpmBNfvYMFtOo4g97Wa
q0NNp/rMy3OyMzyMuOQcHRKNCRqnOEjcHCe3Wev8DM2QycbhN4+6rJeZrOl2xnERZMQHiYIUMBdY
8AooHy2MXFli7cc0vaVnxUQgp8WEcZQMOg/QrB8QW2G72trGZlUcuIy6ivw+OlpZOl7NEclqIiEj
ogAhbaHE2rptfumN6ctU6ZEuYgogj47ZAS4Yan6XQCIiFs40SuxzZQdRWCj5qVsJ33WHs4KzU/Ng
TrLetpCCNjoawRr9f+bOrDduJs3Sf6XR92xwXy76Jpm7Uqndkn1DyLLFJbgEgzt//Tx01QzstMfC
N8AADTQKDZRLkdxied9zzlMN0fhMcyQNC4eTdKUTWAkFpXytWB7vMq2fwoDdV1ilMtkZbmxdd1Sv
X0rXE0wL7LRJpi7M7LuM48XBZn8JpMRwFpSkmqMcPRi6yA+eZlzBEn4uG788ePgr1mndPVVABa9y
2+r3QdEQ9Fvb86YI/PZz7wJ02U3RAEjRJu0DdZLt7AYvch7y0RGE9HaEK8u8u0aQLI4ySqdtYtrJ
F4uiK3x1lZBJ3PTy2syjZuMFTfpu+ml61voaJ5up9WuXHd+xWyJ52RlU+0p6AeHmsRaq1oVMWMw6
e9jWeqKkELx6S2ybStzm2ulH7zYIYho2AwgDVfnsw7uplFu34ZPlOGVuYxjtd3OUurfon6GrJlR0
nFh1y17MuWrGnlhnD1v2q+hLVeG8GUHdjtzDBx321WIBit1vWBKoVbJ/UbelObJgqInTDPuGY0Te
/zWLNcxo8vOv8FlLsNmG5u0Bq4He1QLTXHk19Z0aFPbL7CXVIfN6/eBXsfHJoMa0BR4GXS7Sk46p
tceTj9xw+KIiFIZZKtutoQfjhoSegqC2ZrAJofayZ9231IOh7Pocd4o9d54NGElGZrJqFcyacnFn
iAASQVamr3E18beV2xfxevJJzHbpgq0tKCZvLYAIPp4k34nJAFgGY3S4mTVN3VWRMK/yqJSPmRHD
R2J7xVmwF3JTJ25/JVycTiHOuk6svZkomtWMgvzbkOaK/OSh+AqSndJ8Aobntp8SOAZYK4hPLVoi
+1c+iOtT47d0+0XdgRDFR2M+22lfvzedUKSmEb59ZQKPSkk+8haLTWlGt+WQdiy9nLhPeoc68Fp5
JQwEY3DcfU0U+rcpRUE7My++xxNQhSv2Ye7esEiKXUF0TaKwCwwQEo4gkEe6pUOlqNFqaK2J/SnI
C+BPeKaoFkYxpquqpUc6MFV9Ia2rX89Fz8/tMi09xR16L2GD1M0DUb8vtrYvPGRv1ZhpoDaDqdkQ
SjIpsbwSbx7icMyxqFsaMiDEhf624UhH/V6Y+yixzAeZq4aAeN0CbFKkU7nCeGFfJ01Br2rQ24b9
kk2RHLTqIgvGlP9UzhhawhoExK1p//hdmAScsAFBmm3ZYNafG5w9AWDKnv+ULTMeGbVcCTnFNxby
kmunSxTlkSCJ9tPojU/E9uT6biim4Jipea5XptuJ+jomlw2qRTOmzUMmBwQTEQkbOxh09TsB3Enz
AF5UGFu7yOxtkWkAifrKAjavl7E45H5EkDm+VWWtdaEUyVsYwQi/DmwqGyZffdRlsJQb7LqSBSFB
NInFyloFflRceUOTP+B/a3eSeCVn03odN6SZGm6pgdwI0IUjDXvLW0r6AA0zdhZFQ+tWNHS8VjKm
uhFG3pw/UNKIXyjDc4IONGlvO7JIv1SN1xypn2cAhTLSuseMvG6M4iPOlKrdRdiG3pqha8/GNE5H
18m6FBh5HZwpyPLnRYNQZ146ln4b8J5yoo+ux4oXM0SgjxAv6ORnF9vXdZBl8bWHNncb1X2294EX
E23hTfFXQ4uzk4PzsFn1aIL7jXIpPIVZwgEJJ1Rv9qHUA9h6ej9VD14hxyxMG5Kj1uTP8jbGkbME
PPn8v8qK0lNHafwTFYE0DVVKMMqCjBpfq8CpH7OhbN+yPjI9SnSW9koMV/yCgbHGpKSBlbImIjJT
X1jeCoXz8KR0Sz3XAQULgZnsE2cG9+wRt090lAiuK+WyP6jzxmWRx1q28hrmK9qm7Mcjc1FN5DLu
tlkCjdJoHDPUR419ZctEeuY7aItwpDgLxbrL0TBaBnaXtSkjmged5VvxrvMG/QWoXOqHeYsCkAoW
b5bqM/uTT4W+XEW1xYOoM4emBHkPPEzY5Fd9ijzXmrD43KOwYN2lGFzcpKhbScX3k+sgD/LboC2j
fGtE1FVXGjC6t5nnTQEUCuUGBcOUHBGIOZ8sMBq7qHHl59xs3W8uyV2nRMYmZchpYHrQW1SPLVCJ
AmsOmSV0iVJibMtM5+PJq0WnksmZvA4nd4LHBO4YzdiAN1CTNQ+h7OgcbRu7Q23VZ44F2ZpkyU9x
HxjFnhrV8KT5abbHFckHS8PggfZoF+akOn5hWYiuE8/NH8gMqh8FDObmmDqN943DzlCsqx5APKYB
JMhsCGYNkapWsTNrkdPt2EfH2bayIxPfHHXEFwBdJvusSprNAUdKcs9SVLvAkARIXHfqsr3yPeI5
Yr6PIhxocXxJcl5tQffqXAq+zgkG0paMUGZdMcUvdKe4nZ5hTuXN0PgTm44knjc6HSM4A0vjukOA
9i71uDI3VdQz3bsSeMCqzpbvu5UcdM7+IvMup0ZsFzGLwyG7LM2NIUCShgzCH8Vp9QxEmbLwEJjq
obUmLH/0edtttszMJQvANoBjfNJJFARmUcn7Mi1HOkdGC74YtNSpgTt80qk46zszK6drV/cV9wDd
723jRcAYRK7ylCNk4lJEpa6+VKh4SGORt7uqTDgMqaLAejiZMKVuknbssfjX1QHvaHUg80E/4k7j
WbDISRem6YJ/9VRjbZ2R/1wn5IBzoNfTCC6JyxyZzhbznBNVTCJ6rVmfOFICEs5kvXZiLblXvN83
9Siia+AfALYTp98TpESzbGRPHRYQFyiYk1zTXnl91cAEKEsqraWGNRQoiZ5Pq6rihTN7By9cP2X9
zjTpua5LUbPZ1qmS7hLaNScaprO/yuAzpTggfaRdqPCRN7dd/ThKg28RShSJcrLv19wHdx/VATlo
VqHq9aDwtq7AGRwr+glYCn1kRaYhnUebt3snGq2I2ZdVzmvOgsIu2ZjrvYyHaxLUmv5EK5Qlq3UR
GUPUhImSlNmezBtr32Wjs81ih1elp0MbSp/Ox1CicFzpyTQ8kRZK9qOtWKQgyqFvtKb8gY2WBh3Q
j3l5WzKL2JtK30zCwctZMNkdmqS9iO6GsHoSk2SCHTppGmT82WjcUqO66QwSLvySvE63ZG3QtBEJ
tBy1Y9cNzZHSBFfjJFYE/A+r0H7Ma7aAhdczx2tlQwZU1Dp2/C+h2v+HjIHd9+r8Wnxv/poEB8yA
/7v8J/8DI+CWlMb/o6pbv7av//Ed+HE7LZf43/+5iSfZ/mypW/75v+MH3P/COUYjgaOqY1lkvfxv
S51pg1pA8OfbFnIkFOfIbf5tqbOM/8Ix7/Cy+DqaVSSrP1vqyAvAjuYZHro2i5H+QeT6r2IZzyRA
1yGvxbYRQ1kk1Cz6pZ8Ea742VWzm3TgcfIQoS8+/yo+yBvFWUxDLYQ6mjz/dmI/lhv8aEWkckgis
BZa7eJB+GlFiq0nUTDSB8Gib69WuiNLw70NcYiX+PYaLBAgtFcrNCwkQsKQWt6oPUnSdHehl5eba
fY+O1KlXN+PqO1e66tw3tTrKMDh8MPaFpWcZ28dQxjOjQ42k8kJPPeUGm2r28WGk3pLmJif3LHEl
m37MRjEiM/1csAAW0/s/HRfVIW8ZscAMjrj44prTrpsSoTNu2VprEVU7TRnn5SjiWhvHijdjJu/M
nGgs9wMT04XEDWGKjaMHHTGeFB7n5c0mrqKKJ6R7YWVXEfGlgIctT27yvn+sLGtYg2J0PnjAv721
DInEGHkXH5VvksDxyzuUIrEoYs65HDumr8049kcv8+nLddptr3tPCrH7Pe7pjxTBfxh2kZQtuUyO
vQiDfx1WH/vag7yG+mSOIVhR1v0qoq5BRiAOA4RMKzjag6e9/f3J2vzVn0R5y/1lVPLV8eOBfr58
sLXhazUbj4zDAXiksDPa/HnKfUiifx/nQiz7YxxsTETeo1HnUV5MBW6cu6qpS5LMqbTAX9uONMdg
WV0R2/GBSu9CgclQyEktBz06Gf/MiRfvqhv3lufURL6WXrtK5/MI7g+H39+v5/f7tgyClJR9u75M
A78+LTnneWVoGucWlW4xskZhM4z95u+D/PFKsE9QMMU/4VzetGIsMtVhGgrpxUZb4glRG8zQwTI9
Wf/zkbBOsJLYnmP7P5SmP82bMTsIk2+c1wDpD/M2KuA85OP74IL+dNfg/rBUIcxjBbqYvjy42Tbb
aCosZvLoOWTP5PKDIYw/jsFXhJ+MR4MS99cnow1Gh46eJ9M3UBlFZJm3ZLZX+15VD7OOCAFZtFhP
BtpRSwvEXhG5F5plp9+bqjdM7JpYpMZoqj74YX/4XXxk3F6feQUD/MXvGlPZzDqAQ2J1S6I2OGYN
26Lyo/t//CRNytPI7j3EnK5+MY0UmmHFVBIyCLZsT8mNaFAy2eqjSObfV0HU1OwTWN4x6bk45369
zS2tNCo4tDCscfiqAm/cxm32qAe5Q0kE5qOpV98DtCifnYL81aRyU9qadbec6HRxqgEuoo0anUNt
y5BkDOu97QgmH0iSXs96p3/7+11Zbu6v0xweZ8iT1CVhATEr/Ppryd2x88D2uCsT1d1vXnTGfHs3
WU9/H+bH+vvbOORvkVTn+S6f7a/jGAE5qmK0BJ1w94gua9gO6AnOfhWRk0m0Yl+Hiu4Nuj5zHNCs
jmrfgZ3bKGAVKAZE5W5oTX0w9/6+srA1RJC3bPp85MsXj6qQjUnkU8MaSlyrr6b4Fvr3q2j3nXNo
4Tjvy9r4h7bKZRImfjDgHaRFtCR3/3oj0GaQ00YXPKxt4ooG+mUw9I5R1X6Ap7j8qpBis0YzRbJy
UjK+3BBlqA2NruDBSnjMNwEHlnU3YOL++3O9XL0uR1l+xU/TI5zYyIIWzreLG2KdWLEX5hB9r7A2
1/RNVPfBE3P4ez+/RpfjLf/9T+ORk5DGfc9VOeraNq7m+pPxT+eJH0MA+Qo8h90+Zstfh3Cp6Kk2
YIggP1HOW6GiWFWIIv9+4y5N/4tUnjIxlrgfOQOsL78OQw4y+rmSAy1S8+FEjczd5ZEcP/dIXs+6
rppXKkr6NqW4NBbjbWMwa81VNzcf/JDLCeDH70BMROIaVonfLnfMJ4O+0NKsJdO3BwuPBKBjXtKp
v5p6v8mC6oN35tKd8a9LZyOyhHssCSUXE77vDJajl70IbSzjO1sWkFI7CmqRi8ANzGP2APPHWUM1
JAML6ZpraeZ2FMmtMGIZwk6lpr63vDvkkPUj4bIf+CX/8I7ZpMEzf3M8g0xz8Y45Mz7JFLB4aEdD
86b5iDWroGEpjOjRfHD3Pxpr+b5+ep8pLmEjpuxCLSENJ9365k7BdkyrDy5peWcvPptfLunijutu
MSTDzM59iAP/FJfyCIib2p59MwXp/WQmaAyr7tVT9I3//p7/YRrCZ7ucnNmrsXe/GHlGrOVoFiJg
x9W61Ui8wpUy/Y8mu9+/JpYVTMMGh6HlyXkX95HFEcRAarKtKRJQv0Wxnzj2rWjEhw5sdZWhnyCH
lRr0se/I6g2SDyYm4/IAytadF5uoHVBYHiELFzNhrBVqnH1bhWMcf/Na+5zTFdGXJOuuSG4M1T4S
j7duyH02VXT4+03+7S26GPvijcWYhl+r6alOIvPqSZzWaKP5/gfv6o+gn1/eoothLm6yIYeqHigj
hPUwbTyv23ta+tpSYlm5pjxSF9sIoFd13h0sj44YGT6E6DT97u8Xu7wxv/0KD3Klw1q6RGv9+skI
r270tOFRtyK7hSl0TDWUXEb2YOXRJqqKfzxBctXLPOAvTl6qNhc31wdEL6jSAuTBrsGUgW+gXLu8
U66zRRHy/3KTPZPmD68zgZeXbE7omn3TYELiJgf7RKZHar53TZAeS7u+M7LgWrqEmBmzd5JphDNo
Qn82IZ7++02+3Bktb7Nn4/c1PSzjZCZe3GTyyzsUb3U4J6XdPbYNGj0iERrvRhO1rT6VBK4jH7et
qt4iU5fO/d/H/23a4CAM65QJg3ION/ViW1o2oza3LZtCpPon7jLqMzf58vcx/vAiUcmm/udR0KAc
eHGNVZYWBMzqimJ6TvgdUZYyuaW3d+/q1Usb/ZtQ+H9NmPrjJf00nPnrLR3QFM9JTH+NjjKNRFGj
J+oe/n5Jyxd48W38ckkXt2307YRq1ayWldVZuYNaDyVk0oivcSG6/n0wg6X6cjwOxpZjMt9Sh1oy
u369psjR/ARZPBrgxQkzNpNprB2MLuq9m90J+XKu0S9tXE1EMBai6qHi6OlQ7O8cayXx1EAGyJvM
IXPez+SNH0dd8pzEvpOfSVosvSOSZWDYq3Zy5gdz9sZzPhjay1QCbLJmfQZu3tRRsnZbu7oZIPNF
COSjCmNMlmUM3/jdXqha3freVEBHIdn+Bg2nEk+BMUN91oxuPg1jcO9lmb9pPM17wv5e3A1mMvin
1GwGfz8Rc/nZCNKm2kGKqe6UXsGWMhqXYM25Hz/pg9mzJZn96cbWi+Iwupaz0Wszek9ZWF/AYaKE
gWN2zjxHrjTRkkQgxLvjNLN9aMSIg1ACs0U/mMxxvR4rNwlbZetiM+U0YXeTyRFxSe0za3rUtGsn
FQiAP77apoFhHktqo8Omd2i6UUNK+hddBma7ahBOR6aLDtjx5ayOfZtat6LNtnQ3k6vBiaJjbQho
AsIGs14r91kn8UTtncnQT4jb7DuYNxaE+vnBhZ59rgl6Ogxz0phroVA0dAnd7ayMUKYHXkh3MdkM
Q5m0e1IOq+Fr4+QTDZiOPmTf2e26sFLvRvWtedvCce82hUPuWMcTXRsTpsSHGIbck9OOxBfacyqd
9UiicHHo/XK+MoTUaamZdHhEsYEt1KWI3WuiqBo9uUXCcBzsjNjNslvVvl7vCim8F5dW+LtC1LOZ
euhpIH7QOM8krU31bTFikeHNRBGej+++W7DDT8hNpa1UYmmpi510piNxtNpqzm33myymBO1bSWMP
MMFaSwd3AwpANqFpx9aZoBRxa3iafsfzam/GNNWN66Cevzr6PK90Hhrd2TjnPtslRCPBjhrvxLuF
WoXdrH9LPChEeI2IsywpVkNlm2FZ6/Yz0OCvnpW6n7PcKk9GM4CML5cfmAp5QIsIFpwISQOGlnYw
pfkuLTzNGLuSelWIdCNJD8a0sCIn5gmUQ75yaVL6PSFvoCvvo+R7MCEIW+nxpEG1qG4mJIp0tZeY
2sl6nC1VhQMZKUcc0D3iVk3bF940HNWy4GsIIa7QgUCLk515kwYEaM5VNRHNmlQblCfGNsOsTpyS
GSJGNfaYKz1Uf1f5WG9IOXvMrbqnYY5xMHTipeyFF78myvZLSRTcqnGKLhyj+s2C1ryp01xeB7QN
j2ydxAJvtr4NIxEqoeUmNsLyL9AirijMGUNIsz8OXrxxIiu4uMnb+alwXmREBrsxPFW8HuWd6Sdj
tSHvr9yWedrtkwaECx9mKR4GjYbNSjdq86HT37Gx5WsdN6GbBGs/Tz7Ppvkaa7xmo6HD8tCWJF1T
tI+C0tZVkzX5UxPZ6dqoM3dDjTwRx5apDb9aAqij3mIOMN+aVHO3+FqDQxEzK5Acj0VaGNdK2psY
jfaUYFSIA+e716dXTe4csRFuh0lu5rbhAxL2JvHdscBJ6LQQfsy5Dy0D1rvfVogJcrkmKwtF+oTa
e8jUJi2agpOsz/9+mHd2kuxtv9mUc3BICjAgevDF6cwtPNE1Wv4wn9Ntb5dhn3XPoyfWhCQxXLZG
7d9+63CUVhxSwO25m9aWG3fs9rLbZ9a4gk5IX5t04D5asxCAfqmGdt9L13quBwMjYNm8MI+tAzfX
+yMiuyOHXcUpc353/TYkZUESdOB9auXYnzOcalg98QfUsxgl+krX+GrgImQTAGuM9+Jo07S+1oXl
1ts0swYatjMHpx7B8BvO4Tc/du5mPc/3foaqeYXRp76RSLM3vZYZauOW/oMV86Qbx07AvmLzo98N
hhF8ao1yH5fl2kfhuKomU781jXwRodri6zx70aGfIoKNjWxVQAr5hOyJYDULbkkZndpE+1Q69kuG
J0eS772Kff/WJeR24zXWHkR6feuIvr6vl/jsIBiZXkttSDFkjDXvE3n2xsGpDVVgShjtuwKp48og
xiBZJUFtQ2phfYCz+dyWlRlGfodbD1XcMGI8j8pd0Mc7rJUTXFute7cL2ekbPJpT8ohCfLrF0TXu
NK3QTrGbR8BTmsK7akuRaIgEZx+dUWFf57Z55JOLT0iMSCVR9PLw7aIaHDFA+AVaCuOt6cZnvR9d
eaShYG868uXeAm8aa2AM+rybHec2twrJib3AQybkObXA5bKtXQOrWXNeWPtiOgKFXeVKblqkgggY
FnUCNgIiD/apZ+L2CqCtU/5D9RS67D2es7wEAayDYbHvm9iyviujZosjB2wnnoee3b22dKxcVbdr
kJ0Sr4QNEdnQOe3PaUNJT2IDI/S7OuQArZpwWCz+WJnrezWp7pgnanBWuoVd3Rj87AV+7JQfG4CA
xsomd2GVYN0E24mghw+aT9SJalMdlHMgLVx9CkbhICNapHN6adahX5Z5cDXGzhwiEFkiuBHqhW2D
Kr+cqORQJ3VXSTLvk4GgZ7/vKi5Q1u3TrIaempNitLDxIaAGsTfvo7gjbXkw3mLcwG9NNfdNWBny
hZnqlSK0pGje2gDySCC8Q2Y37Ge3qM+51mfeuol05MVNNFlnzcJ2gqdsnBRTjMDlrSZhoriELrGa
jAhgPbKt69Gb9HXlWNmTBjZ+WOFnHPd50HlhRSEBxIfuqHRv1h4WaxUH8Tmba/9LreSwGwMHh7Ie
OyN88MYHozcYpdGt+zSoUV841XNQjmGWuS8N9ve1lUNShek5nlqTbANZP4y+UX1JCWPb5eTeb6Wr
GR53b0FIpMNwLtxiuk1KNFipHjxbWVtfSw8RRlkNyXpMnGLnSWGG/Kv4xhgrAjs8ZmoNEAgmnaiA
9lzNcktW8xNUc7od9SABbiJ7u26LlHC9OI5fEGOyQYlSnzm0QKnSAhBGeTh/tqfpTGC1j+0wtvYE
sYWaFZOD7nNAuW0Hvz1FYszeoEHDIilxDlEyGu/Ixd4hzrkynJbQ7SRO13gzmjURq2JfdElyKv3h
0CIGNSg1xth/i88q6w5DmatkU4u7IvIfS1k2N0Q8PEPGxWlfWtvZkQ2VwdGh4U1xUrNFX7zEGJ2C
q7zpxU6yPoTMadG5Qbi6t+f+JigS6GBOtS4mYGH8IzxWEoPCvWX0fboSfEsrov4wMAS5fZ/VYKk0
ELVHe6ow9JlJg3RsvI9z485CtK5NkNQWg/8+R2WEkGjjWLBb+Iux+4p10uo3kSKOZyV0I7sl/3Ox
xhzUbPe3aVs1EUGGWoTpBd7KVyLY6uc28tU9Gkb9Bu1XGw7NLB+7WV4hQi4UVgF5n6YBNK+23Vmi
9da43sX7nOjkQ6jxRUqPlP2F0LKqc+JCnGxcO7r5ilz/O4Ly8YRzOZabIHUiTFPddZqZw85AI46u
y8R9J9JPloXxR4muWA+jhkGxx/3aDQs5oXJu4jwzdzh+0f33bMebKT3Hun5qlbkJZoOFzWuGB+yG
NVCjETSfJr11VqWvrkpCt5feu8K9xUFGxjdF55PLAgbPd7ccTkOXXrbdVdqOfB9vk9dWdRoMq9z3
uHW2Llq/PYm+Jeuwr9aB5mXxamAaWGsSAhn2kipxbydICr0w62svd3NaOaLOVg5Sx10gON8OMmfh
Nmn99leW01fEbqho544uDAOjfR+zioKvPil8GcBtip2w2ikOPQ4lb13sReSGD2Zo18miUmcn5JBH
4y7u1y6KYzbOzX0QVF+IX082vR7PxalWCjzBpBPDb0aJOKjO6K5rySaLkMfxJlBljLlOjtU2C1zI
cp3ei3UqsIgQMCKY+iNI0dJwt7VNG8hOmU9hQChsanNUvpuEAxzUKINNjx4U9hwxOO2GCA1UWIGi
MFWnxJGIQqcl3GbgTJuv5UTDs43SZwFkd5UN7KhwADOJi6SX21x19t70YgDEvAaYesX4qbQDsbIr
7RyP4r0yO3WXucSObK0hyG/SlGVyyUFjxUq7gX2o0VKGWbtDXcVrPpzydcagUB85NUdQ/WZcOqex
hEJXsbG3SPXEexvcB9Ei0eCIGY/rzvAhmaVRW4h9MHRqDC2vLmsSIlgz22syJzzaVNEYtOtACn7b
ZATCvVdUbyz8PnNvrNNJx3uOadM8SmlP+i1JQ5AKYVU0w74H+AbdJ2vJmiYobNOBgZueU2w/dhg7
Az8g08jEon+zEHoxjou2xPwTu7oVPS9Qw3Sn28lQ74zEyPAfd558rd2IPPpMiJLtkaPnT1PTe/lm
GKfpifq+sHa1nILvsSlw7va2JyGzW8mt1+TtQ+DGHSQOJyoXPEMyniQu8CP/0tC+DLEfY8xOlP8J
BCsOmAmnk/U1TWVwy7GjYlaWBH3dsCHxhk9JB9wyitPAXEWpNvmfehyU0U0i+8YnZ3j00lPWNW58
rqyJYAGmJ8mUVEi4JEF7klVi7Ec1oJav5gMpGw7Xor6rVowhLkUSCWXBQWtF71tZx0KUdfBclX3X
XVGOxi2vSQuFo3CCXcp+rN2PcwroC1csHkYnFhsW78jlbQzOk90O1/TgAaFnV6VmLI51AsRWhla2
ihS2XrwNRCU/pcaQnCTkxcVPCMy96XCsOIAtxyeQS+RO7GT0qAUPaaqOqVtxEM+YVWZygqKQlWTL
wif75FxBHc/s72lcP6hsa0VH1zfNE0fzGGX7QJKKzSlW3xn6nSM4FhOTlY/Q2S2y4pJ57ThhTPzq
CnOosY4Wx7lLwDHerdQ/RRPM4W3ZGpvet+ZyYW+d8zS6skBoSJJJkJHb3heAiOGsjHSLz7s6x6my
8jtcUIsxG1FxF5K5GjtnBK3VnQSF4M23DFi9DOhGt0OffREZ2/14RnxtXM8RHvE1NM3QHq+mhnSU
JHOo0GVQZJLM/krBY8ELTngKS1Xin09PSa231y2nOtfHqc1dcocWT32EI0Eb22ElUn3Xj7P+vaFr
0K1SZybuw7J89Yg2fOUIPjxsGWiVr3QCRO+JCa8/DQtw5gp2iDp5WFVZLSV/XWVhxnlba+0TiaES
z1hVNuu40DfCNM5ACOOS6dwNtK2MhsTY5rqIblIXlpqZdhDvFcecjs1eon01Xdx/i2LZbedQZ5Jd
bGYZCCKYkvjfsT320BnnKZdhSiYhDIll7Vl5FgY8SYvy4AQzmS6pcguNtloaMMHFaU38tpvcTXph
aVtbVUl7XTjaMTHNL8E8jW9enAtIW5okQmiw/ARHKEbtwivd11JoFF3KiqKMoh5fnnyRtmqL4y/B
schOpg8ghlTIjJtzDLiFgo4VIfhJiIFZsXHLN13t2Y/tNF6JLk4ITynl51HoB09FA1s4uxuJF4p5
48/ahFuv7pLHGpGZ3Aye/b2B1Vp4zXNbcwrbF0WbeJSsEnft0a48GyXGkpK1eYOTqXxkTxrft4Hc
kngFLQyAmnMwDUpQ86BbN/7UNGqba3Htr9D59+Oj7Vb2itJXHaaGH2FL9JqNHrePUGal+7XD7nfC
2u1RAUmd0GJlDsmMI1MLwwnzXblNPAKzDp2jXQsBfalK1BL/cu6Bx1F5C46dJuWZXKZNWenGeur8
Rqyddu5lvO40B4fVCv4K8fK40sQJnODcrltC6yiKls61rFVHu6GXr0Y0ZCOhDchDvLIwqScIFHcU
E6BQwycab0jVYVb005lzmFe95znhZHfAgPSHIKIvFBKas9iJcu25EllyGjVPL29EqU/s8toxOnR+
rcxopcyuBtkdqW4+9hCCThYSK38TYfAt2S0kvGU5mSWiZ4O7FVQvFtuZKB8TEQwHJO/Jc5VYWXlq
ErPSCO3Ia3MTu6YYbqaoj7MdVldvOhoyfmT7NGmbQBvmdmWPo/2uY29Zcg04H/aaSRAVBdMDBsb2
LQID/9iw6H/LdSW0Xe9rQEJzr2Vj2kfGWkgSLFdmg0qbqaZANAs4lXJJvgucKX4TQ6tfBUYW76MZ
7F8YibayXFzRpnXwfXDok2/QfthmjTfW5ZbatSycewk+lsQMHnzAerciQ4jT6GfCE2xOXpo9NpIT
FJG5VKn0LkYFhBMpmvkT9G0FHHSiQyO62omUFAYcEqNu2UPZpG6pW4vgrj1MKOsKVrBzMxYcjIzO
0tasoUNGKGeeP2Y9bxZ1CaNqwkLvfZvzWZE5G7PGa+OiNtclce5QYMy51l6HhTKr6XaUk3MyDk6O
47HOp/3fC/2XXQVevx+KJtfRbXRT3kWep2Hac5JUAxibVq1Tyl8Tc7gbPEbjB12fy67TMhBNPYLq
TZ1MTvuiwWiONZCmnvYFXYU29DJThoWRPQPKfebQSgZRwsHAWSy0f7/Ay9bMj3Ed9OK0qRf2yPK7
furCJwjCYy1H7dYXRb4j+0eci6mSH/TULvtNyyhwqQxILR6JpJe3MW41kPA5tzGx3dAqcR0XhFTN
nk9YnIu/tNc/gttf9oV/jLj0Lj2PJhri2V+vq036yaoGeollcaNNVwFuekKFPuhY/untoDEaYJKi
i2b+SFr/6eaxsyxR1C1SwfRA2ZlTF2hqEupZ0/7+lP40EExpwIDUhizCXn+9GpmbdkGMIc0tasix
Fu2yUqiz6Mr6PsW69I8HI7DaoAdq4N7DC/DrYNmo2aaftwzWczpk68E+uwGjxdf7wf37TbvAU3Lo
K9suRgByiL2Lt0/3silGYs7b9xIQ4LF11VNEjheLAwk++ZhufefgGh+983+4m0xyXCJSJ1wBlxeY
qiCO9YhzUQ7feJ00tf48RuYQliKvCLvPtA9u6P+i7jya5EbSNP1X1vaOMmg4DjsHhMiIZCqSSXmB
UUIrd+hfPw9YNTMZyOgMyz7ttLVZt1kV6eEOF594xZkzBiASsgNGQss5W80ypkgr84lt4mdY/fFA
qaBD6Ozlr3Z+ELSHES5gOfXVV3N04oUh4Ygh5ZIE8N+crRXb04UvdmbpMKcE6gGIz12QU6d7o6PD
qgaLpSvFfdG/K4efNlSt/OPLc1lbFMC9o/u/3IKwUXy4Iqvmqu6GiyHc2KBqQKsszT6qZEAYltKI
m19bafoAqGdv4SYZ5B2Kc1IcstS9Mb1uQ+npg1myzJqyERCo/AdvUK8/jRxEAKO0zz2ghqu7JW4L
1XREDdSfIDDWJSX7fqpx0gSls7HAGR1eXo7l0z1tbS8NZhOkJo7PqOXybU8X3Rg8qzJrTolQ6ZUf
TWj0irtU4mvYTYdhavdTLL+3Wf755WGff2sbtLQgO7LhfdFzPB0WuTWQyZ7k4NfFFS/HdkTcyVHu
u7AVFzbv2aFsB5IDp9KHenA61FhC1+yXSkVBWTijKwTexJCk2RfeoeWkna4kDwLIUB46NM/5eqfj
lLS7fFVzj1pNCll12uLLQ3953qHcsEVocImQL5yYZ/BfXMR0y/6D2UH6mYvgdEwxuEijebzssOvg
g4/GVRujAEgKRKtc/6CM7Iuq1AGG6KaB0Q4P8Vdhte/SlF7myx/02eyR+cE+FkIYBAj32SsCkVBN
2YL6cBJma72tcOKhVRhYkjQNW8dLpJln+3YZD5MaDxqJRxi12rcOfS5dVmiwgId9wHgvaLag/T61
Vy9P61lwwTDL7boAz33L91bHET/PngIuuR7l8BL5yQbVinB6VzvaI0EossrmJdX1SyOap58Ud0VR
mDTxcDT8KZGG6XPUMyyaEBqM3OLiK7nC1wEftBdIEJBcAkTu99UOAqrUtJHgBa4rNJ/c8M5SxbYm
R6U8UkUHc0ZqrtYge9p/b5hXUS/P8yWB/vyo6kkmUdz+x7/iXf5/SKoksHmyuZ6xKoNE/p/Hbyh3
PGVW/vkz/1Ar7b94lgRgR4EbEq1ttvzwS7X/7/9a1l+Gy38oiQBdM8GN/Te10jT/0vkPGvNc5Dwb
i374/7gV8vfwDy1INgtv8FXUymfh1PIgmbgH+jrEINgkq+sN/H1m0g22gtzvlfE95N+hDTVnvvwd
1gj3gzqIfQkT0kiz1kCaL7KBbAaYCxJXbBSSJxH7Vzr/QNpetY/uwRi9b+WvX+3tt/p/Af12uUZe
oN9Kqj2/vj3dJssf+HuX2OwFk6sPEi5ERQ8mzH/vEvcvlHYtd3lUyfX+bIV/CLgGdpd08wU2Ylh9
E1vwh/7ZJYb5F+h0cpmF3/knl3kF/3YVJzKkYSw8FFStuFAAOZ7eXYmjLag1uLcwucz9EAFoyEbt
0p28etCX92X578J3IYwD6X46SqyyymwHB94r9ZDPrZ+PB6+s+uuYth8S8S3SDU+W/+HvN/ypp8gq
3/vnQYNKBXadzeqsI4jZawo8ZZ1gbFQd+KNXH+mattcZdr4Xhnq2gsvbSY0b3iIL+AzuPE0I15da
hbRbk5VfVTnVm0ir48eXJ7SGHC8zIu6CWgvT1edKWT1rhot3uTGCZbQyv34oEWmAuzVo8r2pac0m
RmLwFz0TfDnszrT2o+F1eyQDy88KAvfeNub8Amb0zAqzd6kRIBrL7rFXG0dZFKn9jt+TQhvtA9Nb
vBhUq77Bi72U754di2CQHiAvO/n16faJSpSryxRUguLSvK+boXusPTKaBG+If5x5/yU41TizV4Hp
u7B7gcQKZw2gHxI5IRNYA0pQqXVtSD98dJ1I7FBWrhDeosGdzU5zDcwevXJphHHQ6Ea7SQA7IM6Q
ukuxCuXDykz7NxhNT3sb+783L++GM3sOCgGbjdCVCGCdQk586NnICheAnkbPxwIdU5tV9/qd7bqs
gkexizdsnUPqZdJ5sciQuGncMQq82X7MPBc06cuTWcWhy85mB3GbuZZOqipWl0PiFxLdpsgFOz9j
Jj130TGFJ/yjmtDKtYpJE0FMJrSjImK+f3noc6cKn1FBAssFLeCbnu4s00bou0UDK9Dhz9ZBivjG
wY9Inve9Fxr3ThoZqMv1prNBCS4GxuRLdUBzziBnd4fqFxXi6vWrzq7Du8pj7T2u/9OfFAkE7lFM
4q4snPAtld1xWytRXLhPzuxySKZUWciyyCbXdmQaVQg6uzSNW0MrwCTOQOV0uqBoILnOvLc5zz9e
Xusze5b9urDWl8yVZ+B0XmGDo2u12PVFkk4R6xhtenLAf2P1MN2ktrgwOfEHPB1lMBPDmyPfDmgK
6zs42BKNbGxQXj8XfMZ8k5PB9l1T4hFEM42xAHWVqLp/MCqkckQzN6+zJFoOBlJNgKRd8uDFA/p0
Lpo5GzlNVycgsLDpNw9AXCat2g6a5r1+QhDQMDlaWGjEjct2eVK69EoDfFFboCLmTeFWoLODFNx8
idKxygCXCRGLErqw4fwlyj0dBdsWeld6u2iVuQi864NHzynbWaG7xcbnfTyRnuWWeOhj/8KFeeYF
WbifpLsOUTdaW6cjC0fm6D8nTmAPCI3Wjiro0PXuBhfLS7TW5TF6UlT4M0mCeJAoS65rrP00vSLz
2pGnPOhTBEg7F8F5q9zEOpppSPldN6q7VIU7c7JIM4RONk9FkRrZ6eQcvxJtm7d2YAFlCCZVqK2y
6NO9vOfPLSE+0Aunm+uayvPpKCY4utmkGxk4ZW8dqtCO911byLuh66wLh/jcPkE7wabSxxMM3ut0
qMguht4doGqMuhsd/UiYR+TlhytA/sZNahUaorhZ/ijnqN+jTKxfGP7cTKFyYPW+5GHEXafDV0AM
Src1uUMKFKwgcOW3ri/b23whXb68qOc2C7RkVChI+AjmV+euBDJDAazn08nhfgzLd1MSSmgFgIHD
9EZEXXZhwOW3n+5OTydIguBK7qnr60ZIV3JDCuzdF1C4tU+z0HyTJI2ze3la50YRVNSW+ESQ81in
KzjSTu7CEMefhE7i1lOtua/y0LtgXfr8O3n87Thh0CSDoSVWoziU6+cooswhq8Z9j+KF/wOWRfsz
D+f56uUJ/ZGdWK8bdxdxN+RgE0bY6YzMLJZMlQyG2HBR+ksEaplWYs1Ilxm9c+8PfQdQRgxA2wos
dtQObAkcUqNBxnKLBUfydQ75WwLXr4AEDKq3tY3jj+3vRO/zeT8Ojac2KUR1MwArWHyBvBDRWHXz
tod0K5PbiVoDrkttPyCNnWrNTz8uc2uDEQ/S4R5HdoS5ajqP4dTigZSVXVYFGAIV+R4NTOd76AJw
s3gU7x2nTD9VFCLtoK751fxe0x3eODBdHmOUQWEl4e2s9hE/+EsMJaXYmWXi3PieFjFFt0G70hNx
tmVbe/hl+UqbgVfYTrTpLGdMtnqO5dOFUu2ZHUW5m4oIDTZBlLjshScPVI4WahID9gt6NBVvi67+
KoDpHi985eeHA6Y0tw7OKSjDrF+JDEcTRRPRCtDDnN6kllkeRO2jy1/k6tKGOjMUXQ3eQ6wAOYqr
/ZQ2CbVQByzojKTeVeZmyMGFkxNti37KLzUmz4S5HtVk+rpk4CQM69JrmZt0rXMSKKTMvR9D5xig
XHNQZKAHgZ8QmwGj9lA23xhS9wEGCnP6acUquQL1l75tHL+9sNR/IuvVgWIlUWBxeCJhzi0345MP
2tUW7tKEuIDszPy6rV2lNiHIqYOW+qUXIEMtbhuH3RZYWH2JzaCi8U71ro/VVz23ZhAljjcGGCST
h+UgFd42o8BM5eUd8fx+5nsjfwT1clFBWMqFT39lJUxgH0DeWKLC/K4aCBxZrTm/SfrNX8NkuHdR
nHa/Xh70zL2GtBp1H+R8eNDXxFcvzhM9RvYaKJNj3WBJZW8LPTEOc5tpF+jw5+YnKChgMr3o4aw1
ODIjTcmvSidwYhJZXczIJ3vjW5lUv5DdvkNff76woucmB6KBahP1R0x6VxvfCuG7pWhwB103YART
O+ZHzApBJ3XjmFzILM+NRblpqdDyjjt/mOpP9lhZ4libVoow3ai7o4F17QbFhfpGa4CTvf6bMQKe
qz7FOc7a6UYRvHYzvgycZ2wpDl6hsztyMrf2Ys/17KTYixR2OT/Icp2ONMzFlE49eRTIVmtf8a5C
cDIEyqYkp5cUx85duz7CUmx+T1+uxtPBYs/yHTRjnWCATXALFWfekzC7319evDOjQKwmn0IniPh8
negYUWH0kPqcAFup4j6TWXWgKw4L8d8Yhnlgdk7Z/hlf3tcH/G8GtsNIWeNYxqZ14yajfnj9KEQl
BCWATQwczU+XjIuMChgV+cBpVf929M1pGzW+eeHgLhfP6vo0SadtOrGkoNQET0dxBr1y2lxzAjJ5
HkW7+B0a3YOReDco+LxSm4NdtkhKLHAgElLTWuN10rmbwtFiMB4Y67NRAdTx9Xi4krH5+soWQ5G8
62QaNg3SVaI22ppw08F1Ak+PxI2aR7EH99/vX/5GZ1bPAtFCgkYst5yk1eopI1r8T6ixYGl3EJrs
jkjL2O8bmF2bCIDGhWLpWhNjWUEqaC5al/oyP331jox4qWHrTkqhY1MBFafMzE+OYbfXGgXptzP+
Xj+TbDbeGxP6TgHsvf4w8PuuXj9tazlf7EsgSuvUdLbcMQwJ8YImqedDA6psB3zP/NhCa9tMYTtc
OArnlpmbA/UGjsPzjm/BGQlzxJ4p+ejgIRBp2vtDHH9YnCcxFXW0ty/P78zVSEdEx3Ib8REgEqtL
WPYjxfA/dWJNdXsBiXCLzrO7o9T2+d8YieoZQCUXuTbLPN1ASWrroYcHRNDqsQmDDiFiH9u3N9gN
D68uXSA7AWwN6T1EMJ6BFCLElI3I5kxDhH5QVul9BLw737pivNSlWW6m1Z3Cw+XDH3YWgY/1Ze/E
JhJ/ISNJs8+wl7DeC0+bsOeTNGkgSxTbHnLhAey19/qbmRIXNS6LKr9HTft0OWWLEyXNFQdHz1F8
YA3CwMzj+cL2OLMd0WLkyaJaQk4qVqeekoYvNIu7RXiIkeMA/NlriH4jI/6lwuH1FzT1Cy5LCghY
fK9rGA0SF3pvcme6UVrzFvjo78S400ypPuxqqikXtsmZN5TEhR4UzwIli3V/KJ9nbUnpHACxzfgu
j7z8aujiSyf63Cgej5fOTU81bf24EWzlsJfY9/kcf8DrqdsN6cXc4OwgJk11mmmCy3IV4RQL1roJ
yUNxSkaavO6cOwlyb/f6I0zVn+oqs0FFZ7XnSgwADK0RDp4MnriyE9e+Hhs73VYGxiAvD3V2QlyC
Fu1POrru6raIbVTpIWQ5wVyHKany6MPE0ZwL5eLlB6+PL1E8tR26cdRYV2VAKXGInDt2AKpZySGS
DvaSCsfF3prnI4QsuCVafSP1gU1YuRcrJGdGJ3ojPODd4v5YzTFKcDLo9J4jXGT6x7xW0bek8837
0rfCV6cQ4FAX1cDlqkc3YfXl9LSLEoziCRd7MYFTSHosoLr8arTgfb/85Z5fiQxF+92gCrfcv6sX
ZWiwPYISQ8Uazx6k0y2nxOGtcb4l2ujh4r4Uy1GOWFqG+1ePTN5CQMwFwib9A+54krvIZp5dTSgr
EMLBi4ok+H1WOeIDOSjWWHFlJRD6cPebUeD/B+jzL3ugz99REkICMNo0wMLoEZ1ex36Z4+xIdhG0
iZlslsTsgMQU1pSIbLz6aICDIRixyAjRrP4Dl3syzRCqq1PZlLQ8rfMesnJoj2Hbv/59Ibmg5fQH
BoNo+fKZn4xCkRX4aM6E7CnyNw6uGKD2jUugg+fHnFEWRA9BwQKZXh0BgaEfFzPhuJlr7cFtIFlb
LfSnlzfGmY/D1ucWoW1K2r5uojhuVVhGLawAEre+s1oslPwJeQKFsfnx5aGWB/H0RvEtHbgn7Rpv
KUisbpQpNodioE4emIVKHqOuE++muO2+RYPS33JHQ3ONTePVDxmD0pTkMaNRw+V8+q3CyPPzSI4U
OaMw+jpOM1w2mIzfX57amW+1qLxST/yjje+tvhVSO3aCHR07gjR6r+bJ3tIUmrb/zihcyaRP5Hzr
UerKzbS0ZRRZpuGOzwaEocjnC6Oc2xHULUnNls4qvZnTFVMsT5y1JgZoKCbA/zWRg/EFXFxhDReu
3jNlO25DEkGPkIYI21/dvQNds2miUBagRN6UQYI+907zsk4FlBGM48gL8CUZbFRf4Plsh8EsfpKq
4n7cjLa8yrU437nSGd6lqjS3gzPZr64TL7c1MiiAAbg512Bs6VaTjSMIDZWhQyWp8nR+SXLp1noe
STIK54GCD+1SFvN0xSMZhomfcQZhCbufLM8rr5EoQiYo1+NiwwOZXPjEZ7Yr4pFUSpdBeRZWn3hC
jC2qGz5xDRH5FgnkeQ+xf7rQUDk3CsHQUlAga0O2/HRapoav+5y4VpB5hfWBn/G5w+btwsk7U4xe
LmJQ3fS2qWGthTAxikL4o126GFVt30Kuc4/uXNbvlUSDBeGCqPxUZJgSyqKsbuHC5z/nLMZsDTKs
unW8uLhwy505PlQaFqQYtSdKvKtu4yTBSSKqycckuXxnF15yVblN+95uZ/PCo35mKB4fanfLdYBc
++oz2rkX6dIE25HC4bwv0Em6QRxO7VGnkBcOwrmhKEMBRQElSEq1GsqqvPLvFlyDOeB39FPU1ZSG
zbbHPT0NXr7mzhwHZ4nTKQYSlFHmON033aBNIUAYqhvwig/NPKZ3seb526R3tT0CEZcatGf2KT1T
Cq3ceUtauPpivk0Ggk0SjnBN6OwQl0gOLqoNF+669QqyZth50i5FzpQwyFrNamidpvUko0wQ6w9N
C99WF1HymOJ0/8rjDfFIX9AJlPv5VOZ6C+I1VeBhntPwpmu30TI93Y04f1/4TMZ63ZZhKAUvGtg4
LIDBOf1OkPhntE4YRmDy7hTOVQZl3kry7Tzi6yC93ewjbg/VJnAwfPLt8MOsgweOJOJel1hXz1eX
37LAk+kAca7WFRQzn/pZ92jeOmWOSW1kmzzzrbiqfKt99epSDGJjmnxLikJi/SGxlc2KBEQGfOr0
Gudr9QYr2Eut/OeLC96IkAL7k6XDbq8iCivPmyLh6AeNcsevhjOpT41dfn75pJ0ZhC2JJJIgIMO6
YjXIBC+87pQO+dr34KplpkJwInlt2EKpzuBe9qGnUCVlsNN94tZDW44DC5ZZotm5xLVvnBKNoAtz
sdf3xjIOIAQg8qAtSHGW2T4Jy03VFwNNbStwATv/qEA0fsUdPv86uxW6RrPp1b/b2h8/ZHXof7MG
JJ6spErpiw04EqIEltp9EBpFKbEL8aYHLjynOehD7l3n/ah7j1kx1RlqhbUnUaUotGM0V3V08DAX
feiM3huR+qIfdCQGLm/KMi1oz4+99WPKsQzeJSj9HUo8HY0tBsJWtyk5KorimG6q3YiRaLeV5tDc
xM6AV1Hjxu0XS4bEeUU+djieDz2UEN4QnMWl0r6pzoeU3PfYRW5G002cfannGe4LuZimCG9ELFFx
t/XM6H70u+wuhyf+sbeNqtu0i+4OJHdbIVJZpuYePfkZ6Vt9muVRt3NktcaqKD5VbYew0ZTUUN3c
ObnFk8x61AUu4fVgIrroYXONMl1uFMXVSOgS7oSDpgoBQfYV0aYGg4Z4tI299EfDv23SkHsvTswq
PaZZnJs4Kw42ymoiteu9JUbcVzPbRNhRM+oSY0YUA8S2Tp0YbzXgVtGHuBnGdiPduvBATvb5mwKV
yXSLrxXiW2HTVSmSFJqsN67bDN9qvTY+4mXX9JssDv0mmMvSf7Sd0VXHGKWvHzEidwTQ/tiZG643
+daJ8+zB7iX6dCoci8+ELQm2u6msws0kHYTF2qz2GghOctCRoMubW9y07Y8mwhRVMDpu9lHn/7PP
2x7/NC1D3sMfRdPt0cvp5bb3Q67/FFQzooDFnBEYzMCwAzS2IFIkeo1SQNKY7vcwLc2PfZjI6hB1
Jf8GCgQILzae0/wsIxmHtyCr5gzOrGY9RnqmjzuzSMNPXjP14cEz6vid13fioQ4z65hOnX9MYlui
Dghj2QI2Fwxgsb9OWuh+pIS/WE9ie4zWldXC8AxnC7f0HhmfZmOlPaodwNKK8UpR2fipI16YbGsc
r9nsQiQal6DUvvO2ZZ9xa/JrjCjRqd4IIB/jxofp/046/Vxvm5qIM1Be0xTXVM+iKXCNpTxG9ov1
+xT13sdeVakRzPz5H30/5sUVmjTjTekLqQL46+kBin6OaJJpI1yLRonhB6Voxp/tmHvfhxZkzy4d
9VDurTqNP40UG8ptOLjVgwvQRmxzvZIw5IxRhGWQl7WtQbevOwy723i+kSIpxntwFO63WCZOvsXq
2Wn2bea27a5qXRAOdlMK9yY1RTrcO0pa1qOTGzMqVALTTUDNSHZtShuG1jZ3/QFxNDfzyrfgJNSX
eGlRXUGdSEzwOE4ffkmRWC1ukxmTvk2vyeyztIXAUmtsULYrm2T6lKupqfKgzLCw+drM2oxcYzJW
NwiLZcOhBnmIFAi9rC8ynmM8H70p535oy97YZE4dqwBPZvm5w+XpXYSK5Bj4rMWxtFKUvFDtEMl1
jULlvG2NyHNR/sntIdBtwmfwOvlI8AXZY8C9MkpEYJayBUQx92F/48R4qOOo3JU3VSMLGfRtysdD
z/UrFo76e+5/9bVuC7olwmocpBr6eoEv1fWXup+Uv8eRofF32NPraIYMMpObyB/a+3RKUccZdYUa
LNBR/qEDseNjnGTRQz+5CQqerTl3QUSLOqfuvajIaYN0fmN8uo9sL/9mJHb0kIWNYyJUryONGI45
axLpaekHE+lBvqlDfAm3zYyZ4abwxybcoW5v3bdFY5rbNp+HauNPJibfczL5w7YF7BuhzqryCcex
FkXWI3XRHF3V2S+Hx0mG/dvI6DJIJ6gq2R8bu59we3Ra42to2MZX2XEVXHeGM1rfXLckFT72oUWr
sxZ+eDtxfgd8F6X5RUMpruT+T0xvA+Izc3ZqcrIH6mnszcaSKtljceOy2IYoENL1c/U28eJUAbLI
OnFlKrIbBNp8P9uhgzTdSXxhkBvqCUcRNNSbcdeMpX2nJWH9mMwecokA4Tzn2o27/hcQrrnZ6Ik1
vM+mEbTGp67Mm/jYIJf8oYANWEu8ZXSr+D1FskaULnbm6yzrB7xW/RC6xtJoMnccDdVtOvL5MqgN
/B0QHNNFsuktI7u2YuBpmwbrzqPTaki3lPBTvw4ztwC6TpP4rsUg95nfmP+qMVVtA7QOzXGvKHbP
3DI2yN6k6qdvml/FHxA8bFH0tUSOuCsHilp4nif4fs91ygYu8gQhYSrx7+aErrnXYVG0BZIfXlua
nmERo6PgF9hROvk7x3Xr78nQoW8pwOIgQW835B5z0SXHpBULFbwpFMVZO+4pzSIMFCPm6BcId45h
dtUMWfK2NZJh3vGEyS5oxeQcer/x3+OqiXQ/DtUjBE76T87WiLgydjZX3tt6TJAeiLOuRqGzsjTO
vu+hOYtugvYGcdZeQ7Km6ZA6gVWH8Xo/2hs9a5q7Lh/lXdd6dryx4znc6eDgfRyslfvARp/HTVny
wP8wrBibbpsqfn83jaD8btWIqcz9HBoD3sNtF3q/7dzRtH031kK/N4DFpjsFxcT+Oub4bF+xrb32
Xu/shLvDYJfeoqOUmqDg3dh9l9iKuy9x3Q4j0ARFmc/KzMYJwT0NF3skCcBUJWp20lstNyfjne8P
Dqa5GaJXR1KeqjvGs5ejQRsng7MPUxUNG83Ph2+ybgdcRNPOeoeQeRjiOF7EtjigVdYbu9AL2apk
xE75pUO36/fLQeSzNAKHNY+SCL0v/ucZLcpCc4jrfILHMA3VLjYLZJ9tXNs9d4geXh5qyY6eVkOJ
VpfmypK0APyn83AarWqWAW7EmtHZA2XKu+S6W1da7HW79UdMEMLuOomUeUTveN4p1ZW7l8c/O1VA
C4t1F0DINYZgyPQ4iwtFGpNA8W1ax/rQhNaIHrNsLrQ9nqUZTJVuPCk9GhWCgPZ0qnGGrO4kgCVX
IQ1gzbAnFOza8ZUlChZUUG3SIf/QXgHsdjqK5upl6A28XKaqsl3qEX11HQrpdYsZ8strd+bbgedc
6gXAmOg2rKohsy7yuZ2B7yLyrlPOtgDHOkkyBSJ2rTsusmSfznV826VefY0kvPjx8vjnFvRPMwfI
A9oJ6/GbVPNKQjgg5SJsrqYpRNjLoY368ijndgi0F6oWUIeAIK3y+7orZjKpwUYTvqp39qghp+kR
WExD6L96h1Ccp5lBBwIo1bMUUbZ2l8lSAO1I/HQ30xW4dZUjfr08oefLtowCr4GXjerSH67ekwTR
8AwiGCpOyCOAqzZ7MaJImrYXlu15XQRBCx2jRlAxkHApop9uxATzd4y+GUZT+XBP/u3tUmeReseX
Ae1nVYu7UY2oiUz9eOcWhrarpizDVAewyVGovqfQjAacp/nlhWbIcgRO7xw6+S7FJ0LsBQ66OiLF
1Ci7IoDGCsDVv0W9o+1ROrb3XUiILuCoIZHXxZeAIOeW3QAetECFqNTaq/w/9Keu4kldbjqEF1WB
mcQwxtaF++zsKHDuYKbT60fb5XTVx6wbWm5OO+jKAhuFYvik6+OlhsXzEgPc1EXOimorVW2xHJkn
O4gHLRGRy/sAft9HddXoPqPipweGyry3VWGMf0/qVdz22+SHrFT1u13z2mnA/o9Mwv82Bjw4uSeH
95lWwmNXJir59pQC/+dP/M2BN4y/ABYt4FiopIZFO/G/OPDeX3wXerO8BII69UIV+S8Pav7R0ntE
Z41Hjyohf+YfCryl/0XbH+g8fxThIT7tazyoV48D6MkFFURLFbYlDrfr5koKqnXUp6IMqFUWX3NU
ca9nO/G3cdj1GCHk+XaS8/jglfrwhq7WK6kADA8mH/IW5EhSXmKZ0y1qT1aLr4NdQyB3cUxG6vJ7
QjnjPfJ7cv/kkzz8fXG8QItfeJ5AM0CswVtc+niri67QQmT7BmT1rDLNH8cWtnKFZNK2MfJLD8Sz
ReVNYFYgJyBwwU1bHTxLlggVjwhv6g6yi7BMKT1kfg/gn7i62s8M+ej2ojD2VFT8X2pQk3V8ebbr
e53p0iljz9G+Fmy8dZ9AJV00oJdIKTEEB34YAB+qDfXmztmKObH9wGhquZdTPV+Dz8T6iCq0HvRW
Vn+0chuHGK3x5p+IGStzVw4Sq5SXf+DqBlza6sseXjBiC45wDXtLJkE9wkVutPRmdVtraX+tFdRb
Xh7FXJb6ySOyDLMEx7xutBYWW/DTDdZ0ae0jFwopSCsTFPjFCBTJ6meEFR2qmV+8MUrQ4tbQVbbL
AnMMGEU+2tpeYf8cCkwX3ibSjN82zeJU2DTA3Hf0QWS+7YpUf5+qCoeBjr862QxV7u3nOVJ31Kdb
QB1Dq8krmU1IEkyx1eNjkdb2hdhqdcWbC1Js0Y0jMOd6ISY5nR4g6QLFSvTVzS7L9m6mi33DcQuG
P2qabTxcyAPWCgHLgMRYHtzEBRpEKnA6YOSn3SCqGX8ENNftRWoSx78tpP+tGWZfRSjfV8K5Sht6
4pX9ZdDda13ApxXtVemWt9GyiIirXNjsq0jh7x9Fe4N4YQGdrzH0nqPpjtZPBQ+dk7yvucl2RTj9
mlUm3ox2j8B5g3/FyztrvX9NgLNADjkUSyCPnNnpQsx9XI4RLHLI1qI6Uh/K8JFR/e3rR4Hox0C4
J5r2GknZJQ5CZybAOZygSwTVWmsTusq9sH7n5sIrQGcaSM3SyDydC9QGN+zLZRTU7o+G08JJ9r38
Air0zCh/giqQk0u3aE2MbPyy0EZZcRST5lthW8NXo5H2zwsL9gfs+fTEL9nhEjKSwXHXk/GcTmY0
XFXBSvwhsarA1wjmeHZwyRrrX66BG0Jf69En+FS5fiDq1cxtns2es4sAS2tbjCDygXoFInN3pEg2
osx65lV3VgGh4aBcNBqRn2+r5tja6FBt0lG2ycYcFWXHRHm58xZV4SZ/Y7q5sG4iM+LP2l2DfRJK
xDVPz6Qb86ZXYdodoCmXiM3LmF6nF5f2/dxEPR3HvMaFGwe09BBl0vevGqQoKqx0fK8JJuiV2VZG
6UgV28jSrWyHEremArMWDlY9LLLfuFJg7THmnzTHmjysyrEousmRm5nfdVYz6x+wRovMq76TLWpv
viF/+KOmRXspCwxg9NZNC9pEOYTLLAH9vC0nnbSq8cyi2cKyXLKCXk0I7daOwJXZnuUnvcaeYdvp
YdTui7B27stGZvoOeIHorgnXqe5lpVMZVC2xILm1a/BT28EcqwkfAdtTWzs04keB/oUetE7sG3tt
AlockHyHwwawvqBK03alhyaltLsAGTD4TJWhHOSwjbwDAdYb1kE3lC7hbuYV2r6GzfpkypmPIgNg
F+gq0r9WU0G6XaM5HQY1RcpmbyDlh+t5vaygkxc4WExInrxtx8UdLOHNvpvMRI5BxJKic48svuJj
4EUdzOncfxnpsv2Sg9WrnRelmb+r+PUfZC/ZBLltvzPaydDu+ctwgMhCwy12Eo+O8cqsx3raJVk4
f8pMRPtvxyrFwMAYS93f+9OIEjGSquHRVFzC1yb14yEQ0sryB61XjdwbmbmorKZx1hBgdNpnQ/rV
tNPqpkAPJZfFF2H1xfcwoXUWEJMmkGibMaoCL3WBKBjV3Hyh2p6LLc7GKjnIRKQYk+pF87O3mg6P
S9LOAwoFKANGjYtnwaBydawQ301ZeIeGCXtposZla0a86YVXeJu+oRFMDFHIlrCRrHZTJmj2OxXe
ZjtcH3zcGAot7vaxNxr5mxrnOSwiUlSPB63LvjcTr9amwpKvRVTdViVkpQYL9Qj1Ge69UvFIJ5UX
fZu8xrcBGYLO36GRYn5HtGFUG6VXdA4wzdHsLTom7V1BGdk71lZUymvwH1P/4OQ+VN0G0XRzY2Zm
aOK6JMWIAVtuWFuv971w30+xm+ywx0UHFa8PDCvMudbaOwCW9nhVTvjVPXS9Mr+4WlPXD6GaovAD
bu9Ocq1NdXhE0Bdjb9zNk2ZTqL6MN/j7me4mGVCQDSKljV/SQWlqk/VYxmzD0TP6vfJV+RUb3uGt
FeexGQUmyOwWf7LGwaUlC510b1Nddnd1jycGFdQpm6/irLblBvIMBVAzXkxdkshQTSD13rMOouxm
bDQmgUNchF75zQxplBBo0WfbCJhFlLi6CC3scfa9bmeVUrxpatWbYDgLv4SV2Jd3ucIsaSvtKsYm
byjs+cEUncgCYTb2Tz21QuPKHqck3rvpGH8ykGLS6Vtk9c/Eaj0cD2la76xa5x3uRoolRgljelOm
on5DS8195CeFt9RTBXxtLFiQIM9yZW3HvGkOSS57jm0qyzzondJ9n1jSPmpC0utw9dy+pb9ZDkET
esWAYn6dRdskT3tE8/GIuDaRhZK3LtGMh9SbJa2jqdfhe9uDCQRO24p++lFn3Gk2clnHQlTTsLFF
jpcbKXU3X2W5T5XBcuqheejDdnaPjlvb9MycAQcpF+RSiFqMar5JR0xvaDIVycauMs/Y9H2cf0Qh
xa92mFDKqzkpQRPkZWzhUuYvTQcnLRamVUjt35uN+xmrwGhHNV8Nm3jmXQsi0ym22PMZ15zNAqae
r/0ne2eyHDeSRdlfaas9ZIBjXjYCERzFmRSpDYzUgMExOBwzvr4PItVVojIrZbmvslyUZUoEEQG4
+3vv3HuNCyK+xMoHEarbkgmQPKhaoxBOq2ki7MUXJSbohUUrpgiKHh0LeqDvvAvd80IEyGujGoNR
6toiNPErrNp349z39AIyRayqT2dupM+RkgCeScLpef9SVBtmWEE3zsp3P4eOtMQuAzvvDo3PGC3C
g6An+yKtjJuFyaskisAwzN3KNb849dQlh9ZpcouUwCwYdl1eaRPFBNP4fW/b6XPB5lSfO6nIrJ1r
NEy3deMZ12lShWFcDUtzn3i5IL/CyjMenHLIH2SPQiacVfK9GsKi2xltK8xLqqmZ4Zxc8vpkzVT6
vQvGzDlzpV09LZzgwkiknTvE2VwvReTlCemZTOhJRk4SrT8OQ9JdGrzULYmKvrrxlEfQTZmM4rFM
sj5gJFcFL2vfqlsM4+rHRnYOU0vSst0d3WPFiL2pzTF2E29hogDuE9z6qsDmzRpmR54s06IJYuAD
uULA1EznuCyTYJQFzNtYX9rpS0XYHt+Eh8csu6ehKr6DdggjcIIVsLUG9PB6r46qsRpJk4LDUZGw
BtM4tTn1s00Rj7bARG8s6q4X22sV5tu3OtZtdeWsVp3HXijJnokGbI5mEtcWwzrMyvTTG+ijer6n
zV0wfcSYqffPG/4djMnC4Jv5YO0vvGWi9NKljGd/HoKztmtcOgONQLzcXy2d/X3IHJDyucXBqcLF
n0nLD8D8f82lf20H4b+xV+wzhr3vm0vb3/jhr+h/YFiBiB2sjZ6GuZU+P1w4xQckxRZlw2Zjtkka
/t1cspwPAIQgrBiHgPfgx/Of5tIH5jxbVDvtIMoBDPf+SXMJkpTD9k+HcXsTNxy75BTiVC/2L+Vi
QVYYB8o5i1KJdPacDC/3hkyc1qApKVJ9ThZROqBErcmwIpCHAHc/HuVqvHRaQ1LowhH6uc0021xN
WpDIdrAiQl/gfle82FM4ZufZbGf0n5kEwyiWjBD3rGlecNa3RZmf66FJtti+wnJOUL0mL8TvJjcQ
NbLiACAtFRvuwtq3Cqv62qtafiav0PLZsjudnnAqWO+hXNolzjUU4454UDXGXqAw4C7nKb+1W7u/
SdKS9GPXYwh8Yro6bQigl25GCsOkZFz0Sl+IsE/d82JhjBiVgLAu53pXWY9dXkzqjBkJ85hyCUsg
VVmn6Zlu+jCJR0en6WGuzJSZtNmG5nXtLHQVKtdv04NMamLu15RJ9s7zdU0xSosOfy5WciYK10UD
fs/gOTBzj+i/dplU5BVIjCOaz7rbK281MxXXPrP5vdtoFj6yWayNOZgLl57cMsh0vfeLJu0eRhLc
OEvnjZt1wZswyTcbLmrsMs3hdvS7rExIRDSyIrwiC8vrpjvBNsL0s+rQJ5GHPM5EHa9RPjh4Kd2t
XiFYrEZuCoBJdrWGLBnxVcR7dSALBg8MHfoHSZD7sMf2niieymttdaHYPPuLfCjlZ8tom4IUVj9r
g5tpyawSQ5Fs4chAtth4n5a8L3unYGIZMZy36rumbW350QZpkid+OU7Tzi4LbcSgWysZ9e3AHJ/T
BfuyBSyHaTyAgzhbe8KmPHJDJkX04dSG+eniiuGsq4e5i4c+CVcWySYfY124Yto7CDj8g7ekAHqY
NJn2uVgys/nICYM5P3t9/UAl3G2ZRrK/SQndG2PL5pnDndZ34s4o/e6kT9fgJuu62Yo7+CdByHQ6
XvINFde5K2t1Gg6gbTCK+fzsc4IGkcDVZntuqeTzg2fOxXwGo8QBN/cGYkqDoGsntt9xESez26OP
c4rcBg4oSfRBjMBx4TMMfCvjIK/JzGrscWgvwplU62jB4hkzKCuhSrq1cM29Cy015afzaHboqf+Y
e4/a1NajoQui48RxTA65wchcHsfnKVupOEvCciwJMzpO2t3F76Yiyo/jeBNRep3uSPJlZl/0TpA9
Q+sy0V+O0/3+OOnv19RUeeQeQYC8JwUv3/V/cAJHZsA98gNZW6UJ8UtHruDIGLRpBm7QjnW4szcI
YSA/N9shQ9VX1gYpGK01OTtsGIJbjOygGMoj0eA0nXGRHTmH6cg85HLjH9ojC0FhYN6KIyFhGtlC
UzXFOzaCVYGi8IHB7ocNrSCLE8piOBIXeNtkt+lsyxOuCpHRHekMgr0gNZwjteENzpgdzA3m8I9c
h5TA63ExbbwHRpLqjZRkKJA82aiI1QwLuTMKIzwPjswIjlDjrbeBJFmRZx7UEi8+kEqXEWDRSLiT
1Af331dHHsVvgvSRjNrltcP+QO6DqmKeP+WdNXNw25gWLfPyGzNOSBe5QS/zkX9pNhTGO1IxrZUE
Z86RlZk2bCY5EjRIS6FpxiNZQ+hTO2yB5IHYN0f6pjySOMAZ5jlwNXwOb0j1Hbvy8kJvBM94hHnM
tUqyhqS+drr3jsAPUXfjNzpyYEC5jVN8lBYbHZQtzhUNP5Ah74gPQcoOBJltVJE3B2wGYjABLoPA
64KT7AghQebr2xU7voQJeA+mpI/IEjsZ+JJkzbupj1ATsWa8UKnYYCenDC3qvX5mnXCG5Va7KjX2
sKuJQ2y1EkNwTUJlPrZRWSY4kgoTC4do9bqwb3YqNGd3jn1p8xVo/P/UfrOJYqcLvCn8pIp0VhE1
BtukL4y5jqw+AJIrULbN466dQjItnYxGUbQYnnebF2He2wfHK7HUkqa7BlHZFeYnbSC9O/eWgghT
T/QC36AwoCoPa8f6KkyNWyoKkq4+V4CoGN5gwqNiknQJC3N6hGfYW9nW17ozVw0SQ/csguzpB0wk
JZGEB3suNQavRp0Q+b3WbTRVwZDHtZT2R8IOM0nmlXKacW8QCYhGirC34XEKneE+ocrzQG/L9oZX
gHtFgQ8PF2oawVWecNuMMZpP5GzDpqVzxtHV6qoBLEKk4XDhDetWhLtYtcnvdZb7wRnPhiIfl6mx
jNRc0sqKCBXB8hiIkyRhHIbKJ192C62aIRvSByNzDXVl5r3TvhWdWfDpiqapmngrrInn6lct6eYN
AS6dMSK1wjyorE/FvgvUXO26Qhnk3hUs08QyWEBb5YR5RERBqQEumawSeU7+2Y3kw5NR1Wz5rEbS
W8nOHcNM7iWWfa/8ueWJyim8Wwpj5Rkp5+VholS/orUSmCCPbfvsWluVV8+zb5+vk6AuXvUUfje6
Yk1jSczNVWhO+X24OP2NCBMVkH4Wrp/CPnE+86uOL4Wh149giA2Yn86pFb1MP9ijIgY5tZk7HyqH
7ZFCAFe/7RGjH1vT6uG3zpqQXkCQo07Kwi4kfx0CgqMM4UHzzg3TpovKuXKy/VTN62XSbXyzVVfp
KTtqT86yNzKByFtSGzMPd4+aW8FYS0p9Z7gzYX+5bTaXIZwxrFLgNk8EA+urMU0EfrKQcHdBobqv
U9e5d1LCHscWTHRKPBedm8gjZzkjgZq8n5IxX78b64lqj9rXP2OK7w58I/RFonx2q/pg2mXz6NIG
ODcIU9RkEE/qa79mLrR9NutnTmhg1HWY2V9YYGe2Ygd/gqgl83uBUUz0deYr+jZgie284zkhWMsK
qcx2PE3TaY+NCfGFjNEvF1sJDpyBMr94LZUzKPJEGol2QyONYLNMMvRar35AS2LXF3OVFnQjqoAz
T103DIkGT3vdSZgFi8HwYvReTEuCZxPY5NWXGS8oicyhLljsjYEA8Kq3SFxfSYqvY0bOaRB3PnB2
BB0/vgywxlTVVsuPrbKFRW/1wAdNDjAdvN5QEcCMnUa/G/zV+KqHIDejwtmoccbPXhnpHBuUuKq7
1Ik8okwft+uTyTYnmHJFJckLJmZjdQJcqxL81tgx2sEmhhYYkjXObq3TJp3m6kCUpIehI9Bs3IvZ
VhHB4ZKY96YyPg5+o60Tg9NgfuKFK2dz5TgeUYnZYBLgnKxd3HRVsG9KnQSHqjII5Uycjj4zxoIm
BDdsuNdFwLV2SR9pcL813JJ5P83dECsY//qp2Ry/wyhxmGOfIDmgjsBVfDXvNkGj/6A7J6Qepoy/
TJpyNHZV36tbo7fCitub9KewLTEXPKFXk3aHZTU0K3LuN4YbRt6k8vkjjRhF3s5UJxwAF8krTxjp
kK/uQQZteKvXMLhOdc0zkmfDfMfAhrS4xlbWHNXb2CIyOUYirBComVnZTUcnLP8Vp4XWqcbYqbpw
OKSjWp6CtMzVBQGMVravMsKgI4+m0xIVSDle87pfeDyWEvPmPEhoAeIk4tFot4YC6l2nP1ih/5Xg
/9rq1v9egp+8vjX1z3DH9sd/sB0OCAfDPwgbfKvtUDCg/aP+Dj5sRAXDbUZ3JL0BcP27/ibDgAQM
iu/NhHSLg/t3+W3YHzDoOsZ/gUQgpEfD+w8CDn4ZftuQDnhGbhU4hQqQ4S/Db6cM/LZDf5Lptrh1
mqaLVc7hY+6E/ZvZ3vsrbfAKxRT2oPhGQhrhdfx+6NYr+GUSz6PAUjg8tTWiHAKPiS9L9P6nj/4v
MI73U8QfV6JJAcnBB0Wn4v2Vgpzz/cxCLrI2iUXhcEydlzn++4v8xe1sgQaIwHxIUBSr7y+SuoFu
tR9y5vDbU1yI0utu0f2B+HNkO7+51FFZ/J8eCXeEaBTDhE3XgYUCWc3vL5bYhLyl7mYFjfFHNDR9
m3wM0dNJKPgyUDFHlJAGytp5+zId7eEidIIElUm+2lv6tlfRqqeZK2JSjWn+B2nfloyKNdKZkLDL
9T4cctPeJ4sN1lfQZRcYN3byWk620Ce9aadfOMiH6Z5tlMOZ0fjNp9BNSE1lNa9pkXMCTfeCKdD3
vF6RoHUIvceD3Yzu93zNDX/Hj3CK26VqubCVG9ZXx5hpaVO3crowpgmphFRlGJwnhU+IHiENeroi
HdZ7HPqRn22zhHIqtKpxjLTu/S8+NpjlbhQJlessw5LGi/SXl7kzx2fmFj4e6gVsRqTLsaBmr7e4
3N63q/Mxo6F6SHyz+1ZL+I19ac7L25gQVc/0ovoOa+9+bBs55QiIsuFunoOVKFMmtSM37mTGLuxy
9zmoGkft1rox3rqh9R8Tp5KPSe9qMpoZVaIxGdh1ECJiUPkcFEUpzNjKqv65CsDBEWzwSdeBVJ8d
X9R3QqeEyIt+Ki4rwwrkbmIKARdEcfCsQSje6i7P33hrhtdsCUkCLtYGJUTCrHVk1Cm6V58AV5r8
Ft+MaRDmSwuJag3JyiJpzfbt9LJ5grknFUeOjmGAHbxw3rCvhN2xH+l0JJhJ2D2/RDvKTzPjRKxF
5Xy9qilrGPT08r4eNAnrpE04T9bIPDiyhqV9y8OwJxGwnJ5aaSQMub0l/8Kpu7vvcKotD4K55Ect
JwRf8+yVZiTXdL4MwtlLY2ssqy7K1Gx+M4ko/TIihikou+GlInPUKeWzaId4cOrO4MQUjPIkqQvr
nOR2Qn3DPjcuS1Em5k7mtbJ2pJ4n+L9Xbn3bm6Rv7MpV20k86EX4kdWktMmDda3W23kFf68ra/ws
Jz97ox2T+ncB+U3Pg4cMBXnWViPolhHYbjEAMaN2MCeLfy+adT+2kl7H2OtER3NhqS9d29kwoLk/
PGPo3AyR8CfOjU1fM5n2snLlcDq3Gc9f4xeMqwx5Zazmxo/3kAgcmdfqjpSs7DKh6yCQmblOE9kB
GhisZuXyeSxyOkUl1jY2jq6uLDldlbxlJVcs94jK1Vcr60zcDgmJRn83GJNDUuPQPGqGXY+SZT+M
tellXwennOA8u8x/qezWuxUaOgzIzYfs4JeR1BU61LcmUlFxgWodOrqXllT7cjZ5/k1FxzhWq41O
MnQq96XDXuhL0HnVzaKGookXYrDaKOxSAz1dYfocHEO7EnRtkkxHazOPz5zImx56yuy+zDxAd3Yh
nqn7+bZkP0xX9BaWb8FISjrAHx21HY58GEWHMgn2lCz1EHOS5pSDjGyAxkhm50mzZH7WCQZfkTvY
Uxuz4OjqLPSS+jWvltSIOs9OeKIY0BcHihS6r3Zi12hkM1Xg70t0l0PxaS8fm6rtuU3HII84NapH
2yj4A5ZZzNW2ps1gAGlmf18tHpU5nG3YnoYRXzzniUHKdBlm3T4vl/KWEOiy3Avo5LuUG5AHmqPr
LlD43Xu6FBKcIW39Q+c5U4L0sinmg+3mLvl6C7T1ydi5xDmPhbCZW9KNuKAPP71Y9IPnHXNEfic3
CBjqKeyBWczKRt64iWU4p8IEXghzxqk0JLZhPs3m6hwFnNlgKGFpFeecOMn9oZAhTID12U9oItvt
2TIAD+xHaxuYUriZ4H9L697osSJKJ1l1/sXhac3pPwwcjsssKCvyiAd73HGkHwCrhjB7KRXeU+dz
7abfcLxyETO5xXjjlFVBknyBOdouMPv5fvAcTsfIVtplvzlcOKeyDsM5sucmzKkCF7ITpTV2XxKw
sYx0gMGuYrtULL4dx/DTsE5FGOVTnbcx6mXnU+3UKSpX32dqlhvmtyFpWpwJLMck75g4ZDtgYh9x
CKpMWPHePjVW0Z5Jpw6QGlledjnqDM9dO3EulsEtH0yGu29G6+rPVjCjanaMLu3iSffpR7cKuqve
NpWN4T419L4J8tbGvS7LaQzoMn80fGW+TU0+3znWpKsdu7shT5quz2/gNfJm5yxCf1Fysj6lJO9i
TD4ZSbFLxrbYCMBRgwZ4fvtmsrbtyyGw63gQSfNWo728bbRpc/7XFqCC9K86hWPZzpjFQRg+3tX8
/IXWSAbRNnl0Zk5lMNF4miB2oiTVbDJt4daK96/uHpKuyu7Cyp2Xg2aC9FXS0/N2lio9K/YJjmbb
9Vm/IsdS+tzICY/YpXCaGKTRv7d3WvRwEb2V6bOeh++t5dPokVYT+AHh4a+nvsi9PKpSTQ8o3IKs
GTNS2aPQR0Vp8UaSZNHeo5X1X/O27Xy0uuP0UTke1Q6xur2Lf1NRnbH3dicV1n41c/ti/cSzab02
VEIG3XyLDaQYFtmf2NbI42TWVamiQBX9y7rIVMbLkrMC5BuQhLrPma99p3eqSwykV/YUsaA3V23Y
vrg8fPLgr015u2C99z0zbYLZ2Sh4jnj70l04pvln0W/vR+HYg0f3IdWkJ3p2/QnYLP/sFR359Csq
hFNHpe4ht6ukiw1t0zqeccQH9g1Hdgc8o7xHTKKcfmfW/sDkn1YN0ws9D+rgY6dRRfhOc18Tp8kw
oqetLxdtb9b5BrAEKxGGznym2NH0cj/2BJADBNAmuq3REcpbFBDleNFZbYtcuk1d51b47YQaVnR8
d/QwO/SrbloumJq67Rs5dlFprERFBYG22KXXEuZEjllOgpMpAnlBosXknWk07sjH/cay9/2UjzdF
KkRzMuDCZlzMC00s8A/f6HdBm65TRM6NflA5505qUaROkStVf9NPVZ3RFgg0UbBiljgFeB0SHLdA
/quHrc5FGTm/1cYkvHhBfHWOmX9bRBNJp/ATcsjsa7vgjWMjMcSt6ESfHvCxXjQCYZLAb3rhcSbq
2oW9y1xFwEjE9MdDDrTmxUWK3OqK1g3M0jJ3HOwGaMASDMibX3XRtCJy2RfLWBq2n8VFEYxftXDQ
kdAHBiFwehsdYOYwLGST337ngUzmlgdrhJdIV9Sxztx0XzcfKMYQXoP5gkwNq9pZ2mHDSTsNwqFD
c1Q7o/O8bjf3rMGIe82zqSzxhKomvwwQQruqvV3nues+9qNdEO/UJXaIaNYcT8uxyjaTO0NB+pUj
gjgcrj37zaff5O8FjUpnn5Sh6FbOTKR0Xed9KQ5DSGLOWbWMkhcj89iB1ryvz+2QCGu9l4PZV4cc
4yaLJUeMzmnipX2i4i4N62HnI+Sr4oYzhfdqZRz/ASMoQtiXzbT23jrl0/vFBBWibDemMnQ+toFj
8HslpXq2EnKi9otJB/opmZpZveY0qNsbYjBa/0YJh16rqVL2YM51nvx2rJ7+15L4l3CpbP97T+L+
tWreC062P/9HU8KwfOsDrk10AAV6B5Yn8f+7Evwn8YHULxOhlxMgraLy/SE5MSz7g0NTYhNJWJuC
btO8/NCcgH98gDTHMI6Unc1CHEnDP+hLONvY/z8lL7+RC2mM+Q22hEePyV8aE7YXrIxoZ5slpG2N
F16I8Dqf017T4UzGM1myrSNcqF+h7umdwTS6B13roiTOdlVfVZ5k8ITUEY3IFpNjR6vLHYHcSb1b
ciH9s3o0qQMBK4g4qvyw26cTOV8cAz3vhl7v6u9q0wYnTMHz/bgQ0EbFanxmH6FjW4upeTPtlYkG
TqndtMdlwrgjX2LN6CpmI7R9Scr1fjDd7GvlqQCL+Lp2SzgzvdK07Et1k9sOhGw/je1uEuM8/KMu
yPYBAp6jH8Ps1CHb4ld3f80Xm69taT2UZp7sOjGQF105vwv3fa8u+OMqONOgDSKKiMw9HqOfBWQl
uuihVbn1UNVOt6+zRh9mG3dpQ2TZHrzUOPz0CP9Vb+fPzwW34nFjDuQIh5JfLsjmWK+2dpcHz1TL
RUpM5sts41t8KCxv+S5J75I7YRVA0amZ8S1bPh7GnQ2DNc6NA2jYU+oUTu18qWqz/5bgvgenFsoG
DBo9Bn7HS+PcO7Cu5U4oZ3kc/MVNdtASS7PPMXKJ6mWCjBiqkJAuslJkE6+rtXgRgr2132UQh17k
VE5x3Vld2MaOrRbC45LkygjXwUKOr9QF6GZ7J9dpfjW8oinYCwb71c09/Z02QtHuCkdh8eNw+v2d
qOZPX9jRF4mjtYVWYPsQ339hNMGtfpi9+aFP6+9kmF2QxtnuVhGeomXP//i2/rf2/mt7nf770vt/
q2/UQ6/1//nTGrz9vf+/BHvBB15NQuUQytAPDf4NZh1XZxQjuO79Z3X+9xpsfTARbIHwmbwFf/Bc
P63BtAgRMdu46TPkosn6D9bgXx8V5B62IF6MxZzuLe/a+0dF92FLBOHo35O0J+IUSX/kTku/l2Vt
niVF3/1GY3JEvd6t+R7O9A5pCrYNc4kE7/0FMR+iqbk244MfLvRt8rFnqqStLDhfQ2Y3weSIS5x5
0oPZOvZpE+K21DFTrxm4pxn49tjjEJfTHbMR55/Z1JHfajW8VIGbgi2xjN1pZyk/pwaARUrFcm0U
/mjs7a7Kz5ZiLF6BMVNzZwFrxpnHwBIT+PrcbbKDlTz5QzDjGUPK217NbfXy0/PxF+va+3Yy6yi3
jhSFrZMlg/rlF62QJRLkSNXYP0h8O7EiElk8LJxxtfW7CMjtW3v/IWNOSvQUNtQ+w4VNNvrzih32
EHB271UPtZ/3V3mZWmd+m1lxAtdZ4CGimothSn9n7Xjcbn69LENCgeYRX2oibt5fFveOZoZFqx4w
3bIOguzUuOxDzfK4ZJt3i4xpI+BG1meXtT9/Wbxufvj7j3gLFf/TnXs2hwq0l3jDhb9sHfAW9HlE
VT3Y2LZcQfXnJzPOoRySqys0A+KQ2hLzeSNID5m53pqcds/CiQcRixUG9B2WMEQMTSdeqeWLdBqI
AlQTZ4UI13MvfElkJg5dNq2XwLPi9O9/+V+fj5DELZ4NxKLYyod/zvxbB9suw9y4h+LwRLprjHNB
xO/fX+TXF367CFkMXID9YRNevv+ORmYDYAnSuPey6sTLv/WVOmEVOJmLp+OF/rcv/Es4vLn/fWN4
lJqh67efJ4XHv/ED1TXRbW9LOzAua0Gwndf/GBUK8WEzAN8c5M0t03yzHPmxIbjMCom9xsGRszee
EyHf2o/9wHE+wPAS5sBJnfkjprL/ZDvYTgb/eYNRyAq0kwKVOq8veMyvb3CVDaisBj3R9RPheeoX
zrmkno1++jz+YiH8y6twZuUWt3XwV6Eh5oNBRfzKFBt0suBnCtmfzn21vP39Zbby4f3NHC3VIZyZ
JuDm8sty1LuVYhNCuub5dGRa6MtdUqXGKehifu4Pdfdo1N160RAB9rssrF9NovkguSC+DtjksPf/
SYtaJUhNzbIZWfGww30r2wa5ddS3AS1ydrNq3feYFM4nhXDJyPKDMH3qLW291MjrkhiPm57R1GCX
M0nq+CHuUU009RWkU+b+w0woflXYAtSeXIRqE3Pl9yuCE4yj9AakC1Zm93ecA7C5h8wq7d+IWN9v
Stuz5bIVkTXBN47XwPbg/7wpFR3ebJO3zqj/ZM9EyBazey36qp0+Bs3kAUiqYVyL5yxMaeT800eO
WpNROuZF/MO2sC2LP5lgDH1fQMQUQex3hhev2eJfQLL8Q3OB7XXeRrh87ZTOW3Dx+6u0Nv7CqQXU
UfhF9zJ6dI1G11ZPVGnPf/9sv1/G+TC3gGxCkbGFQX9tHQXvP92Pu4Q4SgKyxHlrQc7VHp3Wdkx8
gotn46JEBPYPI3aPSxXPMqdFvNxBGX7ZOHJ8iQbhFXaMY3lwmnnjtJu9xviN//afHhIWRI68Pg5m
nIzpQLz/BN3adbRTcBWa78ld4aXyUPq4Jxdzvkm32ie7Wcqbv/8sf3fNXx7MKoemd1auib6U1J0q
WWPQ3C+q8rxPfYA3a5D6/m8cCf58TZYk7pXoBx8t/a8Cej9FMtwVo+CaRnI+Fmt/Y9nrfC4ZP5d4
D0/ARNhUT8n+7+/1z88NGbskCrA08YAyE3z/+ab1ZAQFI07Y/ra8G12dvZYrqDvLrz9EIz6Nv4lk
eX+o4UFlBeR/OHxAzgpSsN5fsJFACmVLyDk0q7q2QtUqFMIVfdo2KIyzv787Cw9sft5Piz46FloU
XGhTtUDj/Co1sZpWoQuVYwwCX44nA/1fUNfC6NdPRa/L7CTlJpNDWq2iRkxcQryJZFmRY1CsnLqW
bq1XLFo5yCNWkaM+71QZpOeL9hfjoPTaQv/bC2orxLz1hh4UTrO3NLKvPUa59XjCsmbhjeZ3s306
wLkhBcQ01ifBHNXVrtJLpa51V61MoUbfqs+nlfi6T8E6++iq03LXrfZZWCIf3tuVlbBv1ekqTjHU
m/s3J4cFAcTH6O1yarzWOx1NIr7OCy8xvli6mkxGf4Z6hu7w3TOPwTB8rZv5fuSOyDh3Sd80NUq2
xrVimsQ87aMOxxMklstKmIbqZcQEbpAfC0brHSWWjUI8NdziBsHDhJDBF8F4YxDMax9avImf1SJx
4yvAQdRh7lsnuHR8Q4AJajNQ9MPN7Jo2JJpsLzW7p4ScSp8GHYp2GOdaLSkQgXJmZ6+AAJZslyRd
y0erJiEnZD/Evz325uygQ2yQzIA41DCQTZ8IsTeJBkxhFur+aZmrOj3BWliAcDYlncJU+KW+WBls
nIp5GIy9I32GzavtJLeh6ifzxAQk/5wEfj+oqFnG1rsATtC+jpioBtb9xHZh3TqtWzCVQo8sTtbW
6dWEirFp0r0BUTOdIpjFHj+bx9G4nLLZKyLDQHbz4DcVrCACZruL2CbSCTPW3qMGtQpkDyD1nrwR
VlevZ2PLmGpnmSX/P9Ee3rKUZf68D4ra+lQURiBxg5XuRdfxvWeRvRoKXLHIw4d06RsGQkUCelmq
sX0CV8W4JcNYOKSRlTjyylWFWoCV7OQscdgAozDLNrler7x7rRM0Q4ktWypB/iMTPPxOFnwIOlHt
PF27rxoEvNmBRxBCKZWtgue2751viI3yZVct62gdTKNkXsO8FRNglCbt09jbxoMQDJ4Ptm0wRMP3
1AJOlKMFE5sCtDAplBNJezw233nym3znNQrfSLtLkic5jK2KZg9Lgkh4c67iVTHWivMkzc+b1Z2y
3TxCadZgN2RuDCVm/gYvkc1rFQ72iV836acGlp0fIhEhMYoBfdkZG8Jip6MVXuUoHWBxhYcjwgx2
ga50GCucM9cMB5dpSqyvIYhttXNUsMw8XnB7O67Tf3Er2NFd4BNMG3fOxMswGHppmOXYeRHx3cnl
NM+s0DkQUGeow2IHipwdzKGHa8XBaooJtVXO3qTTrB4AWtP0jk2wyA+DN2YDw0O7vVoSpGyRlffV
y+bb82wwLr7ebNGckwGmueQLR1V5ps1ywt+SYU/wSJ/FPOfVNV/oMi/pXitD3APvruFniYFhemgz
xzUYtQdYA3y206zKbvDxhSZDElLTnYwqU3bVuMG8bXZCN6jqI2ye9CeLCXR3Y/uD7i7y0hruRzt1
szMsiTeRMYqnDJmwKdmUD8FSivTMFmBWaOMwrbhUJac8Js5LJ27aNPe7O4aKwml3QQ/vf1qhQGZ2
VudSfy3Q380PRpsX9SnvZl3uJ6dzgm8p/t0Jbt/eAC40JJnJHM6Ysx0k2Wqg7FFdfeeHhoe/ROWU
B6y3iUHWPuD5mvvm5zwwHOYAlif5nd1O3gaMG3VsJUrecYg2n7LV6at9Gyg3Dn2sM2Js09vzADL3
ZXNF++YN5fK95hRgn7i6za4VULy6qfBGeCuMWn12G3u6FVKFGNCnbfBoDr37ZGocOSKfkIu9H7Iu
7izDD+6KMjS+qrBZnzFbb9p4oUQs9qp3O2S2YEMn2E+0Y0zsHNJkbbqbWbidFqfk3ObVqa1KdWXU
vh3D3ZFsgxfMNOLZ1DVzTJ56CIidh7RSIAQCsKEgUZcyBPf3ZcqKNWK8i4/DvAJqYIPiRYb7/9g7
k+W4kWzb/subIw3u6AdvEkA07IJ9pwmMoij0vaP9+regymtPZPKKlnd8a5BWVpUSIgKA+/Fz9l7b
Kh5GYB4gpR1yKPeqkLA33MqyWlxVQ/82eth/fIkz4yFqMnlVaj3KFyn7PAqASMs3ErGtciebylCY
GeVwcBFuR5s+qnjbQ+XmhwqzSHvS9cp+IddQixFqTv1TJ9bxcmGSCAQlfZ6OvVkv13mXaC2a+shx
AejaMRTZCC3gttCZVG4E0d0Vtzut3orcSl+MLGXsyhdOu6ChE98FuYXiyUdo2ur7HBkJs2Itda8N
kTft3agrL/IFGpaX9da+5tQpFFhqtPUNKGP8DcJOxgRhedZfoFiaXF+Bkt4XQ2lg6oDxeqWbBZtP
Ws7x07xCtAPXJbtnyy6s4x+b2kYSQ4ACwI/CMruCet20geqQzh+YjbAoh57ZsIM79ZwGCqXk97YM
x9oftQre9BDDg9hms1F+U9IJPcC3edYHSMCn8g76OQKIAm78RTn25P/FpVtvyxW4cHC6MnmLc7tO
/VJzOob+KIdebTQ23Y5QC83bd/yiP8EA4G0M51UiyCtickeNdoAgrKJwP+UVf18t58vQHXGtNo63
xl/PM0KZqrDzRzmlSbcrQ89ane0jOk43K5PFx5sHUDBdhEXfFE524WtiZOjieFVyNbW1EfuoGMRL
F9GJRFuV6BPagAxnqVw09yXPy/Cp0pUrN9mIvtEHymbcL6PQZu4s1qrNovrqRSMaNg8s+snIDlo5
zKSxTUAx7LabvrmIAqHVeEl7g50C5yZnlxqKe+ZV474c3Q4CRV07U0DjMZ+2GRTWnYaSoPd5Q5pT
uzOKeUvjGZGSSckDcE4Pb1w25zIozLCFsUCYZMe8MVsFclRfCn+Qy7LJbJy2YOK2jrEjcExXJ4Om
nMKHh2E+5+4AuCLrlxBnXyTTfgvpxsOGsAwdG3jd68vGIbPigDarvZvdOKXNDo7N9ScaBlPgJUut
H8eoKbUggWXhGxms9xuHulQLRogaGckJ7TwEdZ/UW4PWsb1bcmv4jooBKH1UJTg7mDfZuBQUIlI/
TGytXKnL+BrmAmAJ0tosOqYG2rIDyJg0DzqLKdJmMWtxgsQSDSsXjhM/DsvpOY9Nu8I4XcTE8YIF
uAkBBahTJsjWSmc344ca6QKw68msEfRIlBtN3ZfmXh/tyD4gxk3V1kgbCuBEdMkjMT/DC5kRqbst
ReI6gTkkzs+wSGusYUYYA6Rgmf4J6MO7tfPeO9VH3K7BhAbqAedH9qBkhJVExsgGwegVYq9QHek+
XKSQuV6FO9LHmdc+jOho2eOdvv4+VXF1WybDcN+1NWyjoa3rg4Pvxti0dWLZsOddYsOdEaxZMJOo
FSwFIhRiYOzyupzIXPLxHOO7awrRPHbZUKMgmfTytNLsxYbQIfS1qVM7D4SQoUsxkIu0Wzzj3riV
xcAn4rRHbWrR3tB9u5NNvTVbOlO8aZ6oAoaJI4x44orPZMEBaRNjyL9YMg2SCx3DFkvwJKzZHxyO
wpuWMi7cKKUjMnEtMHWnczgPAxJR276lrQ5rogbMc2G54fIEKqhJt8ZUUCbqnUdBJ9fgXt/Ak37i
oIB9DOdQoyIiO+PI7UQbM6SuAmnhxPLaVt38LV7KtgxKVLy3agB2J+Vc3rMDFWoFkYVvQzI1gM+T
ub/ywmkpNo2btRrP2uwe3VB1RCogvX3wlgYQTtTkgL8psafXIS7Ko2lM65mDGztsLLjn3RbRcUwB
HE2YuYooRu85KZKTazdBPiWtShKYYWsGECxnko+a2VvNprdazILGkvLjQzksT6zU5tUJKVivF1ZI
fK/9UKU7z0vC29ns2UTyCZkc0GzZbBPR1z8F/3OCynFqvkNSQIBuA4u5HNOQI8HkeIW7aboFn7JS
Xn0rZIGIqwoR5eT9QgWSTJ3RBjEOJJSNkz0+R5GFM9ErG+tCG1nbg6Eb0Rb0kcbiDHeKc0ZEEADU
GjMqTkNDjtFmYim6H8iB+O56ZT0d8iI0L0tCCuIzlsjiGTpkUe3VOLm3pAmAxdKmqv+mWuJ+Nlo0
Gvuxw/YWYPAIH1wehOzExFr06OmA1DdMxIXa6MrUzutmZg0t0tG7QbNpVoGJXQ+FcqJbnAepp6ma
MnS9uOgixK+jnSQdW4zF5AhtoXiyu7g7sX7JieO6rUg3yVFV49Azore05aSFCI2D63aKdG/apgLx
12ERVU1NozX5njwSVWFB4yiLbJMEi409IR7FrQngANG67uxNLK2dX3XuBE+xx626byNtCFFkCONO
MJRZGFK61jN1iykDYaX1ZUV2Aa7aQeGmo22NDEtSCZw1Q40kN4W0hnkL6VR43de5jmvP7sfnwfDK
u4zDEskZ/AvHvhV2c6Qt6LHAtDq1R1tLTLf1VGGX6TmirrOzroFEr5Z+oi1UNd8SOSX46jQPLwHS
/37eDumoWt/q3eJORLV5p/e6RuCyco1b0o8zcGbpwBGqcSkaOZ132C3NuU9eYicD5GN6+fJSIPfj
7y9clvQeh/y0SUJ079g8ZPrTnqyYO5f08S5Eh/WtsZLhrZY9sLAJiAhG5rzVrD00uhRbtWVyVysr
Q7k3Kt3+aaf6XF2Ws2ESzjIss7epzD5fiWrF9EsCI4vd+k3fYlicyHLTON8TxVHFp2FJUdvRQTL8
nPMFEC5zTt8SbaTViDIEu3Mh5DL7YKQz23c6avuNHOf83FBm9dT3uXEedbqDEkevOXDGOAdewG1o
6HIn9TxEOnhUp2U5wSSXqptGoX5B5KnH6W5A7aEHmYXnHzslCvGdrerwO+VBX/oU++hrQ43cQ1SI
sIs2mJwZBpP+5R4dJ3NuSUjQ0HjkzUtIGDs7u5FEd32xnmbSsOrR1rahfTtRRGH2LBKMNwUyb7S/
uFJGutKgsZHDmt0P2ZnxU23p9X2I7pV+fo4lGkAf8/8NyWKiXs9PnbEDTb6oEw6plJetRKtH2UTV
sSdVqrjLuNGFnxaWdUDsbjang+lhv9BVpM7aJYJQpE/lGUMJq97KWU/GAyvqgsuAUa+GEb02bkY7
a8QWyR/+gpnMF6yyaC7xfxoLa4qF3Bqj0BItAcpTrEpzE1GAanhwr7FWethoJA8BhTrr8FZzq6RG
dTpY0b63uvrS1DT57ClE54hjNIpH1mW8EG7f017CF2Ce9wUZI/vQcfDYAy7Ahb+YpUUPoXXM9hB6
YeK+oLq2ZNAvhOgiGa3Mx6GtcCiSMgMFahQ6ctbRsNJLQEJWs6WJteTbxlud9U1ReCfJrDw7aMt5
6ANS5ocHBte0akw1iJee+lTjFDQjxOprns3TUmQiIsAiwZwsBy1D8cmD50NTgdIls0LVZwX8Jf4N
ixMqli/9aZyQ7xKLhO71xGodPkNpaPFLs0B3IMBmKLyztiN4/tBWU1xsMEXzYJlDzxXGucYzEpex
bR0Moh3koZ9heWyMFrfKjhNhd5Ho+IBORq8zUJv1BXsc7IoanW8dz+jbm2Zcdm2iKg9OCKnLQeER
9hFx+4ZdajZaHmAWHdUW36BbP+k0q9IdmlpW5kmblAs+z6pt3+AUiWyzEd1epAhNNzbicthpNQ6y
QJJ3dM8bjB0VY3Z9DX7FSg8tRyh7V0K0XUfiNbLy1rKnN6g8xhOHjXlmqVDLKy4A61SK1RPddJH9
ZJmz89imKNojfOOZT67IijWeRuuN7jEMNGVGSRvQiXHmnTPK/sfoTNavQr159kpbXLqqjiaKj8i9
Z9eqnI2Z8Zzuh2Gorplx6M6F25r1vUJODegOxs0VHuPsib5GmEGVB66/xYGDQATBVdxsGmfd97XJ
bTHRNKIFu1MnIDBdThevIOtpyaDCG4OuToHehBNK8EAqPap3gxuZ341UD287Fy81ssBQty4Wt6vy
XRqK+ZsDnRP/msrpNmktquhDBo0uueoSeoVBu8RtFRhO58hDohoiUGyW2YAsz7q0ApSHKfMt3t8r
uUjeiD6z65/Q1vvhYNgGVQRbak66TBUnsZ/qy1Dca1la3c8Ns5xNsqjprm4VWJIe5WQZKItD6GFA
tdHwEuE9DaYprc+rqWM5N8fBY1UYmDDQ96trfm6rIdhmoPt5jglIQ9xGVl4YYNSBQkHtmFy3Np3z
jdlHywAvMsxeAPbIfkfwljXvtMSqBn+CmvSoEzQU+ZqsPYUVEfV+AJhypiToCvtyXkitP4Dr9jhM
WHH06Gk0d3xYbRJOAbncMBgTx/zBrKEVQc5qgCayhVEY4PJJn5MmTigwu9SFogGiA1eSXDL3wNI8
PLlFaaP9mS0EyZNO6wmyHa4X/FNE222ssKkf4fJXb2aoi9sUoHC4tft45GbSvsJS2DX3rJjDUQ6O
pTjJ59DOUhbon0beZd8ljnoKgXzScJIXHHu25jyIp9CKptTv+xaC0jAm/YXVuKjoE7gj9nbM1taJ
VlkJfx9Dy5nPZYYhYDlKMQhPa9pSMmf16iKDZ2cYZXPl5VrR+rQEwus5K415E4spvfKmlBgDzyvl
ARXK4O1MMRRHLcMGsEs1vJdoTUL3Ho7PzFvcGY0Lx2c9fepou91dZQNQ2dK6X6honH52d5yqwvNY
L3sCd6NIdadpUVdPIW3WZhuGMv6pexHuvFJqMYgfL6/vTGau3LTU0r7hY0QnSyCIUe1AccXwasYc
o6VReeVVs6TuK8GEBHPFblQ86jb5pkE9iOyeGIq22AqJqwE1PmGFPhY9536YsoZdn/Vh2uVQYF4Z
NtNESgucGX7b5tZyXmWZtcrVZfmtnGeDGimB4Pp9qE1oPKpxaDSzUnrRFZZSPT+pRm18M6xe/cDs
MGUbdpqWfBnFVGbTaaPm7aBRikvUzeCkMzF2+tbqqwxsVeNZHHToWly0rBMa62I/HxyzN9S5yf78
qAtJiJVJuXJijD2KMqtuzdfcQOXvN01I31az3fIx1fHTB6E+u5epXVs3M52eV51WGP2kydG+k8jH
SQkJVuICMbAULQ5BXmMXMxYNGAVER6jTHLyszpAHhtp5fQqVzz2L5h4wdlHXVKmK1u2b5y0a61Ov
FeeaVjshtCxMHhzgl+x7NLa4xDrMkHT3+4qBTtUklrMxPDCFBP0ZLLMzJeLgQ/PCVcC5zaUEdEWl
DpVhO6eanTc/Uktf6WhYkJAVACyD/uNyl3bmnFmlX674F0reUCRYo5j5BMPiJM/CbXhYOLGRMEYR
z1vshJ26NC05f5sQ93HUw1nA4TGBerChi981e2BM4BmEPrd3Mar/N1kugK3SupuOOaIwfHchnmQ2
goosCsyk4gb/LdVFaILpDrQ5Hmh5RDwWQLnCZNgOjDPnFXizpCdM2azL0VBDx1HVGOh2jHQWt3br
0iEwaNnILbVDjeUIWazLR4nHyNf7xbvD8wsMSoY07jc2NaN9VtttYgW9B2X2RHWudRyrWr8S67NN
icWGGzSqFrRkc/BJzJOKcGQ0VFvn45RDaq5KnEWXhlZIFNAYH8vNmM280XlbSX0L+Yi31mixyu7j
mDHlziOImOWpnFbxGQicbAcXPWaW5VZtusc7YdTnNq8sZaRke7zI6ItqQUX3bQkKeyjRN9qaBl4j
E0kQcti8ph7Rqi3lJtWXMw/5PdALK96mCJnXA7XtJFvBm1Ltwa05+dUom2TEk4PyyHdoBpNfGNY0
QMKc1s4O0Udn0sAiWttPozYNfZcbHG3WFyWhTYr4iIiupWfogaVp8flT3k/Pm213rxyNzNC2ap2T
0FhP6gNn0wtRJYTThWiMWL2wXnZ+IQcj35eMQH6FSg5nfVbb/YmKJRLNAU7FJold4MtY30IC7Zok
fjOhM3VBwkgw32HcnWyUd50Nmxp4i0DBmZKpqNp2vuO9LbStwGBFKbawKuxqRw8vk9wwj3plVN8H
hgGLP9GzcXwzzWpOduGExTZfKIV8kad2FVi8cyEGXGZSO4g62swaN4c3Vh567d6D6rKu4mkF0T8y
OLrqg6cfVpess6OU4RStr/4qcDeJI/blkOjxnU5DW70mOuXYrkYCyfNdhK5Gf4erZpe4Eux2T7FP
k76i61mcjbHO9BO9jrvSeHIS3eqZY9muHrv2zFXx8MieqSQDAaLngSrberdjmp+nB4MMi0thW31/
5JgQNjd6FnMcqli37E0UOcMTkgC6yAtjMJieMncxgRlplsRBzi5t7hJmDu52qXpjR7k/CR+0biE3
GCfUDaql5FtHxDRt2Zx27QYf38hqju9r11tecVsoz7tA8jJHF2aE9H0tZ2Nir5kKxLtClDZ8sqb0
+g0YMM7uhrWQZT5xhFMwlbycuFgXyfBG5GRoHoy4CG0MBkvxjNux0wMgPRpD9GWwn9t66HMmB4kO
+kdWRHfqcABb8kKj/NkbNP1sAEoabWvio396c5U9TQm6OlLp8v7Vs/q6/cEpBjEW4s/EMp8rVitA
2aOkgdz4xPMVmDFxv3SPRENqUWDnk6iBDFTtfEpvrOq3rd0zQAwdIP+cZVAUbJypZoUwcqaJIMQS
d/jZFDGWvqYDtUX7tozCO0YRRON6amxfMP2zfmgx5EZAvaFt7seYucyGs6ar+Y0HJcvPERUcIq2P
BJ1kL3G3eot4aZuyU96Wbkr9S9epP5kIQO42FtDqhwXDZRmgSau6M5eBv7H1FtEkUMNSY7mdE2FM
ezN2ee1DYAoLvjBNn+nZ23V8WrXMIgNFERTTu8XKHrRaQ45BlveGdlKPlndFZGFdbAHIQy6nM5aG
1oG+zNBEvowosV7AA/TLQx2JpD2p7LiGfsWhnh+qcWTN8T10i8ukSTE66A7vxtqmzqNk47UhHdcB
tzg7VlcakvcW8AXSMJttxYK7QIAoMYfx2mKyx9Nx7CdUFkXm7cKazYw5Efx9thGbQwMA9y72c6IW
K8mMcOlP+EfJPNnNJ6iYG4umCD/cLAzqltis1mV6WJZTfi7SvnNADpxoKobmIMYZFmzq2u5+KLap
W20ZQ86EmjEPvgBcZvqYOa0TMxyVswWWiOvGBAJUgDqg10gjV5eEi+DBmDdZRiPfL6qJGapVtu54
ppGkCkXdU/WyFz0euVPBkPtiISgUBrqTi13ZpPgM7axovL1MC136ZtNHJBPGObg0laa033tiN/eI
b2z+cjOrlvs6ypL0EAOMQFQuGo9E4Yjncjppstx+xcznvYpGjZD90CyABxgcrbIvODuAxVRoFzD0
17pT3Fv0+OMrIIZ5/dMtzXafQWcsjiPBAcXJQL80py3ITGCriFW7pMXUKfzfMZgrodGvw2VK1758
mDm+rrzNpXNOFEpL8EcSLNFJLgZl7tnNdXuXQKortpNwafqr3mKyC6lJl+eCcEzcKvS39L3BRDG+
nNrE9Lax6TT1k2RTLK8MzWs0H1MzWDZaF3QBjcRu/qML+18F8/8RqzLxv1cwIyYo314wTHfdS/+7
jvnXn/sva4vxl82ZFawRys6V+oPy6z9CZpaNvxwBMkc3bMSCoGwwefytZBbyL6KLsXdhfRGCqDn0
W38rmYX+F7otqEHI0oWLJfFf2Frey+ssB7UZ4h4cMgiSUBLKVYH8mzySkFzOdWF6GemaPTNyQZdC
I67USe42Vm+H1t4zmESU8tvP9Imw+R8OiPW6+A7Ql+LQEfovWfBv1wXSXdFyTi45TRFbfjFQP9MU
xvU8nttJ8WbmsATDJId0mH0hCP3s0nKVuCII1TEO2asQ77dLw/ts8rFpLwf4+GfM05phm3rlsvPS
RCiWECeOLtAgkzsV0ZDekBQJ+ZZ/V0a7L36Ej/Y9fgTGf4gLJfI7g8/z/pPQZo9sc44vE2LA5YY2
kmTGmJtsciPlNpxnOqUtgdOlgKDQdisKr6E6FugUWLVgpJxJ9HrE+tEE+yoF85MHg3ggtIGYBFFf
Gh/0j6WXaTa6rWOc9qj0QGOV2FOGtrifJ0USrMBZUp0NCM3qL3wX61/8/3WJv55IENvQJxDW47r4
h7B1dk3QitGlzjPwveKgyliSDifLYnJKGr14JGPEuWJZqx50mzr4z/fkvQrz76ujfF6/MRGKFg61
3x8Oyv7OZtJwpLiPHxIbKSE2z3gXMU3d//lK77X9f18JdgIsvVVnvToVfr8SHqCJ4O/wGMaGfu8S
Q3EQRS++uMhnXwcZ+WphwUphWB9e76GyoioKjSPcVdilZjTdM2zS6SEodf/vv47Le2yh6pYwuj7I
V/NBWioxsste2P1d09nNJbKe5gvZ6mdfxyXhEpvIKnz+iP7qM+JFujy5LIUHWaexaB3rZmPeQO6e
v0jT/Oz20Hh34HgYLMEf381qlbiFSXZptksPViKOkKRGfT998bx9ehn8IyzjBB1a9ofXTHnj7Kgs
4cfKlju6UtF5t7Zn/3xvfhnmPrxTFqsH42HyFFlvVrHzb0veSGZFjYTiskp0CSfIge2MVqXzfGE6
7VNpFOoWjKqlB4DBkIzScSxcn5mecPZ2KCbji8/zyZdelRIOunu2AfPjl2bSXFlF7h47VbYATRb9
wCji73RNcjGjt+qTLea9gPvX+8XSKjweRwdj32pF+v0710VutGEjjlIONeJFBMJ9VT7G4MMmr/1C
pP7JFyI1gAQA8IEk0OofxPiOsgjhsKYjupPoxOnDOQDxZn21XbxXbP/6RuSv8JhA+LQFLbL33ygt
Y3znuTwSLStPwSKTcNHWMaYdF/mpqSO+CKW5ldWMoJMMNOvJshdti0vAOF96jWykJA/vmkaltzKN
kE9CICeVCKjTjdV75Rcrz/phPjxyrOE80Ohm0e3/ih377ZHDAlE3EnSeLVvtEhtr/R3cf71pZ86v
YKj0gz7q1s2fn/NPto531/ywBinK+B7B1TGVfCbyg+gHxtNUnNXusHBWqm0m47miAyisfD63O1u7
/vMH+Ow5wByMl5SRqWH/wzxTgwFmUTmStTttB+I/LyZISF88bOKTsmGtnkCf4hAG7Lh+it9+WuLa
GlEq/UhdYRjbfqokaYIx4340Yx4NDCIEntE/d7e9N1PRLEbpwgmkUQvDHhxeAEXV1lDlFoRy/fn7
/wqL+3jXeelw92DhpXD98CJgjU7JjzSPPMduELZVTKBXkn+vVkz9krXJQ2OMOJS7ziCiDdbSE3Qs
xHrJkPDfPO8KurX4mRe4jb/4YJ/sHHSWV8sM748DLOH9bzYsZF0j6zlykBSnTow6xoeePZx2Q2ce
KmtKbhmhVM92OVVnbTsmj8wCnWiTNN3MTIUafmtHrTzBypCdkstX3/3583324HguIRM8M67JBvf+
49l13+kcE44w68p9V3rtJs3c/gtf2ScroiPl6pdfg3UhZ76/SERATZJFw7GgX5vRtjXj+0IHzp0s
oTJ3DOSKL7brz/YdOp6Sb8Sj6oLsfH/FehlGYYruyIBKnQmVSb/LUvMbLQp5NZL66m0mskbtzQxP
8MJMxHQwYfoAQDfE/2DP4ZXEZEjGLKow50NhByGvMsgQOuYRMiTOzD91OeVf1Ayffl/MQlRz+Es5
A374vqrEQ8Ac6li0hB2NKzUjbrt231excZPMjFk5XHRkfEQhGDlm4Urz6WfE27Jt9S9++082C3yK
nO8sg13B+Lj9taoFZ661R1BRNT1l8Vwv6JVd/XuIrsxeln2HKvPPD/Fnbz8B74BwePX1NVz0/e1G
uWF3VlUfYXxh8agZlYQpbXQs1gxjTHFilnRw+1meT/lC2iLrpNFfW0AUlKi+RWvN8ecP9Mlb5XDA
W9/51QW4HqF/XygXw20GT5VHhhe0PjG/BN5sOV98639eBJ0t4GCqeCoA4nPfX0Qro3Zsq+ZYTDK+
T/Sku0P3av/rb+IRjyx5pFyTmbG1bgm/LfmVmMkws8Zj0ZvtK/yx7HSxsvqLb/LPNZKLADnijSUG
iQXi/UVKOoKaZY9HpY/ytlYIc8JlIWUkHaziK/LKh2DctZjhUGI4Hv0Nkxwk58OzMtt6iii2PeIT
KecN2KPoOgZy/mB000TMJoIbRDWpca+HBQ1cTi4vs5DxKbCPi4gBBDlEzuCFfq4mGL6jmoESdAbN
tODPj9A/ugX83LTydDgc2KP5wB/XDQuyL6ThI1DKEHUg4vIlgFyXnJEynJSIayy45YbnFbDySSnk
n2qeD9Ga+PUvn4H1k3BO4A0jAH1NNH9/ezKgYm7ckNOROWT2WU4WLMjFv9jBPz4DXASbDAHQeOeh
RusfziPA/iKNiKnjWAJebMd0vLBRpJtzmX5BwF6ZWu8KxF9XWs+9VDA254APV8I7hCqWB6CYFPEi
KLEtn26Jc0qmkbEjYhM27Gw7+3aMr2FfxVckCWpvUFi809pplrsvbvP6Av1euHz4NB8J1okTRbas
QICYQObYRJjsy7G/0vXxotHo4jbRHN/nduLn/byc1sAdd7M7iYNDyFbuVxJxwhe3e/3+f/pEH16Q
aV6SFKjucRk1nZmzED9CwiWvcYZ3mzBDY6oQcm6zLIYuyJjri7Xg46q2/h7SEvhepRSSHsX7h60v
E1yYVnd0CoF6Gh+sn3RW8cVFPp4Rfl2EpcZbYd4r5+H9RcJBg0OW8QgAbr2BuBvuxma+kO2aCua0
wTyW0xeu6X/s0OslDUHrgP4pTQT3w+ucaxgjPdUcu87VGYWMUp4X6ONuXaYhzJkEPXhf6lVEeeAm
NykNdZzj+CqYU4hKeF+8bZ++BEBGeKU5Cq+qr/e/AJHGyhJ5x4kl8s4QOdHMSwYTIXyYak+sb2Jj
c9Q4IZJGB+hMSGCfuPqOg0F5VRV18/LFW7D+4B+fOeoWIq2pkiz+8/7jqIFgT9tQRzXMmhZIEIfP
gpxm11+oKhH+lN54UTVz12wnWkGQcJ3afquxWDanGtYq0NhAEiAvAzDep8lsTBstZ5x6ahbN3yTD
//Z4/+mdZGFmSWQxpMz5sH6wa+jVVBVHZNjRsjUyk1mQqy8u92t0PGcDO0GjiRGhggNSrqur3oqc
N2MZOflyJwv7i53iszdmPZbhVbdWjsWHW9nm/RTZQ30kZm1J/LrXYeOQwjn8Tx4Zz4GZwbZE2WF/
eGkIyi5Tmazf2yg58bGap37mGTlFVVa65K4V1UmJ4Qz1LklAzIfijKjJujHyI/bQpmBqNxIA/ecn
55NtAx85J78VkbGeSd8/OHgVI7m43kXnzt55VJr59SDi+BsenfH2z1f65Gf2TI7vFk1TTksfF2on
xrEb5hrxcM50YhYFEXFZ8xVc4ZP3gC4j4g+T1Y+W2bpb/FZuORTlYS/di7rtYX+GUx+UtIuvCQ/F
j+0RuXX485f6pMqAukIoJVwS2lUgON5fsMTsU7TjcNElsnvS21qZ0PTHFU3swntnDLtM+q5bPGRn
XjrkRFSLcf5RkrSbfHEnWXe41rtFgJqMeZMHKsfkMKN/WCI5PeFA7OsLIzYX7LAgGUEfM2d4mkhq
ebJw6N5T2zGNiDOqr1fTHEYd2UKjuquJ1hW2goiMs4u0wKSOJc8h+moJY68/KTzE8HtJlrb2qGud
s5zOTa6fQm8BaO/1it+2b62eeJ6liAbI92o6MvPNbqE0N6/MA2AEo84oaqz/LtECzlKa2DjwwWDT
K9CZ9WWfXQ9Jm6EcYU98VSB+j6Qxza+WTUrPtmpycgTHJHcOE1Iwg+hpcrAvlD1M467preJ1Vkau
+YpmaBpURtHfdKZoQ9/LOWFA+JdhvyMEtie+Ssrsh1NKxAkjnu2bZoFpgNSiA6uvU7ycIFYdn2sk
jVmQSMzwPqI+0iqdwTC+CZRjNQ4SiwEX8nP3Mkkwu/pcXGZ+paNTPJ1SkP2YUY2e+CSmVYJQoJiE
jbmxCxo9k2BJ23u1J+rt6M4VMVyKSPLkVWU6UeNdxC4SxK3JfoKzYC53Bt7SGfNX6xY4NqvM26QE
L5MAxp9ycPiUnJo139GM3j20GHusi9C10V3N3pRMu7DXvOnKKwd3b0CpiODdt6o/4EMTP0tEJmOg
DNKQN8OSlZg+wmhsNvq6PGNLGAtEa267HAujydhcld0g8q6gwwQtshFuYJZX1gb7e5Xfq3TM+yA1
zexODlbbB97QJfamCqsyx+HPwZP8RNS7W8IZcAAPHXcnWLyovdYKg21T2jlurDGX4mh2k8MaGEKx
8AsUlvl26VCuHgQ39znDrop/VcYdB1X8VaGfSsX4Uct7BGmOl4i3TqOXGy7a9A1dTb6clnCJtX2E
4/EVLm+3HJtkLnHjLI7K/SxS1a3Kwenji3NTc6MMuAi+nQjrCsFCdhPBw3CpaHMEjX1TuyVm18nx
/KolLSVgFMpTjZgKL6ZBzhdhSZYBBb+aS4EDqTUGOMs1rVS4nTMYwH4UxBpGXli027jQTONc5n1K
oFOVRi+mipUOvq10bit7nu6MmejGnZmk8bBj4AUEBwRBdqdPncv+qCNtgiTeDcR2j8O1qBjMbXq2
/gKzlid/2ITaiV07eHJboFA8cwBR7MkL4y0dh44EKyM2TkKLv2bV5NibcazTe9uZBYh1ZON3SVOK
c+CK2lljA//fOJ3AjUCkV2+fVFqp7hTCnctJhcTXJ3HSEFBOs+hB6W5p4BlGPr/tl9FkDYlQ2Ae1
CRz2P1vq/8oXAHNyaviTfGF+KakR34BdqPnkx//9zx/4W7dg2X+BiBH0Nk02JKpUNoq/dQu2gKUm
USywT1j4wNfi62/dgvsXRim2ZtpO1GWQPPm//ku38Bd/QDrsLtT7DApB0vwL5YK1IkF/36gwoRtM
oOizg5FyzH+0uEBGuHbG0ZAm/1BgCmCgW9JgXKNo2slGJV4C0vg2LMK8X+o17harTZr41tJgUSWN
b7gdSeXFICky41sXu8mVjrQXIW9candzthg/xqX2JNTv8rTRw/pmzKOUtQtd8LCptGY6I6MMtXFk
DNENJkfp+Fq5ZNc9fINzYaIzCLyptR6mLIHkXhOPM6KxQidGCMIMvCjPYJuwl0X67YgFEC8d+tan
jsf/yJuQGEHHDFLt8DvxjZww656E7oRjYDKwa7Zy0p2XFofCdVOH+DDj3sjeqHZ5uzB5Uv6NU9b2
Wzx2axQKAhYYM1Puw4CIsJCiUkZeVJbO2f9j77yW48bSLf0qHX2Pir3hNhAxZy4SSEcmrUiR4g1C
FEl47/H080FV3UeUVNL0RMzdaXNR3VVCJhLmN2t9q9YRtPk5YbbcXVluExBlcjBEnSW1tD3K8FPX
hv3FAHMn5UlOlCLOiXy+iQgwMPd2NLZnuXC03s/zQbtqlhjGRKu6hHaq5pWxSRUzEwLfVmt8gZ+U
JUyIqetYLQJ9f2irChs3tQZIg0l9khavD89UYYUZvwXPgDqtsMhsV0Nice7HgmBG9gWW19ZNG+Fq
ttxDZavUQqJufUjLIbjVEjPscXnyMtvA15C3KG/DjOGroy4AvZuhjyDN6pFQqOU+bAJFgJ+InKMA
eKRtEgVwCaA8KACCFyI2BZzDCtNYrrnPdkN8tlfZVvcsJ4sYJZKIq4Gkkdz6wAIc4IKjZcPdmGZq
2EiznXdVSHQLntXEwWVCGGuRMt4a4wDRae9WF0OOXQX6J20JniUl38A3azw7KW/h6WNZIpOTNGC8
eqOL/3jJVjZIlzT2TC0xGJXHW0lcJb05vxgtfo9hscXbVC7iyoZVVBMRpGMD7wQFplehTqsZGWTu
tNFNreMnq+f4ObLHbkT1s8A2ypx2eBqmoHqCERMRbkHXBNEf7NcBFvgKgLHGi0VMWrwVpFBrHlNu
hyJjaZqnZCQ2dp2CeXqpk6oszbQz4YYo+8xCcu/6hJ7xSl4QuyCrr3O0hsxcquZ51oLsEr9d1m/B
y7THPg7xbzs4qc3tDC3P2it9IDhI2L2++HprncsE/9M2rCqcGiI3HDS+UQejRrdrrF/xUAhvDtN8
2aMaH24ad84TIoKFi8SJrELpoXJ2nqtikbbXsHfQKeplaV9Omk7VRazGeCVljcBShH320kkHWXHj
quhU2RlNrSlQSO/RhM7xtjPojT02HYOxmYeyehP4z15TmAuPMbHpnzVccWBZCKL9BL1A8NsJs4IW
oFXapgyTQfPFOK8yowQ3IsWNyzhxhjl051AAJd6Y6sPlULFFpFKU/ZM1JQagEFLNfQrChEytsUiv
imXRPqseyhdRvo77gkFTwwxfBu1dvOSqOxo8/kDAt139ocCcf8M1ZqDL1avK8pauTJNtAGQN6Mzs
kto5GXYMJ0kw3+xyLtxNUwvUT72KCGsu8Fj35x2mJnnWi2qcLgczBgbcjcqJcZANPaG6pcvpMGuy
cqm96AQxHKFh9DQyqOy7Eo04UdpdVbNN94HY8ZAjGAxDShpr4/lI5bhCmbBGbRuSnGJ/6Egzu0jQ
/5pXMg/FM6jiFReSRfgGsmyxdVSQQiY+sI5puqotIoQOkAhEeipxvBf+jCvlus+0ubspFzJnPRMm
CI6V2TbVrSm1SD9rSAClF6njKThr+txiV7zENiU/XsZ6tqeNygt8t27DQGTbzr24VwssRn9eGJV4
halogiLOOovmyCj6S90BsPuReqvLXtMspepyTdsZd2jwhoqJmuPM+zTsMeIz2zcfnCh3rluuxXYD
i5ZgJ9YJ8jm0SFTLue9xlAf8VmuAOd5S6eTd3ci5WdD0oBffJXWrpp1mIljy2zmKLqnHxrMWD+sj
8UhBz8LHTS4WKVyJsA8rIUm26OvhOJXVl5Dw9C9wf5qrsk6Tp6qe1HkEWeEh4Ib+IqsxWrDM0Iqw
Q54Zy43pol7UOPb3WGpKTKsxcyugKkGfbPohQHxQicRp/KYNHFymqek8GMPklud2A37F65ac5ThI
yXYLRhAMgl7zyAEXH2GysEueNi6ulMVP5mVFwpEFvfC+tJNTrOL+gw6ZZT6MbWV9RKIDzSaZ+vme
fFGuvSHNwnDT1qEJWmIcgc7FdFT6Ls2bfPFLQGugHzEO12ckVuGTsheWdTs5ME3ZpNEE16oP6h5V
2WQankYri49uVR7TjzrgevrRSO5jNbaONyu3rqnxXWaIyPk5auIG6Ql0CN+H57G91SwaO3S6JTHx
sHtiRk6yJnEtI6thl+Su9YQcghxvaviCyDHk0Dv64ORTUZbTR0tPLCCfgbCfYQF2d+DIdd6g5kSu
bqa3RE8jwmu/qFJzj+Qjty8Ovrprt+6B54/moBd+g4Yt31aRld3MBSyvac/b1i3EeZFXwceeiOCZ
JhFFNvwYzX1Ly3x+G0TovkkTQBYaZvMyNhaAJnnatFe4wvNDFczlRcu0/rFw6izyDdmVdwyF6eaW
OWFE3UPZP8axrNTB0QbD8gravlPWGQjYm3iFBClRIFXAwNwxVGH3t5WLnhvemuZbIK42xItNUPvs
YxQwywOruqDxjSTMjmIaXMw66DruHKM37wr6HHdHXBGe7VEkZN5pIZYjvIPOXdcGhe3FLqChDanE
GvFmYy4eRWEPj64oOmMb2iS1b4rWgKyF+nGBFutKDLN93x7JaELSHldZAnIpzFiWw3+QvpXk4T1v
FJEeE6xFH5ViPeAZUxvscNq02WbSRGf6cwRrbwsJbMbaPhWZti2Kxr7vjEK0+4XK6bEBbjb5hhGl
d6RmV9eJPcahNwhNtFhe0+zEQz363Lnm8EKid/hCNTs/09uVT86SLjyFuvWnM+IFg2Ss+Kk97nnQ
G7KqWm5z9P3XsQqi+5ZlUeCFPeXYZlSzEF6Arf1uRAiVEoUs7U9znyznRRhb9c4yRnddq3RA7ZuR
HO5jGwfQAQVRNR9rxgXXIR6R/FCShP7CljJqfcQv1TnwijHyyfKRA4PWnuSaKKhXHXtCv9pJlBbj
ssDNMdrEPmOTmC9eHxsGrsSoVSFpPy3M0FkfBB1nWAV7AnN4NjJaMclstqxwF1YTTXlYTvKRGgH7
FBZbkuFJDW4fIkiBg9cGPVnc5OXg8Ws7F0iGAdgxObgBQxhPI8NL+QVzq9u5WOaQPaMa78ykjh7w
K1TEDtH6N5jU9Oih0Obx1VEJ6K4iXTGPhUQW5aWEk5+nSFJv8CJiSQqJ0L7Lq0Qye4WrdBk3DnMr
KWBWkRw/TTozBHY3DD4i93JRMsaOwm1WGL32CO9OGYdEMxbpQVMozrQxrQH5WLN1xBRqYkNPKh6w
zcwfUFptcDUYOp+BIDMUIQP6DR0WwEiquovmP/z/1wYPr4x3mtd/XHyu2n/s+uLlc4ev8n+tHfeX
EpdaHEbd/37/l+2ff412z//cfX73F9uv7edN/9rMt69tn/GP/rkGWP/O/9v/868m9m6uXv/rn1/K
vujWPy3kY33b365bxl/0w9F37fD6t//ZDcs/JOPmtadFQAORQej/boaNP3R6U4SGEk48G4lVavEv
ET//GENUW/CvtV21+Kf+aobNP3iBoJSlv+ZPM1m5/CfNsPmVY/zt1BZFj+C/ko0In1RZ32kdUAMM
sFA/R1W5Ni/Vaga1SwqjRBqxdo8hV2PRBWSXTmSqAg9mJZq42a1XVyxBlcc8MizGeDXmNJSfwvik
p5Qdh4ZXAe/LpUk0L4lsNg4wItMOFxTG1OsAUQIaKm1xecNRwoFBMDrwhOdtMk2kvYdzzYO2xl55
Hgx6Fvs4GTs/hgvmejQ//GksMwB7ZQDWhzMkk0SA8b90dxja5A1FiNH5bSdedRvX/onyrZfAiiio
92DG6oc0MXoiDF2punOihqv0ANmotT5nFGXiciGdojo4uN2odEMGbNTGRl8y6ZPDm9MIVW8ZBwzi
WIJuMw6AE6fKVyWahU1uZXZ6ZPgf7Us3ynC3uo25r2i4+q3DwI+IJZzA7YGMu4Ic4Iwsx01FqcCe
FmruaYpHqmv8S9ZrIQsNqUBhr88FY4ZFgSqa/A2xWPdkmpr6ZmlldQaiNnF5ZgxuebDSehLboY/q
pwUvxGeR0Px4jlPb5HRomAOtcM5v3WUEYRITsqlt5shM7xk4Jq9AksLS18oqvqiEk98oVfUVyW8M
zzdgi6LmNC3AhXZhMQev9KV4gzJkkPdagMKZP81BReqOouG60TNl7aPVQ+0JN2jwIsEOWQl3Qb21
OxPGbgJbwGPkqD5QezP9FbEe0LSHE+9flw4w3y4KasRhmFFXbIA6dL5F4W3CBjKb5y439G6z8Lt0
EBS19BP1Xv6EWy0aNrXR0RIxYDWgnE3TCGczYmZDeCLvmIJ8uV0BRu8YTBAAfHB+Zu/HaaFd6VYD
8XIi1ZO0Na6s8zENY5xYeLqjY1qZMfKMgT3dJtFazp6MILhsKJsGguJ5GaHGSgtAraHTR9cLJfOz
McB0OoZskl8HhOmLRzvaPdvBXEAMs/sWwC3jYx++IROTKarH86pdyudclQm5gAQ83mCNT5gLzVb8
2uMxRbRJuvGWldzEtJqSboEv7DSk2Ddh/gIeLwJfNiu95cfIp9QzjFHdK3Ze0ybLBnx7Qep05blV
dvIhs1R2WVIr40yT5kRGb8gChGF5n36omtYaGKgCjd0bfXBu47B5NuASEsxHsuUjr/bR9p3O5k0D
KYMaBBaT8SZECwDKISyqJ5rYjM3NhOAr2aR20kf7UcTNS+wOKZ/ObcgybOcsYCYNeU95Q9CG1Qb1
f/jGUBmmRjjo9KeAbfhBY9HWpyCwFrEPDXeJjmOcBikjnBJRjR26w0yore5a9OtD8wF0cL+GDALC
h9xkinhTdzbpjma6MDZJ3fglSwoMljC0xnLXdJXDBL4xx21TQ/xgIRNoZ9IciXQK42DwtLTQX6g3
k/RDHKnxTal4fItq8XWFpZWjb7lmELPdduQjaEL1aPXjUHpNKp2PDVmZ1nYUKnsyraS8tsuGVg4A
Y/IWI2qNdwFpUZ9nu6PboEOM2NkQwn5hh0H4arRmhZ8PZPMKP4mApWiGlZ/ltViWbR9OGiwmfpaj
nvY8bPKmwrWIiVR7AnKg3VSkn88fwUQ4j82ckTqwDI3twY9inNBCIgchoUIQU4DWonjPSGfKD1T3
dnNL02PPn7IhSKG0GgK/uQZpaGOVarA9KEDET5ZLqR4UfuvskmpVqJ2WBc5b2oIVIjG5s+YN+i/j
QtKQD3snjd1nqY9OsQvtCBSwi+LtSsJBprB3k2IXRFWab/h8BjI/AyvTUnAwdKVY93m7aN21swSh
4SkLdgFjvm7uvLSf5sIXVupMh7YZEG6xr7HvrHLC9Tl0dXgVs5BwqLGD5rbQMpgqS1NbC9WUVube
kmXmTZWsElJmgbruRd0CJSyx2kL5aCRU5WXwULlfRkJuvKRourvEUanroVFMgUG1MrzExz5+/d3L
U287bcyllNcvvAxU4bO5CaGFlAluZYvykqEWD5plh3Jq7reVzUONCYYKUTbOTWT7rlYG3NEG8Eb0
wm2iHgHW1zwlFYO2izkHBX4MuT7HY1tBvPbGMk8ML60V4M62qM2PdQBFZtsnIL3PR2grD0pn++dF
g8icXSrhb24yUSVf1oahlNCxud1OQzC1kgFznujeRDYxE9IsMpabqgnggJW8YGo/IzrqYQEiO+5z
yLoj+BvX0mgltNWtaxBlfQpx35rAEMLoKSHaBMadrPSbsBvnN+DPEFrMiFBQoHdLnT8RXawfpGzi
/rKQmsQ6zscy7jKpLSlXBZlHfmHRlW/L0DFe62qyIEZa9p5GJbmxF7UA+RqtHpBuap7yBzoyswJy
Lvu7Fj4DBTyXRHxqeOZWvgtmgFVZ5zDNL+UyvQWZwUc3E8YFnOxgymg7qdeOoH4DYERFQGUvwuy5
ZQwhmLI9KWcurlc1bHWok6z5EER1pZ20ihGANwZO8ViH9JylNw+hcg2ox20/vgEPnj+5Rm295GFe
FvuxNu1TuGaCAHBzYwazZLPKPzfv/7OG+qdc3VN/X3ZfxuFr822V/vXv/6vutv6g7sYuoPCQOIoJ
1b/qbvGHRDSIUW9VqqEAwnPx77pbN/7AHkNlzU9PB//VjfZX3S3lH2Sp2YIpGrYrQa7cf1J3q6+S
qP+uu0nlRCeBk5V4HogghvW9KjNumKCHdbkNwkwfznOQQmRBiyXNPLb21gsux4TndR8IddAq+PnQ
GutOnEGoDLQ9Mne5eFE6ML7hIT1kZ4GNie+FiUhcX4+OoV2KJEI0ESQMq31zrIOHrAJIuyG0sPjC
/iF6bhl6XKBylmTEW6SCY+KtDSazLIGeR12udbMuce/rXblHDAIovAgGdT6LQmS7QObAyXwXIN1i
bV2RJu6RXLCquZi7hvWuFbfdPUmi9rDJECMyrEuKetkuYLVWlFIRLW/zUs3qxPOQEOA0Tai4E3tl
diNOD7ew/oEL+Al0XLGfCX5bqXvWIF6LOnPrghxeyHwOr5zSIUZ3GcmkhuWtGNJ0STAFT05H1Ogm
Q6thXNowNyj/hz5Zc7Tt1TewvnKY8mhW8NL3Zf9Qp/MIrXEO0JzMTiF2Pdy01httZ7ideVuCYa9n
1j+CucV12rdW4dOXwwkrTahsk17XzQZeMCHwnRA9KryylX6TVPptRRzFrkPZch7Y0La9bs4eZ0ku
MotAN7nsZs1hdT/b+ZdyoCrxOvLdPrhtZWyo4lyxGRt9AJdsJU+5EYJRGDO3j33oL3mwEVXTHCnF
0WalLvhvj4xWzF2SleJlmkUtMfX4DSST8v6THMcO9pazXLV6NILD7qY9Q0Zj10S6fRtXZvUFZS9v
2aYeY7lJZfE4dzI6LNxf8JqRRHxcstx6KazUlV4B5pwgT4d8gp1hYjn2ZEIh68hI/5Ab/SDIcSjL
JTiMesi5spkNpQyvGPveZUNnVL6FzrJ/CuuGbo/OY3ROhUkOOsNSy0Y2vV9Cu2VfkRS5KzdY45FN
VAjSiFjv4Nx5TWzzw2pQddDQtnVa7kRrlnfLbCXnbA9c30rt01BOF2g233o4MMAXeDvNQU2+chYf
w4Hc7oJwLAaMVu9Dw+u2k9OfsnYUGyK6i+fEau7mpmkA5YbC7ytAX2BqQXY1Ve0bKyPbraHjyGEA
MjmSRttA90ad0zDGz4ZDEjJ9riLtY5eJj9TNxr40u3a3jGlKUHmV7UXdn6bK9SUF7Y5q2jjMWbXX
W0WGh7Eti/jQOkrbkPfiblLohBsN0902XcRLOxWPy2w/E7B9TtLzdpnguZkjPH+QKi9sSjaJE1xr
80JKAc2qZ44LZXeZcu8H+ZaqEpTD7JIQAXgUNo16CVFxbOwZzWgEJde3pxUEWtV7p5dXSw23LQo0
YLFTGzL0HePngd/7fArcvZ2HJxdoIOBTS39YoyG6Mjxz3fDJrNWHMYGyh2bqyWUz69dm7sCk7S8r
xt6fqii/wf5zXJKBuZZMGuTRzRkYpcrrKu0qjIIDr+UH9iLAr8IF55cLSbHVRXBPB2TftlV1b1Xj
Jy3vrkZAqRSg53Qm2cEq+wsKwfyepzpbqb4r4bFKbQdhC5QKWC8kUGqaz2Be31IL9BuIOOU2CicG
mCH9dYbwEhaKqZMAnk/JJi4ADAyCYSiVG1imadCZcmTxzrHZYDCVrg5J1j0ZVPu7xLJfYMGnF/Ui
sku8WNdhMYwwS0AjwI52T5SrnBFFXzlbrXPJZLlB72ndNi092Sh2OI0EGSJmetO53SFBWQQrzjq2
wt1iIvgU2eZz4bIZqxJXsMCZHroJLEs+NaTtMPfc2kYbXZD44DFoCbYWTolDyGCUPALD75u6OWM3
ZnIWjAuDNuw8rPXkrFeY+UCaVVubYYuTth9U315XbMIvwSiDOlHseAznNpcWSPcha/ajGh+zLMw/
NKUxedk41bSxKNRiHMAHCa2VMcl06TSZ4bONDVnqwDs36lNHCk2n5+WWfhlGITjlxgyf85Gx/DCa
VxkkqhImPeNRLtOklu4hj2LHj7qhOlhjw2S6JwQaclcan5Nsw85z7j/mpfGpddDr8rDRLqeOap9L
LvM6rbrJYgusrz7dd6xdd4zfQJ0vF+X6oB+zPW5b3ZMtirzURpLIHQXAMdjHprlPe1ke7KjddeUw
eOD79qXl+tnMhhMg5TVBPy+lyM/mEJaxrI/tIrTjUJg3PN/yS7XwnTsH/m4S62S9WtXLXEz3lije
9HY+s81oO9dVCO6xPEEpdvcNe7zdUmg39GohErKGe33SjnltnlVD2z1HA0SzIJ+A3EBbkzrLXTPL
lBct9ZeynK8xRJegaLovKjRn34ni4tzEwUWtDHO6a1ljifB26alRVWv7+eC+aNNyxV7dvCkT68we
FQs+J2Gs4UARKg682lMGUgFzHOdLIayufhOdSO8g9SC3q8OsFAQTDIJfwB0Nc2eUjOo3pRJa+WUi
ZsPklaIgVLp0VvIjDcC8C0JWBFCHJOjWeNeWXT19UUaztOQYdbpsiu2COhNuVchyh+J9ceL1PTY6
maPunB727okGKznqMLw09kPAbGL7Rnfy0q3JyOGNU77pkiio/FjzyNDpkplv2ewuWE5LL47CMfET
PmxL5aS3o34eyzFcnkxRd5PaBjgKHbmfROpm+p5h+2iBjDNKNjH7tusmbR+FbUGqISuye348vRwu
51ATZ2KO3Otprqebto3Fcy24j/yKd4XuUT9Y0fShUURbWweGUwzy0LmQ6tTUS2g9pMSwMNSDAyTp
nE2uoZtM5z7UtqVmEKlxNCEt41DizWtpW+B8AEd8TZhVmD8Gs24I4kTKe0StY6ZdxaIhT+RIPoL4
xPZoHDqW/B3qe158wCBZ1Psz7U49nRJWs9iOAhCh5q0ubfKBAZNNYJS0sE72Fbl2ISkK4djuddJV
mPqQAImyMguMZr7IQX7XjJhkZuX0h3mlHE6vQdfOCpakELl1SgNOr5XmrPHgGUKE9tOFF81lFDRN
e90GouEh21Bd38CvJyPIaOt8P3X0hl7o0kp/KmTz1PEiiO8lZij1AX5pFx5x0FXlc2xyoW4poa4b
rSdqkEQS8PG7oOnCiwgPFWFBjJdGxWtnGSNol0lURSSGtcwFFh4FWUjsYUGUWP+K9niOr0lOYS/Z
gYDLj8EgJoIha8oyQHacdNOMY4hyZTYtd05omfZugIqZXC3km8zONm4aR+260R02RB8E0R5CNDOw
BL3R9FDkensb5DgHiEiyZbO1YexBmBpWk3M0TIwj42yOydGYaM5Jv0iAiyIhtoE7Z7XaR4FIBLe3
Kf2IkjnfajmIfH/Bf1CgTYUQPEZUNEz/4hyRvuFqEJA1ZO8hMrQCuQaaEAuy03zVzGGhdoHI0+wo
q0I3P0ZjB+m1wHyY+lW+tO52wtgMMisewOKhAMMXBz6M5+vSwZ7X7OZROqw8EVUmm9ZJs7O801vA
dHO3b6ZqedADo/rUZ0lPrQYnr3Hj7dRa+n5ME7iNgRa2fkVAgm9EU3d0k9bCE9RpJ+hq5dG2aebT
oR8PizmNR9Td9W3JBNOzZq23Nm27SoQznptAFk/L5OgHlVnRmXB4bPEtta0btWRONszJGGC26cGu
A95jS5ieOxnYVoX5aQe6qrxrMw0anmDk55SVeQESMfvcgXk9SwCxf0wmJU4A4Zq3Yq6pEhU1/mvG
Jv2NRAt2/kLp2rPT99Dqde7yy8nOkq3M4ZBVcbr4KJTpGmTp9NQ9MZllKk92KTFQzwxwMxJmeIwc
Eljjm7zuLt0gYjQCNrEivWzDZivwtLJ2rmuylJ7pWaNt1WikYaCvOUyEa5geCo/w2MRi2lnR/Awr
dzw2aT4fLOZoJCJoDIa0fkq2cciDUQtT+xhiitvN9eAgoSkeee1knjlP1SMTonALpGf02OgTLiJy
9qJZd+72becbmcAflla0J6q3JVRNnjcbCN7Dg9uyVG/mWBHqHaUIfmzzMNXda+vU4a61ovJmHOtr
+Ez5KUSGRU9mKI9swpyiNSOlKVcpDVmOLFJnKnI/xf09umz48MLUwGbaOzNkegYJ2UaeJeSZZHW8
Seo4/pI3ayOr8hJoPCxO2SPYQYedfahD5O36aE4bxAsVSOW1RJ3dftiX+TDTSSb2UQVyuRzztjr2
QaP44sNEgOA8+XyTLt19HT/8zyQGfS9ujr+fxPzJM3s3iln/gb8EwQqOGVeba2Ms5BGEke5fsxhN
Wn+QuCwwwWAcVWxJ/z2KWTlmcG0An+H1hXal44v6axSj1p3q6gAW6I7QAzMl+tfm9/rPEQtL4783
hHGMb+XAjNX5g5jF8OrHqIt0jP//G9NO0k1hb+TRhcZ0+vOUDTiXY8cZXpNuqWxfxLl5bclWL/20
EaRutLkayvOYLdGz5QDqP6ZdC5vim9P314f8B9jo6zIuuva//vmdRPnrZyLRExuR4j/Msd5/pjwv
UM5N4ETnufqQZ5r1qYK37/q2GaRPdFjjvcsk4NGyetwCvz70T208TL84F9TE1ve+9GzUNeY8yUVB
pucudAuIvDmNMqGT4rqbZfT8nx+ObbYSgNEtm7nY+29q5JOBkSS5cMwsoQ6PmvwLd31BdCQxbgN7
wJdfH+8Hxxm/9rfHW6+Gb35tDEl2w7vqgiSNaEvBVB3tGksMBXC0/fWRfnCcrUeC6WKBKgLU9tW7
9c2RorhZQzXTCy0ruotES/NjEs3Db9Jff3ah6CsVZTWaW8w5338dDbxrb7fxBW+ecj8PiXxr6rg5
zTwfj3rQ1c99bY9+k9n6b74d89Mf7hoGq9wuHBUdw3fnsWUUUYCfuwiZVBpeVZgGXqExvHUWy7kt
pn44nzJ38PLU1m6DpKzV5v/h7LpyvURNFPvfI3Nc1UDWFhw/BTRaNZRSIYPT//xegNGwssnAbFm8
jN+fXWKrSJUoowscUtaXXuDjkWJJbibc0xfMerrrX3+nH72proCcBW3L5nBYML87ns7SBNlyeIF/
GJzMVGmPYJ7j6xJk842ja9MnBMntfrZJDRJ9CpwYZAutoBiL+c9X2d8+FX9ym3A7rv/mEiaq7Luf
dygQUIogvOj6TDKTyUw/6HHa9C4BBr/+0j85EmAxmCPCEKv7Y72NvrlN+oY1ax6oE0xA4P4TFriG
jDwc3ahIfn2krzfDf8/cGedzDBwmpCNh+ljd4+8Pldc8yRRUK2gb8q7jVD6pKkXPDUOtPxtVaH9E
ApdUJCXm6edA692JKVk1Pv36Y/zkzjF53/BNV2IP4In3nwJYhVVUtjwhh54JSmR5xaSwNy+A+lbb
nB3vBYKt/OMCuuOYZ2b7G9jMT57v4BCQFfFegWtkrr/HN+c7XyJaFMM4lSGREDosGTjEEcFE6Uwn
JYvw+Otv+7OTzsoNbMeqdBK8Zt8fr3fJr8HwcwL1w6I1b1KLJD9iDM0NS8z+cRyM6dRETv8Qa448
aEFhPDRJ95dX62+v55+d9G8/xXdXGQ/6QPWVfiIJqbrS5zm8dJMAtS7K/xvCS8VNkczDfoZ4vUee
G/3myvvJq4DWVFgruJSniP7dU9om4jAeF8kMLF/O0k63DnIISXH+9an+yZ1k/ikMQ+X0p57s21+2
G5tAVJU8aYHotoE16PsuIvGrBfr1O5TYzw6FKm1FlelfhWPvf1RFvAmcZXmCf5rY3hDNSEkVUpud
ZgyOYhgQsgkS7XiM9Vn3mW+kJysBer0pcqu+U2NZXlpmbVxO2ZgQXWo1zvybk7Hey9/d6yZ+UzZh
Cj6W+D7/3SnaSDOt6STZwJzGpjW3snCzaz0e7f0cRtPtoprwNShV9bsLfr2g3x8ZRZ1pIPrjxaiw
gb8/N8y9SBXW7HNtBgMZZHHih7HZb+3BbvfCQnoeKaxQ3IUo44p4vuEz5EeEXuVOkQuN4Yvm9jdV
wk9uQgl8hLLZMOEnMlp//5mMqR9LCATnZESxvJtJYg3z2P0Q55Xu24Brbxul+oMryb1c5Ch3cW8N
H399df7k5SaZE+jmCm4x2KJ+d16gqi9uiXFMM+L2gqW8OulhEFxaYNzRnaviVjMrcz8x9z4j1gNs
ZmEU6GbG2vvNB/nx4v16JlYmEjsn2/zubkRuaAyyZyOXt8lLYMMEQhx8lGlh+/3AGoZoxanbh11T
H4xaxG+VERiPJgHYwMmN5RhB9qUnNptLZ5zN391ZP7l6dF5Qa6ekUza664Psm8ezjPWcE2icW0Q5
aatelxANYhSPxM/1F3X+ORDkeFFkFRjYh2A788RFrh2U50HZwa0vjWHGufnvVu4nvciPsBFX6sKQ
yualaa3L7/cfKTQZgaazODf6mMGRofLqmgiDxq86ag+8VNnt7LbkC/ft50hfvdtO6TJOK7H6NSFB
9r/5OOvhvru/+DgWnSE/48rNfP9xqrFNkGMZpLyk4b5RAfEDzSTNTT81HQELHdYucy5vJziKvlkV
l8wFzf/44cIZsaBsWyt4D5/r+4+A0MlU6xhZDJ3axXGG6Ez2IkUGa6Sf+tlujjCaP6UoeX/zIvmB
4YgolWU7sD9F7bv2q++PHBdmLzIlz5MC8C8KoXg/hKXaKStjgNy48kkS2fXq5hEP5FTEARkG2VEl
eBN0Tg9WS7f7zbPlxwctMmTOA5REaCp4Z99/oqzQUFotCbtIXGuikVyqKOYJ10lDs/UMdpso3Cjx
DnaAL//X18KP79WVAb4+TTgVq+X4/bG1aDRThLHn2GyS226MZvJP9PT51wf5AU9ngrVBac0BoLSg
DfmuYiKXqtLrJTpf1FxeznY7ILrTyGhrhpjvp8wd+dhqnxCn4wfpZKICrgysPpEx+SQ8LJ/KzoRr
h/sl3P76k/3k1POqERCQXAs0jfvdxZAFVWaTl3bO2dEPUynzS8LjkBaynvbWgNLNXOIS4qb9zaN8
Pa3v70BENdSvXIkgWpHQvD/taQdCHJglUe6pk7HJcpoOj+hQFFs0YFXMVpkQYyZzIfa+X3/jr23d
94cm1IZuV/JW/+Erd2wOzGWKzlmslCej1hBWjeSGWYn82Jbp4HW2rAEOTDfhUNvn4/9h70yW40ay
LPovvUcZ5mGLGMB5ECWK1AYmURLmyTE4gK/vAyq7iwGGMUzV267aVGZWygOAw+H+3r3nSmHtLWVq
9wrHCb9WRHYnGpS6KPi6B8dsbj2tnO9J2RbXRUOzrxmiF6H2n3tiPS6mNEx3Zd14xGu1NGH4yxN7
hfd7cUhpBlTeZbfAUXa1K4W0mLOmOqRWLe9HTkdhO8eIBYTVeNUO81Z0//H9e//CLAO6TBkOIID7
V0+O6VLos2lfgJCIdlHvNvslQOPEB/bIVfFWqrqFqmk54awGUZOUbCVaiwWRa3eDYyJVabBubyZN
yycQ9bHy8PFVvf+gA5cAP4VVwl3W49ULWmZSsOsQFx22ga1HZtoujzV7TyqpfuLS2Kqs5j41Kra8
lAt5blygsXrnGsy4Y5rb6AMys9s3kaVXOOLU8ivt/AmuXzJYqHbDgrZIzcqFUF0ROslvxlCe221o
X+togGPfUrAOqFgi9bN20olJnMcm7ne9PaW3JK0lxZbsPTvIiZIKzyGNVT+JJit+KSOCaBKW9QyT
YF+jHG2b3HiU4NCuBqPzXpBjTDE5kXH9XRtNhzgTcDhyZ7qxJXfoFvMXUfdOgUkw7sHz21p6U/O4
es68XYs1rtcL+H1jgaiLCJsIdU2ev3SRPl8RzS3bbenSt0VOQpY7H1zwzb6kaXiHL4HekV0b/Qsv
v/jd5PN4mSEcRsJdSXJq+7zPf7c1nPBtjNzpV+WAj+aEqv5uy1G/x54KHSauBWbKCLTSj7LTMFQp
2Tyj8aR89T3FlEL0oqKG38iVI48WsgsSgxAb32WZoZno87x1fRi+ymeKAHochNgrIHgnhKNczsQw
E8UJezTxW30spB+FOCJG8tq4eRVolI522jktLEgzKIV/CQ4/Xzp0yKFPeIvHDK4nbdgRS9RpAVam
1N7nsfiK7bsctp7WyWafxlHT7BozBH+jGyl9wYn+UrLRSUKDXNKH1m+izsSFOuT2E6n3nUSIE1Wu
36H/xrcFpsmEqDJNlq91EUoixTXkZaVAHtiSqeRhgVVzRCgItOEBKXbdc3BCiUXa1eTFflvyKdy2
BqnzbVsYhd81cUzEmZEU1cZqrPC2EAP2aYI1ErqySqLfmWGhEP2cDvICMgC+Hm2aiByy9YS2FMwq
fg9q9zzahZhOK/SGWU0DKkQPjaLDBoHT42MJYiVzXyw07SYRZh1zqzWScfC9vBweeRkUJDeqtagF
LEGWjSHM6dxojeKZbRU0I9af8EdvxcuDKYlkIuxuys573RGPLI3juImm0fhM5yd+AoE7il3WjsZP
3PiLMj1uzE8ITfDqhV2VYH6epxE+Ak7tpV6FVo05OlkPkh7TsxuDZt71WdykG+z48jLHjmoFYJ9C
NF/d0GSoZehdXiSxV5GenGHQ9ZW2J844JION0G0nm15qm7g0vymW2EsNPXWQgGxQ/NoBPUVjO0q8
bVTNtbrBHF7Sv2QK9ZdmmlRJEKUOG3RPrxqEwdUIyXoSlsw3yCPZLhXSSyEtIHXMN0TG9f22ASZW
8hgqDwJJlA0/7HRwVB+iXvwN1aXR8bho2O1peUdXplRnzE22io8DvdVz6BUZGcVllN/WbAnjTVIV
uDQjNzavjNyTiHZKCA3nWmUZZ6OYsOwC4yEJC1s60FYCVsUlxqgltIuHPCxav/CHaUdpDTJPdbNt
BPba2kpasCh+qrp7Dl037W6dLpKfrFEHbtkQL4iCiRsZURZww8eyzhLyVLOqgXMk1dpFxJSw3ISy
b7KtaJAlbLFMjy4+Wlcttl0yvBocSJjzh9Z2CMgSifdSTxRRd8TiuvTzaqdwr7KpBqA6IZKnZZhr
bPkRlg2+Gdbuj6gxSfqeKI2/zE4G/15t3M9GakKyIv5CqD58LaUINPwYAh+Ijewzywh43Wh93T7Y
doJzndBBhyY94gODYhlmjV3e9Itxo1622Umi91+SnoyJjSarMqXmnbIv6bVyupkLZf5ikH3Lsjbo
xVmUVrPLqU4qv53EtCZs17CeyJUdlXuEqxyv7ImN9iadWH59QiuG635S9JLlp6ruEXiJhDw0T36F
jiifLV3o19wpSyczzE2/8ACGT1HoqA86TWdjg5xnmKBGg6DaVUVlpjuCHD20PRiQQWh7WlwSRZ44
Dx5n2oX7QC9h02KXvkJNPD97GDwwK5Af1/vGgPbGzyyNhDNX1Gq0rRLZ2P6ApLSAXcWXZUP0hfHT
cmVyDZ8SLOvEFaLdUub4AWd+/bXFffxjAO/1MjpFb+/sWCm+LDqsOzMV3qNim/ImMggQIpK2hLaN
19DufZgsyO+SYuig9k6NVe87WAb3amzVOa4FjyfjOaMFkKM2cbsmEaAo3ISOclehXeYD2OXyDCFs
+lU3B+0XBdnwLqeZhs9RHW34OyxomwZ5Ad01dtpX6Bg0DtcYoJ2AzX3t+gNCQWItXSuMQOeqzW+p
skc8Y+0FiCARHi2q5dzGS4YXrPAHJmW1rXuRVRetZcknCPK2tRuSwcGRTj3oCc9eNmx5r/rufCKA
Q1wSsgE6iBjIndL0Rhzk0M86+AEe7j69LHNkj1j8/LgJ7VtVaVC49WR+FH46qh24MKIF+03hFimT
ngC2K7YulO1TZazFRk4Ka7eFh2/B4ISCXGPiwn+NNG5KfCp8dzfTbApyroXlDef1mJUXc8p2AmhQ
dptIWiu/LNxvZxpfHAzJfzBzeIWyTfyKnyOHyb0V5iIZIb2CJd1AQPDNVIqs2bIlwiPRvOLsstQe
njOUGufyFXfXkORbbsaFgldCqaZ1v7DxXLplJADHo9fvScUDfoajA5Qe7KL+E2duAHvjK2wP5WTx
0toLgs8k1b69ln/QfLlnn6ESB9hHf5UAYuro1kuMj+imm+36Rb5i/oaF+Gcu7D/83NFAQWVBArYK
imofsBg1IM1csIFT3DQsOF76YIAIuQHTAGCwYNfOR+EVPCjCCAjhvPAIVc4k8wWAAql8LYgGyAL1
FV8YyhpZOYZ+EFHSChXzWmP9YWeIvri9A4E/oABX8irDCYkyRGI3xQhPcCPEmV1Wd6ru6xVT0x/z
FANP3FM938Xe3D/aVcjOYmiSmlIaTaldblviqW0QY6O9dKJ0Lxw7/oo8zP5pY1kiiHZg8+OPY6L/
NHtH3ls0C110v6Tz+aYl7PshdDRWwCLKlswN+Ew4bbmDG2I1LcRkQIWp78xTrfqDE2lsi1zDeoqV
JMa0a7sP8xxNDxOFVxIZYyL8lLL2+Ioy4R2/AIWV7NxuHKxNFA/1Zaemgsxcg4o/MbnTL0vAS9p2
ICA+k789fvbcaJEdgU8v/UXpNWB/rcNbkiU1ufeKvgs/NZaIJMsSCCX2WaRXb6SxyAqj1q2HTemk
nrZfttfXCnsFADW4EPj2YBa8d+QUfytwWm07bzavgRq3u1rLuzhgR8+aImWLIdo0VP1G8eQw78PG
y9RNxt/5ple4+bbxqLrjLmX5vbbwC3wmB6doFj1Li2VITsU9EcPk4KhjUgbpRAbzLgptCgHkRoPm
NCsz/BXGavGpzh0EP2aJ27+L3ExukanynTRYPtE8J0phE6k6IWBLFaf29mBQlHhv5lLTdrqaZTMb
3R4ABymu7mYM2yLbFtXA45u8otOuvcwEwVN7JsmzpHmbKBr6ucz8aQ6thzIn17aO+bdQiY6liWu2
7Z6HOFWEbyLFKi7dMJrmjYBQpW0ojlo/06lKcfWPRULhmGeytaEc/WC766ngcmVU7nHpUfgZahzd
LNhuBYyxM50neAgUBUgmLD6rTYFTEPds3u5wO0/ZDn9J9LVOpHZN+3j+BsU9ezS70rhAxIVWqgZG
+QmziTtsqqHtA3vMnAVfPTdsf6ZhCmzKpuGZMbSfhyr1AkMRBbpPXBFVYAhElSVbL+N65Obc905K
kGOdWO4V31vz1WSKaHcL5KhnL5QOBV5GmhvVp3oWw+fSjFTb5zg9YzyTWfcDjObwPOXl9AktKhL6
0uuQ/SkjKUFbrCmdfcbyGrL1mzQ126CNbS5pw8AH8yg38/SnGtVSOprjT5F3TIfYbPEpRFzMrm7b
4dmIhgiYGMyGnyPkEGb0aNT7GnMKN9jowgc8wRVqyXbKbuhI578dgCBYcfDHPVW6NcQ7JdGw9UUa
GcoXCYZ6ucVBNMoz4WSuxvGqadHK4ZIQG7dusmEBTzQUE7HG21ujHoWJlszCJhvH6nRlqiZZsgWe
9GwfAgbCBJCHxdZq0ugXJS2HPHtCXTpIZMr4ZAuAYoEj1fA3QZT6uWVMIZUv1qPnpSlxE8O4T855
CnLH+o4FPtb18dETvNpt3ha3bpSDGBazGcsrAyDaA+4oxzsDrDYCjvEG+3rOVA9hK4QguRnw5HAo
6aMfpGUQJ49EVMdQGSPo8FtzgQIs2tWNK8u0h1lVKHe9bs7o6iJONVsOOfI32TJKvxc4cvINghA5
UqnwnOeSv3M9yab91A65dpeH3BrU/hkcM+yM3lPbs0js67ZzNH8AJp1jD4CnuSH5T3lCr0TIWNzQ
jN5LQy1+Zw5cwCYlfNmfeyfJ2S4BN8fQlCfLJlRz4XJYEaFDhpHP+cZJ2avtCkBJw14prPLCEnRo
98Lq2THj1Zyg47IrXfZ8pIVu2jK2hmtRW6nc2RXRe2R9xt43Uxdlu6P2UiNexGR6G4kI0LYgalj6
qSrqGzSSsMTGPuFMWY3K9IyRuzGWZAS32ssqdT8LOPtij6kn+vJasPl/odx/0cp+U7taQCT/AEZu
vhcARi5/lUv75Q04c/n//9HJmdq/QNkjUiD+Cn0CNc7/kckZBv+EWr9HlVDTqbRTdPqHFIJ+jkos
yQ4m/x5t/UU/9Y9MTllQIXQi+fuqBpAMXv5f6eSWyta/S6+gVpcYJAukJzJ7vJPrsl7IV37iHP7D
GstQ058QZo8Y6oy469jiEmdrffLCTirnCk67X940ISItIdsoV2GlQJ/sTXdWvEAFoDhFmwxC5fT8
5lYeaVQdlgH//EAclQuAGn0D5dTDsrQeOVUdZv3PEQgZ1VMlNPEaclInt2vsayf4eLTDUirNAGqD
OjazJRbAozuw6nsM8yigaGZ4hCIt2qLgzx/ZO9d/VbD9M4qhIh0gBgmR5LrZFccTyDu9TH2QKNy1
Im3P89IZToRqHDYS/hllUcTo9BY919EP75yrVl7k6A0Vcg3dMqZ69cYb4/6stK3oMosVb6fG9S+z
jaYTl3f4yP4Z2KBzRN0WFaa7KoA3jTe00oTGNckoDyZtQtcMQHmvTeJU2/ewcPvPUIi4TJpUGt3D
VVV6LsfaauDRwGZLy01PTA2un+a7VObfqgEG9uPZ8e7CXAKqwNlS3AfQrhmr2eFxRtBSFW9HNkVf
O7NRd67Z/ppsbLsfD7T87H+/lVwWKjGGMB1YtppBP/vw0aXsAIXZgHkMNY3ohTQpdiVuwF1jlxLq
uSwvPRFOJ3p+7+Y+2CL1TwMUpQMT83DQ0BzYV+RJ4lN5pywzy7r/zaElPpULd3ScPxJDOs+vIuS3
zXDg0XSAU8ZhR1A9WXhyYLjW6akG37upweVQi3/97yKTWDW4rTSd9E53Y/gACI/iGoce5VszSKLs
cy3Ma/jcWxLjg5ZzKFbfM6bLWWYP57NaXaM3L3xNVDeGPd99/GiPXT1sKN2CHYWA2lnNIfgUoFTh
xPgp7f5zzUphmAzhqQl0ZKbSzKN/yExC9buWq6BnLFxInDgTpJCgxrWKFqbVQpvYAB7KTgmxjt1r
hA20vJzlc7Lun5jwDhU3Ddlip5Gyx7b6TRvcy9a1Ligxn8rKPT7Y0iElXfF9rCDnLzBbDYNJE2db
MavdvZZUpu1nCinVIb7tU1Pp/eu4NCZRmvGhXNQuq2cWwlkVUuN1HKix3qSx+9Rq7oUHc3KTGTZE
pYBAhARrw9jq2zms561BApAzNA0bL4BTZsSvJTXpMVYqcWJNej+f6JMjnCDaDS2k5i3//I20hMI/
ujGXFkAf9brPT1JBYSBg/3jWvp9PjEIjBYEPXy02uYejEH4bg/N1Yh9ZtT1dwmSMxu1AdxyFbphQ
z/p4uJWsaFkAGc/mlIkygjVwvQAaMlQbStk4dFXRFhfDYFNBrzCL/zZFZUrfMqLoKWV/DdZPQO/f
NZwsvqpxahIkEMrqRFjisZsMXnzZcNEctM1lSr65yeQAEUgHrRECJpaaMyoH/UhqBIWxExd+aqDV
96wCrGTJmIFK+CRnFduEHXCVU6vDu50Bd5ePs7kg51DTmas5o3dSN+2Bu1sCTIdpUBrEenWhYT/K
Me2Tsw5B3XRu0j4a/bCp4Bh9/HiPzSZKsga6RmtZnFaft0rLnSmh4OFnjgLyivVwX+Am3Xr1oJx9
PBSlG57Nwbd0+QrwzDTK0YQZvWbPvXl2amsQ82TgcisjibyGIyyVb4RfbcHiWC4cgMT1PuvmWNg+
iAfOvvqIVpevE2y9n1qouV/gMpQKRTNZDh21OpA9S6tSGdzqB/v7pnwRcdQ7Nx5d2NcGFiIRn/1W
VG+ydG7C566eeu1CyVsqfXCIZbih5jlm94rU4CD3Ip/UT/GY8OEh3aMFrBF1c1gGnOeQ5tDekZmy
1SZr7rZhpc43cT1G5qZP+U0bBepFt/f0vul2w2h3A8DI0QgK1wNEXPdp8jNSIq/blq0S2ZdGRfrh
1tWKLuYndFkWtB4lnaVZWdn0NydjoFlZYQrr1LErAuG5orngPbe+sSEyiqtM5EIPChv6rm9Q8HFI
6zMGmdvUMZ14ARQVHClo+kJak+G1aIEi5fexMkzCuyRJyxTpM/QSDS8Z+PFsANgU4142zyZPI7pl
w9HUndytq0SiP3eqsPuOoLS7q4s8uXfc2sHs11II26YCG9GmScx62ma5Nj9kXtZEgZrWwBF6clm/
DV1R/BRCgalsZGDZQSE79OIGGXp3MIvD56RINb7+fRVGfs/bllzopGq45xpOVqgXhH3Z22Q04mRr
YgeNL+zQSJ4HxVbFJd5YqBhEtEwGwDP2geJJlSYFCmgFynNr5O7sbF1uG/WWAbwSNzgGnBhSSFNM
36FaDEM1KZ0LsOdLRwDcUbrt6zG1t2Ae8oDabEWTm5o5dXfyYb43GWoBP6S1iyk7U7R450V5Ul9S
cJ0eTatweyqZZkH7YQzNs4j6b4jnsyLbF3CIbHjFs0JT/ZqIgtHvwRzAfI778VMsSgjjija5t6nb
ePcE9IzWnnLMnEEfI2ex3QoJT7nyHVkn43UKZRh2BYBxAZA+pZbbMjBsLWacI8XXqMfLipW7q++x
2A7KZjJscdW2CJi27Ic053NpEF70CVOtoOBhUNMIahMGsOd7XTSUj+PYElyiRZ36gIvXhtShA/ej
BwoUMrowTUJC3MsS0a2SnKd8qpJzTjSlfVYoArOxjPsc43HqqneOoqY/EGV08XU1AkbYlkNOLwMU
HQUrrc2hLnJIID0A8SpEdnjMFF2AUtS+NUnqehRk4l8WRLuFBt2O3i4vOWNRZEdWvk31lAAJyzJn
QFTAzUOf9QHbdTbUpbXx9E7t9whjwX/bZTkmMO3c5Y/ELUeVhuzIV5Z/F/LCUTHc1hIqzJkN3cbc
6q07X9HiaYFKYnqItwM6NkSZs9fecparvF1N3iEpnBVAOr9xNCYEVbL8yi6IjfK7MjLrLQqyOoMj
ZsiRw2WiTZsQNYG+scfExbWadPN3zZutr/kEFw9Q4ZCfJxFs7O2APSzbaqpSP8dSSu+ZVvHcfjVD
kD3bTg+zlyZ3Nd4CwO16YEdm6V1WgmbzhQtSy9lpjlOIvYCpBqI8L4xvRFLl2r6pZ741hjc2ACEB
WLzELqSfoJhi9Yz2XVLu6lREsB+czEYmYepw3FqRNg0O58axNzGFFRvYcVHQWsVfEftuihiChn9C
dp9WmU/wc9LfS2agu5E09wlzaBrH8ONCK54A7sDhloUODakwSlYJQmraeNfLYYBlSKBXtlFwi3dB
RQTSp6hfPPy5bWQWoPQ6XYyoMDw2A/ry/BKlSDM9oEfLdHIDiq4xA12PywUeTFlN2wNOV8WuH2jq
0GwYk1sF6m+0iXjP5uxR2h69gDM2/Wxid03Si5qnKOAjdN0vJw0t8VzEtdU1IGgEPm/mIpF1+569
fH83Yi7ASj1X32SU0s4ZQ6tMtw7I7ewiriyzZMUBNryDM6kmhJ5A0VLGjTAKaVtbDiIyMgNPn9Ss
+bM3/P+6338tITf/K6p+V/bb9D++v636Lf/v/zHHmv8C1mWTAOhR4qF+x6bkn7Qc1/wXylOd85+L
SRYuGaXCf8p+gMoQR1EKZNO7nPzfuGM171+ujnMUORxVMIsMupUZ9iNz7OEmE30bfxIVPxOl9bK5
XpefqqbrYOt0IBRaF/iSQaUricnSeHMzThbu/oyCD2rZdLGyc3A63DMjEXJqafOe8wk2/BHfO8ts
nG4TxfB2/7ehli3gmy1emkKpZSkcAuqmL1anedvQDU3eukw9oeTn4bzZTL5eFOcs16KsxUmXo+Dh
SMDWcjPX9T6oKiWC2GUBUh7YVvpZF9fB4OE0KlosfFT92mfpCYMZ9L8z7MhNPfLorMXqwV1dCkPr
R6cRSeTliqRZ1sOhUcFasJ0AkfHxKIf78z9XaTJrOTpysRy0D6+yreNWgxfaB1qtKMjsmuQiIhMI
QRXM4o+HOnZBJn5oZDkWXnFrVaXRZEH6Chl3AQJPN3CMEHJL7P1l3vsy46lNMBmpBnmWvi4iw1uv
I9cJuwDYlHeLBsB5IKzqlET2yLWgI3V0kwKht+RdHd42Wu+4BmqzC2paspcT8NJ7PBTjiTt2eHh7
fTg8F9iDrA+qxYt8OEpFTUtWUsfLopfivNHMzq8b1T3PMW5cgFth/+vE3rZIaJ799bPC5kbjb8Eb
6ra2GlmlVV10bO6Cvp964BYmcYOJPf31ywwFQGfpRNBJ0dpezQiH+lvS8LUOaEgQlMimgSiHxN5o
1HlPVDzfz3MKZCyGJs+MN3rt4As9CztbPdZBA8niYtZ757yobHHTOJTmPr53x4aidmDzPcB7zGQ/
fGodB21zLpKaKa4SQsAhb1MperpXZl3568dEl+nNUKtihdGMk9kVgOecDjlyZWbW5Yj26sQFvZ/s
h6OsKhUD2LcaoEnFYdAyfY/C+XWC+/TE8f3obSOB3NZJndZpox3eNs5oEyKiiGtBg3JmxWygPZIy
twg0khOL3tEL+vdQ65UI2A+xgxEXRNqWe+5E1rwIEH79B9PgzSCrj6LdG2j+cMwFNQVagEA9dASp
aFs0Ap3/8VDLY/533WNZJ3hAhBPgPud1BX56eOtoH4aoC9wqSFtLYHwrrLNE7Yp94hYvrIanUmuP
3j6Yt6wLdA/MpZv59hsM1W+GTuVUqNsTZc9uuNxkCrH0H1/U+1FcdXHtUD3HhcBYh6M0g+KUReGU
QRZ3j/04ZDtEMHL/8SDvJh0tOTZvIGGXfg+f6sNBqg7Zc4gsO+hc3CMk4HY/aYhyGqkFB/qPx3p3
Qa9j4XPSHRekxNo/ydcqrNgp5kE92OP3MAopV3hWUp0YRjssYTMbGIewCo02NP1NOkura6KuXcRl
B6PSzeIbxfaSq3JqcQ/g3L6aRdnfanY8XoMpa66aPNNvM8+1viKEn8H8KG6F/juer52eop0Daf+S
L0D7gAKw/jsj+5/fyU3nQ0OFkpSMw98Z6gTNJ12SB5SzvW+iC60bza6aQIlMZ6umMMv/+v7jcqMf
QxeeVMv1AmPqxMO1kZMHuqY8Tqo0trnqjH87a/GxuLSvGcnkP69ezDf702wuEdqoTR4QVi32Dqak
xcndn7h1r5+rgzeeYRgHBAEqTohSq4Uf+bKhKr1CUY/H9L2G/T1tbcVA1F6abu3XbYp8rpZC3ZRw
MJ/IHfKCBqLkZ1ZyImX1tn5wUShdyalxrqgdqY7fKIPM/GJo5522mJllXZF1o47D37XEl/mpoxWi
HWjS46cxtvo+UnpEqExGYJChLsNX0VVnQpncE2/2u70To9BXIFyNrPDlZHY4u6iEqtijeshTog6f
J4J7NsjLo/002MmlGIS4CuX0y5nj7uHjafa6Nzp8NoxM54Q3XQU5vd4bGjVyIdfu0gBDfTpSR0qN
Bwu07XciD6dkI3sHuZRrG+P9RPe32jY1ySqbus2i+aqmmBvjV2i9b9noNt+i2J6o7FCJAuv38e98
99HgBvEEUJVwl4DPrD4aqG81opuTLJjJNtzKPP1mxaXhlx2ll2k2TjUCjj0PMDNIIRY8Cs7Zw+eR
exEh1DQroXPCbShKq9tZy9FjY3dJGNhZbX4DFGkH9WSXXz6+0vcLL3gZbJ8e7zzcjHW3O9ZFSomv
T4ORnLkdKcn2RidpOvh4lNdXe/XcOXY4DjtZkAWsv4dXSDEGRL/I06BJBRGXuaohUUeN+KltR/PC
SQSORPhLX+Y4DmlwRea5bIbQpBTXjec66o6zj3/QkcsmpZczHc0LVvD1ty2pZk2rKJwFbYGQsZIg
40TSn5pGx0bByalb1Cr4XOv64VUL+iNzn1tJ0MfKuIv0ot5pKYmAf38tb0dZfSs0YlN7JJ9JICf0
Chnfc2T1mXJizTj26vLmutRK6DazgK+WprAyG7efSP+ZBsSMpWo8xElEk8aKrYU87TR9u0HJSQO6
VuzkMyjVfmNWhGbvYdWp54lnVyX/09N/Ekhu/K5HBwLu398JRDDUlVhADdp6h/cbm5SiRaEbB2kv
J1ri7nxn5ka6+3iU5ULXc5mWLFPZ5KzO7TgcJWtmLUqTOQmSrJAX1pJ6SAIRvQgdE9/HQ73frugL
VQXVBhI5FofVULHMW51sm5h4evl7TJ3bNkFVm3fOl7oO96mr//h4vFXDefn+oHgB7UGxil6h6ywz
+s0nOnY1itpg2unkN1lQ9MlEAlIYdduGIzz5r7MMFGF3l2OqgqYHdr+vKyO+41FaXz/+Ke/vMnOa
F4fWrGGyBV19xUlaViePHHZ2hPn82XZTaKEATYmys4sTi8H71f5wqNXiVM1GF6cDQ+lsq/cO7rIz
S+ungIZJdGX3zSnQwanxVl8XzWwHFQNZHKhTme1JIzJ+Jlk2bhA8jv7iTj/x6i6nw8MJy1Nd9nbY
eMD0UDU9eKhQnkTnqVVMxT/UzppMXYKvwFcTBDMN2rVSCpCrTl1uQ0JFnvM01H5//CyPTStusQlq
i02mbS+RbwfTysiUptWYx1GjN/dC9tWjQwAe2aKhQR5VEu8ap8iDfDKzCy9qwl3vxoRb1sOJ0/qx
SYXi0EBWttSnlhz2g98xVnjDcxEHo9So4/HaIfzvhR/ZuXpiLTo6FF0pXikKpRTcDoeCpi7wUEZY
UAXmuRleDnK5yd3ken0KB3RsPi2sF7ZWvC8UEA+H6miluX3uREFDItgFJFq5KwAB79IJVPYU5+mJ
+fT+s0bJlUMU2KtForLexGWDULwmMaIgm+PqshSD9lt1yvJEVer92sco7BmoMiO50de8OOD8ddc2
Kt3sKhy+1jmpZH1kaHvdWVLBOZdta5GeKvkevTRmKJsDtMBUMQ9vJd5Ila1mGQW5odZkbvWSSHdD
nlhwjmyHkGKoKp9ixCdLQuHhMIrijmOOSCwg1qC4z+ZseolYFqAyGOGNLhvngjZ9vDNLnSxzBUnn
APHizjHcwneqcvZPvJ7LArBeICC9mLiNqFJRmTv8OfRoWUDSgltteNVtxg7uEde2whe0bTZemhmf
VLe0BH04o/lVkZ64U4vJPMvCNL0mySs6N4CAnfr2HXsUsFU5qmsQCai3Hv6oQtWkkij0KUXtGb9w
5mFOs9FYnLr45bDz7uIXGiCN5KU4sBpnksbU2iT9BT3z4Uel1zS5hagvyS22Luvers4nT8Tn0KeV
HcF89f08TrhoTjyCo7/C1dHJcBxj97KeEWT39qGjKHtjSucnANYmzW0ir7s4bzdND/C8Gj0gPHOa
3uDeLOlfe9XTxz/iyB2n5ACalcKIy3lgdScGhyWrNl1lX+COvCe8xdq5XiZOTP7lT1ndbxp4LK3o
8bjYtfJzee3IzJTwV+fuUenG9jqJi33ZkDHSqN6JA+exwXi9UHdxsiaKdPU+G0ltzNnQKfsxzfo9
R1Jnx37CurNyBBSs+tmnv7+FdD0A4jmmpTprBWjspa4FDoKLI9FvKzVSb5TEyf5Kh/e6SzNZG3lG
yz2kTHD4avSlZOMEXHLv9NViz0nZC4bjqXLNkQWYUTj+0jTi/VijsWhyxKTLMcogrPQumtxi57XL
u69G7aavyHUUFXTWj2/g8tPXs+PtoKv3IMongXyd0wuEYvO6q2V32XQkSQxtZf5wEESSHeMOQViH
zv7jkY/MfotvJzttCxAS8vbDm0pUJvUcuGR7L4rNQB1Y9eehnoOPRzmyLWAyetQgcQbwui///M0G
O8lsTVpi9PZEveSbkeR1fMoeilV8bZuPhzpyQXzHqOA6HLqXtf1wqCEUWi5j4e3jeHC/EJkxX4q6
kye2VEujfv3E2FaCw6HYxtFw3dIhQksVs8i9vS2McT/aVVzsNKi4JAeM6ouhyXKPiS/5aaduPmOo
g0IEN0K70Wc1CxySWbaIMaK7tjcQzEHOw0FI4KmyaYe5voYz4ZLv0Murj+/Nq9xxNc+w05Ao4sDs
Zi+4ujnQw2AJhIm3t7K8vsFx2hLMpBnCTXy36IuCROoe5QnVzOlTks8mzA8CU18ypco+6ZkV3oGF
BHLZwcwVPgRiAzCOSUDEBrNHH919/GuPTJpl67xUoyj308s4fJINaltb0Xp3rwylBhfCS/CUKPnO
ETje/09DrduOqvQiW+CS25NXMd7ymSCKUx/ldTPO4YlncOKq1k2MCQ1i6FSdu48zt/1Mvrh65tA7
uYIVJP+TqzJopkLUWzpBqxNQj/8cNoTq7ntVAGozamR/aNaF94lYGHv38S088t6Bm6QnTUOVj+m6
6qNQ8RnGSbj7zurmjRK7886TiOD+k1GQuiPp9ZCwrL4BYNnMKRXMCSr3BKwibPXJAylOrCFruOZS
EOBi/j3MauplLvG0Y964ewMZ/2NDKkLQI9wEPar+JrxE+26EVk9NYElE7u0CLyqyt79fmVHVq3S7
WDg98F6H0186uRaaasv0h03n47tAAzpJ68SlHn1sIE2Bhy0oyHVY+Dx7mZZkNTNfS7SAvyLTtSyi
E7uf46MsTEGqytTfV983d0qncChKd0+R/Hc8ki+hlc1wogVy9M3ioL10QDiorSGgPUUczptM96Tp
iWSJlfxRKq4VtHV4quR2aqjV9VSiILvZ5iUml6u4hP3tBR2pbJt0rIvtxzP+2FDoFJaPJ0cn3q3D
aaDbQ7yIftz9oEbVGfyp9oK4XKBosnP+g1eY7gT7gAVFSYzm4VAtTTdqm7zCFekK7OAqFLjucMrl
cGSDhbmNJAgsNfSr7NWqFJJlk5VDymOSg3VBZmZykaNWO4NcZpDo44rLoYzrrx/fxaODssNH1qQC
XHJWL9PQa0o5EAu2h4xV75YO2M4LTVhcXTffUjbuaDUYyYmlfvlD119bjwAErpUDHeMe3k9oW85A
5qy7R1hr32D/NvYkAdekxPfONTDJ/O9XjMW2ylaO6r5h28tb+GaXNWQWmKqOdxkcRomzgZAoaDDN
iSX4yK2kDo53A/Ug4oL1u2wSizCpA6MAQxh2MlLdbcmZYqvVYAdF1jX/zdl5LMmNM+36hg4jaEC3
JavINlKrNdJII20YsvTegOTV/w97c1SsimboW8wsRjFCAQQSiczX/Nu6eI+//v1u1Q7o11B5RrOf
Csx+b0Kgb9A64wOSMGQlrUm9f4/QUVUHFm7deBURI0WDvHDcN1bQpFtHTWJfgpLchpwlbzn4RTfO
JWAyGJOgMsmd94HTUEexLGgiBy6SLadyGTsfef02QAjgf/mupqkJKngGjPF91iYAaXY5hgZBk3fp
+0ma0BrjyTlIaW/EaOp25Oa0OyDNbPjTP3ePhf05dBmBAZbNHh3VrDylCBr9/X2DsillJhI6SpL7
Jmw8rtgzZ4zS2FR8MWv6hiRHFb6+W25NBR1TqMEU9WFb7g5ebk9qU5QaQr59tp6NpUByyBR/DbXa
PgbKzhvqZXtD7xbMcVc0ubDbDAy363yESRxPOsl48Flu7TPQKAZ+aDaKK+puLgY6Fh3OhXbQ94tz
J5VYe4gUzDYNV+3+/qoh8nPPaFv3jiN+uQPWGCoHGjp20NkIZ1uxlZ4VXiFBlaji4AvdmpWz6RzQ
HhJofO4ugTzRJnudYzsAsdCc1mIo7xrNLk+xIg+Tue2G3IVh2khkc3Q9wdnsC8WaliGvAMwj0Drz
Ps1xx9RrTPni5D9bGWJPie1/Kxe1rbZSiRm9/lVisvL6hrw5XVAmbBRck+g4X64sQk0RJpeuRfQa
q6A2Ub0pc1Gdu9aVBx9xS02vZkt2TOmCEG3v2Yrm7Ax5qS5W0De68hjXpn5qYj3xa9jkb80U4aVZ
Vu0ZIZDpvdP28f9wB3G/mi49Qq6HPfEathksG3QJgwKpL88W1eBPxMqD4HvdWnEFW9TcLgIUMcxN
cuPPYIXTcrWkU4sibO0KT1Ypuoq4rtk/Fa3VH81VE6cGadZzV2f1v6MUU5BWI9Jc2arPB7/lKtjw
UwiaQGVAWdG82/78j1t3bTXYfPNoBQO6fY+I/xUP1qR+fn0DvQjeXnxWqmvIZ258ya3csG8Mymbe
fBgiEQjMr5fz2o4apn5dCfxSncY5cCpt+RkZOdlUqyoQvRpbJk+LuzYYvxlJ0XlSpNp8GiTWiOE0
qO4UTmZf/a6lnZueO8OP87qomR7VsWjx/120fPowd7r6r93TtjtPKCEKrzK1CWkkUCoHYW4Lln/O
DxV0WgLbFU+vjBtid0LixZWNg15zaDtt/bbntYD0qJMKduuq3jUTaYWa6cqv15d1fy5fRqVIBDEU
vAutustv15hxXuoaZAira/tzliNQC4sST4uu78+vD7X9VbsJEoW4jKjqv1wbl0PBuIjQweomsCCl
G0xCT57XVdg+qn3Kc9Jg7Ye6uvNtQHX3gLawX1qqouRMNiko4ZZbcfvzPzaomyjJZhk6gQ8Qy2/q
sj9XtWlOsA9bNA+c+G5e+/nb67PdL+zLmFSeSRG3ge3d+cQPo+p0HFNDAWX0tMYz9kZJ7fjA65aD
jGKfZVOBw/0GUCPBlQBv7IYynUyJjcpqw4hrNCg0pjZiaHuiLjAgTla5B8u5/X1/fshtPEr5bFW8
JtD43i2nntZLOU1jG86V0Yf1rK/3U5y1UCvTfD5ricw8WujW/cy9jU5Yhtfj62u7DzgvP4CHIJpC
9AivjJxaNyucyCracBl6O0f8BC/xUkW+7SCwXe8bbg8aEw7Zx9bB3h0OZ9R4aeiQWlwnjSsMwfTp
x2xNG+UAN/N7RxuNUwmONHx9etdbh2Gpu29sKK7tPctGRDqvR1oyYT4VXwskaP2uaT+umn3EUbqx
jpSLIFxRIqM6tv+QRuNIpdWWOpxJqXFnRjAXD+Dl7q+ng/MXcNatG87TZfeoXmOpWg0mLSG1HvlZ
GpFyT+5dndRKyY/eJNczglYGtZ75QKMA3XZ50lct79xoyTYB5xLhCbvXPIoxxen1GV0fODB7yArx
4iC/uOLTqDWmpxQRyrCNYS6jlC18mmuhFHAde+RI/3q7M9zWzeJTsef3BX3UN5q84qUXKvXk+oCG
4qDI5yMo8I1J8XA1iVQGJ4sofbV02VomZh2OVv7ZKlfDz3Jx1w+47kpFnw6W8MaH4iPjDqBv0DII
XZejDemA2QGCc2E3q+t7Y6iXQLrq38JqtwcWakVAmxBaoOK//Yo/Ar+INkOnVqtDnIrFG1lo8yej
Vo9UmK7PK6NQEcC7BcIYMfhylGKplk32EKrBqkYBDCjK9BpSO3Np9AcR6day0WQEgMZLCLWZ3YQy
deO7KmodTk03eir4P/r04/qXKey2bOxuACw6D2Jrn4ooFLLNYi6gaUip+XqzDhAOlKPG260NB/EW
sC1psgtI6XLZ3LkmCjQuwuF56/yXLL12HhfXOufuhFy/3UYHCdattXvhpXFrUJ/fY1GLERP4Vl+r
cMzoWjn4l/tlovwPh5WNALaDPU0Z8SWN/WPLIcom9UoWVViDLULuuQC3b9X2QUi4seVoCEGYgCjA
ZezutpwhVHyCUSoOEzmVdzwyEKxi2QCcDu7BUFetAHYDD0ebsgvox82Z8vI7NcWQlgoSqSEVWkyB
MgeQsvGZXu33Lil+l8X0iAbBh3pxH5u0O2gL3/hm29Wx2Y1aBMB9hQH3t0JSXKhDd4wXP9OmBsRp
dTTFW6tJJQw2Mo9j3KD0yxnqhMU+EjWj1EhwdgMBFq/R96nTHYW969SJ4j/KCLyXbA3Y9W4kd20t
BTJEHQJDT9COGE3P6Y0Ruds+ezLWWPdr8B13wD7jf1p8Eg+u4lvLSU+fbgckTSjau/ABpddu2jGt
Q7t2F2zQdTOgGToc7JgbB5sOxCbgBuIbSMlukiQapWpOsJSSweyfs1UB5J2uouUlk+PhUOXqkd/m
daLm0JKERWRttC+eUZcfMNfQVp+Iw2HRL+0j70Nef3Et3nYaFrjeClvYA2DQHolP3TwaeEBuCk3m
RjzZZcLmHPeVgrpEKOeV5tSYKv+idZCjB6GLH3MtUm8cE+N5SKvuQSdT/DSC8jm4Em7M3QQlx3VA
skj/cfsafwScVJRSG1UXuf/BVR4yjFzeCpWad28O8EczfXoLIuBvMQbEBDB62+2gUvaDvXw5KIT3
oZP4FIQdyLG7JU9cz1bi4e+3q0mOv5GTOCrcR5ejpERrxyz1MlTbJX6/Js1wUqgsnF/P5rZ75vI5
41BGITlgr27fcfd8Smy7QvRClmHUDuk7jC70d/BVq9PcDwliIptoSZsoqAuP8en1kW/EHZNn2wa9
NngX77GiQznqmdG1ZYhlYeupPJS83FjqYNVVefBme2l1X82ShxOnH74JydDlWvJfAQ/JpgwVy/qh
NdUbUxneDlh7ZEX3rA/TnSVLl4zCuW+XzUolQ1MsvsPu+fPrc74RgihLkzNTiATbsC9/6yiQVAOX
VjiOHRGwrDB1QfD7YOfcWFk4wLz2t5cU8OddCMLkuEJGZy1CRVrdXSSJpJWcPitKuRx8wxvBjgXl
1bHhnCmC79Z1WAqlwgmu4DG82b3Yo3MCxeIt6RyU1V+3xDl3G5GOzUqCQR6zS9KNaNbGobHzECNu
9VS0VfdFYOVwIJ16I6RsjyiIK1y6LoXwy71S2rFMDQ15LNPN56/JrPfnBaEtr54z96FoJ+0hm2Ks
M17fGXtPuq3tsuXoyKaih0BiuItkCc4QVQJvIwSSWktPGfMiLGHs3NmFNYRZFstzVC461maldoKT
QMtZ6YpA9oJerYlZR9ysRohgvn2QhVz13vhl3Gb0fLeX99bquFwQFMm5tBPyq9qoJzTrIxtZpCoG
+uO+cUT2FEVpGuhq/M5OyjdZJZ/K1tG9zJx/vr5ENw4PmA/qhCSYJM57zFXWVWLC3iDnEA/aw9i7
bbAs43QQEG+OAvCW1h57gOv0craUGufRrJQsFK3sQURb3UM0mD9en8qNEwqhcfvUoKE3sZjLQfqq
cBqxWFkYgbY7zUmyIrUPR2p0x4ORbpxQWjpsZLqUHJ496NqYgd+u2ZKF1rzmfpwS4nobFyGP5H/9
jGL40XvwqjbPdoEupQHB2BCFzHI/N/yTphTWm7Om8YNpzBVeSLGSfpBDbIYNcl4nZU67U184OGAs
S/LY4UDgr1ZaHuzcW58S1ZyNT2xuPa3tz/9IDrZkadaiMsPjfeowEkXPXQFceQDZv/Utqcyj2kvb
Ax+y3fFwMNstklrNYN7WMXpNU3tyQdScFlGpB6HpekIvBVwqB+5LCXIXANUlEdKOyjKEg6Xci2j+
3kuh3h/sze35dHlZMooNy56Lmeb2fkJVGxlI+Sdl2FQofGA306Tte0Eut+B34US9X8l6iM55Mjux
J6emR7KK6uC7DVEPRjaS63fKvwWGJyDHdWpCNMROiZi792qf9zPBo26+I4IV/8yRU4SFq5TR8Lha
/bicMIofLb8Ebv8TU5j0oyy7+X6py+U8qXr3Ls9kZ3iKZvQioKlRlaG0F5TcjLSY6juFCPhJHXpZ
hz3qWT4Du6cl0oyvrQHgBEUCozw3Vqt+SyNZ/FIWoS4ne8COwXc6V/2etMqinYdijDBiNdf2rDd1
uXpTboPe1AWeXqLq7PQg4NzIo1lvnl6Egg2Kuy+0LipOloNuwBDHt+/z1LnWlzYzFd/RlO59Uyba
W60UTgBEUX+wKzU64S/wtw1ZMll+A3VDoHsk0/s3BE/QQl8ykyvHWuNg1rGOQ1279waBJubr++vW
Jt42Fg0tBtT3qgejzEe1d1E90FsrOddLlJ94g//9Y8+lUE/fHHEDSGD67lGEsqVZtW5XhEkeGXdm
KaenAmrdwdm/NRfySXjlmyITTfrLCCPinCVdJSSupv6oTvApIhz4DrLX6wCDcMwfg+ymkuhLmuQL
g+QpviR95uRhk1qJT+/8iOR0cygeknSMqO5e8Q+reB1ru5sKPIjVHoJYGwURgFUP070jx/nri4lZ
gdZ5qenSpNiFzRW0zqJaBR+oa6qHvhnQ6E5q3O0LlPESdDHnI9LLdWLHiNzpFHS2J9U+fcwivOZQ
iixCs+2NtzZVfx+9R/vUObXub+IswZQZf1+rYlDqrxvvCbjLPq3L881Hx02K0JpS+TBh3kg/Nm24
hJejhs2NzQjBhA3Pe44O8Z5N48xIE1eVm4dLWsq3Ralb3/LWRoL6r88vlyl1N9qmFC6N3SVko8Gq
qp3BMKYun/S+7r8gPVke3EI3PhYniiyCtwXUyT0cqS9L8n+oJGFW42eWNK1236aqNvvQqrW3ckKg
deps5wCyd3NUk8ucRxPA/n3uDysSv9Z2ycMYdlrQCqP1tWHOnqwoVwMUbLNP1uqa4f+woBZfjIrm
VtbclTNRwta3wlQeDo023aUu4qCtjbXX/zAKu2LLNzemxy6KsJRC6+shD+Xaxm/mJipKjCWn+iAi
bsd2lzzgjfD/h9k26R851zIklpgR3wvNwcnuLfJc20NNGPHQPA/ctMcBN9vkiZcycR4wPzoycr/x
BQ1uUnRySPzA/Gz1jj/G7yt9iTDVy0L834anCZEvfxZxiyvdiMZpL7p73DDjT6+v7Y0nEl1Eaqe8
4lATI6G/HDXtlzJr2hYtC3NK2zMXjfuUNp0dJFFv/JaO0/2YOtV+JK2aPF3N5rtEUVBRheX4Vi3z
6GBH3QjjNAEBx1iOIBvfI/9LYqc+K00WQm2XPpzL4lxhXnVqEyM5OKc3gg6ahJuyCZsXiO4uGpRO
tOjFzKOMrGJAWLjNz5gzHeVItyZkb/UpQUK6AQgv11ekaqdGMC/DKE9gdK9rE1Rq5rw1THnUCbw5
oRf7Evh6W/3kcii7ViMNb13WrnW/4oBXPahpckT4urVLAUZAKOYOBKu1O4zjnEB6cfQsxEU1BTbe
zuemWjB9TRbFT2LLugfyefQyuzUzqsRkXJTh6UTvkpUsKmvckHmoNFOE15qjy3/mqW7/ff0s3LjX
aQdyyb4USd39owtps0joJQ9O20zluzyOu+cqi9A3GfFV8xGaNw8izq1puTBZ6abBmwZNePnBMNJr
hinuKJxgWxmaisAbflGPlAlvZembXZNAApHCr7avPhSKWk4in7IQ+WL5oOIsdi9LLX1jNGP+HMdQ
tklkinsQ5em3vl/NIE5KnDJfX9wb54ClRWMNhSzKIHuhtT7rQTuvMXHGWcUnV8lSr1URruii6YhO
cWNZOWwmDRsmLa50+kc5ytkplzSsarX65qaC3dm71en1Cd0ahWyM5pkB591xdndfpksw3EuOWIyi
fW1LgJlGi1LB64PcWjWgHhstiYuBUuVuh6C+GOdVkoZzHis+ZT2MJDVr8UrdGA7mc3Mo8j3L3lD4
V3yacpWV1TV2EmqJ8qWN5+iUSv1ZUbLof9gJIDx4p7NoW6Xlck7cfs202AjT1LaFqfvSq2djxjtU
w9r6/Pry3fxG6BJTeqMffqXHIlBcQVhBRwNHtNT/OiCsQsF24/VRbiQOiE9RbrXpu2/w1csJZZ05
lTqQv5A+ILIRsCeiNLCb3OrPfNP5LBfLRswcAMyKfQAkDx7jinnAIboKXrx9qHxsnZ2NE7t/m24Q
0iHuOV+IaNbv0inD9hLwrkemaJ/KsooOKvVXS7uNB9h+K61uHKxdSHYHrUPyqsrCCfX0wFXl6Dli
ODLNuTEK/QCGok+2VZm3P/8jJxIWqro8uNNQc+WPVhmnk4oB78Gz4IXhd5H5kaZS8+NdQJ1xM7C7
HEWdO0rIaZuGCrUEzErTHkyIgtxdkfTGP07q5k+WxMdWF50S2pk2YlDU6eVbGwdgzC/7vMTdcRqD
tY97r2hRfe0QsUei3l6CwlSUU5cmpp+046r4ttEuz8qSWp9e34RXx3ebg7uVYcjiEEDerVSJsmSn
D6yUSIa+P7UtJsJejYN76s0ktKfXR3vxDrpcMqjKHCha4jZN4z2rRaQCK3VFosyi62g84AiHoXdE
ifRBpXYSPfT2BrotOgzUZTS3P7t1iZ+wHqpRrllqxXMwKHmAtF39TCxDCetl8wLusV16i8HE9JTk
Ij6P2JK8rVeJdx8nF5NfXfcxYhD3w5A5YTWp3V0phXHfRso3UNVHfPrrvccUkXaATgn1iih/uStS
Ta00kBGIOdWF+bTkPbL7okkPztEL62i/kuhigwWxIWTAmbwcxsqMWMPnOwkjHQvOcdUDtdH/SdoB
4Lv7qR/1R2FHzyjxFZ4oRcCr+N4VxYR3Q+fjj/A8V9PHCKtkT6pS9TrZBW0x4kCPXE9tzAcFnes1
2SpSGzeFBBPg4e6kwP52FUGzMRC4uU9eVYuy9WBaKAf76zqaMc72AABAArtzn7LEOZIZCBg4QRmt
xofUzqrvNWX/kl59Uf6zUsU9GPDWxDZaB81N0GD8c/kV8t6eu5GrIYjcSbl3M95dxpwUf5vwgZvb
0A4bt27rHu+2lOmmsBJpdkBx6OS9GIf0tCnt/S9zAStCgr5VA/accMuoh7UpmUs2LMnbWG2l15R5
evB8ug44JFngibdnIxn3npiYODrOzhJmyNA2mKu3mH879a8KgMrBdG7shS2bA6CHyBnlyt0BGYx4
qJPesYIqjpdH2RabP4vN22My5b/tYh2d+9vjcdds+EMQ4LubLRXmULZkWUEJu+erxCE0sEpEoLC1
yc6y1syDyH1j621EPACp3Ntw0Hdnas2rQUPXywocfdAfo8TMztSM5uD1iH3zc5EKgROFvIZ0+OUG
3wyEkC/bZmWAHkrApNz1Bn5Q5mIdEepvLSB3EYFzQ7oBV7ocylgcpAeNFYoL1d+HdW2Nd9NMv2N9
Y3ZZc7ANr1dvkw9EBojOOkF0j8waUrOujSg1gk5fLA8jJj6UVIyDFO969bY2HC1ViqFcdnsrvToz
15lh9AC7oe+rlWu+SZ026KCcHNTxbs1n014jO+ZRCEr+cvGGdiqICLoedK6CC+lgjqcyLqK/DkTM
B/AriTGfievtchQs4FQZY55DGxof8DQftX+VXhs//u2eAwZEewbUGsVQeKCXo7hIUCZ1JPWgWZA/
RIsmDbLGVD/0uhkdDHVj2bg7N5It+AMN973LoVaBGHLtzDp5d3vfT8J8HEv7SAjw5iB8HED+OO7S
17gcZG4jFYliBrGwXKfabzsPqVSOukzXJbkt62BHk3pssIp9VRXLJzRey1ILVqfqPnbJUCC0oiIr
+V4RJPbPWiT73svVJt9cuapmc8hy1Pi+XvsVoakV2c/zapnTUWC8nj5Z0As8EEDnxj+4nL4al4NM
4VYEIrbyXwWgS/r/anvQKb6OHpTNVSrZG/2Vtv+uKOKWS9kXZqWyyPTXHGdBZh6nqClpm81BuTs4
2TeHg85JZ3rTMt8raUPNgulSxmrAgVnvq0boQWqhzRRPZeLNanmky3q1iBsHhwSA3Ib7E7z+5SJO
USo6UQkzEJPlekD6q7O6iiM1w6tZMQowUW5lnmawDXdRpFFXBOhGxwz6Jf0ppsH2u34RyAcMPxTF
LA/enrfmRJGCp4BlbGWX3eGbmzTr2041g7kReNenUXOOXaM4iPS35gTujKQT6DQFiu1X/PEWbGEq
po0iROAmVhzOLl0AMa3yvm9sYKMiOZLhvBKffyHeOkQvUCi8qfZdt3SkbTOilxpkbUQnsVmnIcI/
pC86f20FcAAhmiahNK2j747ntm56bRfLT5hxmNkJ6bm68Y1J10ffSeSgnYtaUwwujrYevFEOgLIL
2SxHTa4tdF+8J2gd8HAByw4hhOb87pSOGZlUprUi6OJi/lwBujgv2LydDIz6GLB33szABg6e0Ncx
62VUVIapgGxk0t2FMs7Oqtox75N4TYqnepncRxexj0encKa7pMU+wsutWp7MuFEq1sByAgqB9RN+
29H3ybDGu9evnhtbksIGeDSI05uY8+6Yxeg8TCKDqO9WiXhaUBHy1GLp//YaZdZI7iByQl118y65
3JKUywbsZQbUMQaxvBGysahi2frfHy8gFtwH2qbETRV3N4qhp4h/5CJYMOHwzQkF7FGww15fsVv7
BhUFQIoa+SFayZej6JWa24Z0jABjhzryS6eYT5oLUcrrrKW740kk7qno/XXrdyt9QzCDFIPdO9j6
y2Hn3F60wiB/U2gkeoARIOwObnewhDcm5+j0sInwREMC7+UoshKj2o6qHohN2dvVGOeM2Jp2iiT3
uZcSFD2QCcOn19d0C7O7s4j6ATsEVBIZ9V74z1oKgd7mQsKgzdh1LnPxMZMzjoPN4lDSisZz7UTq
+8hZfr8+8PaxrgfemiWwPzZVzsv5tpqNbjmxh6x47M/DVI5POdr098toaQcn7aVAsR8LbYDtBUPM
Qb3icqy8G9NmHBctqFIVnnWXNIWPAlvPrOdGyU8RJbcficjME4ht50yTejxbmZ0JX6z1cEZSrnvg
yrD9bKDo02dCe+wopT8UcYL3iz0g96vQNXPHOn1sOSVesujYz6Za0x9Upm8EDRqvoHQJHHTw97Qz
F4Uule+jBa7ZWXfKnGd+ROPk4KDdHAUZEZ0RNjLJbr36UqhUUQYtUKzuXddH9vMQZdrBztv+kt1H
4Yrcwj8jcBfsEoC6p6A5q6MWpMpK1E2n725T6kiOTfdLz1v99e12c0rkhDZdQaoBe3B4lRrJGPWN
FgwYoXjqYNj3+YpB1eujvNjE7SdFiZ0bmVhIPX83qQpvoK6YGzVQKxPHUhjS3ReMxSgLUg1xvit5
mXyqEz1L/dlAy4164iz7oJgoVHpxNqpQIx2t/90ac9Tg9Dkqvwy7X7/JqJtyb3byVJyhRHQp5tzC
LPwOnHUaIubH5VWIccWiNHKtb2bZuO5JGAu6ZvwL8m1taBOe30ZkVF6aieprKSPnp0tn75fGG/jj
JBz57zwoqQC2Y4gvWDfkswfL2/ws4h4KATQYHJpVWHugW3UHCFshYnX2S6Ru/3HySXV8LE1oj8Dv
rD8Uqcy/xF07x74hSn3yJ7VeO19rHCxaQSEWg8cPX8zz/3Nq206cvtKCKSoyC0dXQMKeWjvV94NP
c7XdwM4SYCk6cdnCrr6MAa5TNCvgJzXgaWaf9blovFlJcS/u5yMVp2tGBC9JaqWg9je1Yew3LsdS
zbHLexxeg4THUOvz7lvvebZX3L1lmXb3c5dh4YsHeTaeijG2PmE+0nzXa1k+jmkVjf5SSKqkIq/q
H3+9CpvIEw0YpI7YqLv9Oc9tk9VQl8BrtrrvQoo80UDUPL1pjwrw1wGeu3ozAgFjQ5DfK2YR+2K3
M5M16CINM1wov4GiOhLM4HS04Nd3J0NtD3husg2QvHuQjeqgDE5tLkhvRrw7tTZq3murWMCUilh5
RrwLG554MdCxen05r6MKlQmU42gWojsBYOvyQ5uDWSSRmJdgke76kNfRb9eU6kFmwK653rtcWlvO
ulEzYBxfDtOs1dDNmosldC1z9651h0U5l9g752cjWuavwmzBD+MCbtSeNbjWpyl1MpV1kBbo27aP
olNSz4V2mswy0z2Eb3HLTgejTT1Nk5hez25j6mcu/1mcE3NuP87uWie+jNI5A6OMLsMd1oHUrNoS
s+EgLnr46CY6xOeqiBbjbpVJk/tzT7nVI+CjiIJnQBb7aUTh66kpS4xQlrXAELo09fi/dpkcTNSd
KXFObtU4b4ChxeLOilvQpHZXu16TS/2jOo5t7E2yVMhCoiyezpPVlfk5isv0vQWKGBNwO3YG/0XY
/RSNarxNupO5v8mvbn1OLSpOhrZYjadHevlfugzRB7D6xfvJia2fbTQqH0ClqTmiZ432wW417fNo
jI7izZ1TjNg51byx2742LYDBunwrCk0HMWzO7rtq7OrIc3M7M/1lqe056JO2QMzYVtb6TYlSEH3V
tYbMMqXKGNN1c3iQtY3jpk+8v0o1WCdteKZ23cP5WBP133ZyitTPG2PKkb1Yy9JbU7OMvNRAaiNs
rSbBM9vQo+xEP1D7R8guNc6y0Pvmrky68ZNhJsY3mqEDAh0b6jvtrOnJUpSk8JyYU/NvlDb9Y5qs
+npuhSuTjRhWG+FQN1XlO2q+uaTPpeMJMxa/3S6yTARwzAVsmUhiA5ewRXs3SUKsl6dS/YQXi+gC
cpDYPbNVuvdFrUw1mvoa9knaqg/URazEHTx7yZS7vqUD6SHqqERE+XX5kvd5y6I5Cuc0GZUFN62m
5z02uQ1nOE1pJ7mRMf5wIlN8V0ZrQByjtNOHlf/7+xS32FW3nUPSJte8f0OFZDWCpp+Mj9PkFiM5
mJoMnPpYur6lz7qF0daY/K6MWrzRTZk+0ztEyQHf8vS5IB39x4nbgrzQtavpNLQOVXs105of3Srx
MRrtQjI1pY9qn2AnkRYfjelhc7b+ngMLoLlF8Y+Zle4qznEWL7+bLjc/6HKybKTVdY0u1GAt8iRt
Mn0f01SqjljgJASp2hnXO3A2felHQ6w+T5YCT92iZc/dIeP0XENpvy8dBw95jGKa33ptRl9R+2m/
VA4MQ6/nVfS+p+Bt+LrLUxJAv9a97a139hS/adMm+iibVvnNg6nP/XYa+8pHeNX+JSEOfMmyUdfC
zi3EEuiTUZaPhSVYbJlm3Q/YSWaFUV3iJIE+Jnnqdc6UPVUgbDPfFovzrWnb6VdKheU9ixNBF2AP
zb6K9umv2k1G24dkrlSexD3zG9rz48dlkWoT4qWNrpS03Wk4GaVm1P6IknPkrU2efaR8mBa+Sn9L
8yqI9d97l1rHecGn0jyNS8QGyQsz+o//LQXXNUrLy2OZJX5qtvYZ4J9FSm4q9j+DsqAaZ2a54xla
PzwXRoNAF86aNruyTzbx9tTlE/SVnTSeARz10ZV61N5HyJFPASfKfYcdu4NL2LzQGxda3cVeb+k0
FVPE72yP0pj8SCq0dh5fUGbkT5rx6NTW8o9RZqovMwNirlQX8dCursae1RJHPvS6bGC28gQafIRV
49JjghKzONvqHxXTSt9H1jBXp7wqTAxVJlV8iJKofG8lbW/xCWsNLy9r0O5Miv7PtWvB/LFplJBe
IV3TnnuB14DiDhUAuDF9syKC+rEVurYGlt2Y7UOF3VwLUkeBF9JJQqmfTnnyZrNvYW8Iac1BzWmb
gnUe6iqcxqypKGZVTnWXN90EbCQtwXzOdf9fQRW/9xO6iqETxYKA21TouZe9NN84Ywclu9Bb7UkF
5WT5sszGt1rbo+lVYnwYYmVJFK1w1Esf8ESOB4xGEqmFpjURM1uYIh+7PCt+JLoi49BMnTkOhimr
0rBAvIp3EHmtEaamdMlRm4TQlMVp85UBZsqWCekJ9FNX+4ADRk5HulPIBDoysQrkqrLkPnrs+ue1
xC807MbJVu8weNUTz+Qr5nyYFI7N7Jaz6Rlj5NQe3Mbhv9JJVaQKMhVyTGWL9T8sqnE5W8tBf+/o
eXFvjDT8vVS29ewZBgz8c2bHaX8XEYzVkx6PtoKiWm1/iFEAtzyXO+ttx6GzH2y7UVQ0wkVReHpW
Fb8KvOwR6kIl6Asd7+6xRr81AmuldZQxG5s8fFmb5TlyV2XCDqYqieFdZM6enWVQpzNFVK3fo0l9
X+Br79W8BsKxtVV/jYc30I7654mvz11ELpd5OoZffWA2zcQSoPiA71e8eVTSFB6fRTrHmQfaK/7S
m0o5+mY3AYCnJZU9qKPZ/KwpsfGAM0cz8zKhkmGTByvNqcgqsuBoWVrNixurTk/LYitvxhJ5T4oq
ZvLFEIP1dl1amYYESmM+NYrOfZZomeLZboZJ4liKlnjZZvOzOWb9l7KOito3ajtdiKVmDllKak10
WsFp5F4tpTmdODCFe47Lafi20n4IkZRenAeZpPld23F1nDKbJPVbbubWek5zGWv3SaUkX211Es2p
kZM2+jSm0rvaysbzMKd10KcN3Cth5K3mV0tTvmEtM95had3XfroqcePraNU9rQV00+9imSmwjvlg
fWw60/iVuBYMV6svpHouBgdN+IrJjl6mcV17qtMRHoba6t/lXdf+GlouuhAxQRBbRh8tPO4Iu/2v
WI4Ot5JKXbaK1OWzZszlr2nVdLKDtlvEx3xS5I+h+5kUgZaV60+MmJ0vc7FWZHQN1d85GkBn6MAI
HE+ZbKs98d1M2p8YQ75vR2f4MYzF9LlG07rwWji7n9LZnn7yPiG9ayytkd6i96R3ApXA4sOWnrxP
xkVJwqlIkIB0cb+aPBD98DE6cxiljwjGnPjrvMKxUd10+th1uv25cczhv9xJ+/Hp/9g7r+a8jTZN
/xWXjwca5DA131e1AN7IHBSoExRFUcip0Yi/fi/Qsi1Ssjjao92qddmqkhmAt9Hofvp+7oDEv3pA
+ZvbgdtpjvDLSBHnztSlXyxZ6R90w2xEEJtR9IWFja25001gF1JUy9jn91TXvVlpb3O1dG6GdlYh
wpQKjux0/os2nFJKsJC3sfAOVFH2tMlrbTrYC9MJFu06e3JkAriNJChG3Vg6V6Rn5YU/JU2CehKT
rCu1Low4HBVZ3TVRbj3m6PEoorPBe6tYemKg4rfKxy7ylItKzNVZNmrTJh20fN5UmijX8IK0vy/L
un2YW4kkq4yiZrkdUaQxJdIpualHj6LdiXPNIbAQoaA/RBgK8hnyGUFwVedvGbB8OA44o7xLaiUt
EDTUSnO+tEJTwkEFoAwd1vvGB7diQ8ry1HJ2jaaBW+KrEFthEUs95aDSldmFOtpz/bZLWTSCThjm
EuaTCtWRlUBeYSQumqDynFn6JVP1vBJCvUKSbpMsoY4sb1Re1ew3IKGlryVkpPpun3mzn3sY//k0
4ax4r3vEuhH3NonUp6Hb9JtcuvE7AmO9zzU9JlhzzpQsvoT7dpO3Nik40laVjyUJJAuVdJFcjzq7
qJ+mIFGTMKPF1xNYMv5Ux3XtKxGPk9exiqujJbUpISdiMM5LDHL1XWf36ZdJVj0naz2PQi+bSgeJ
17SePTJDkwEpEU0fCDw1leNI/lSKKYOb3GZOMZisf7MyvSPBdx72nrvIeVNyCiQOUbVbGtJkjLLN
eLpigWDafbO1oyWt9i18/lNdSDmHuZEBFy+Fl2+jVK87jOQM68uaskwpOlaudaj7evoM0dJpjqVp
xMLvFCcCmtHjMsiRGXwwjJo3KZcOG0kt+qm70MnsLfex6AsvEKOV5qE2LdO7ypD9fQQFMQ7yfki6
QB9lc596qYgDGIrOQ5UtxJ72VbXYvlvw/IKUGGvLNxUp3kuV5hhUqdK9L+oeuz20pOBNZWnFp9iu
t8pGlbaWbYyuSQh2Y2c2/AlaeBwWdqbGobLEA8OzpKs/X5wv5W7QSxQLujNkKbkkWHnsbKfAjmK0
e1DXOKuN8RzfiGq8HDrHfqs4WMcE2ihZtVU1dfaDNPrOVyMX1ArvWAzr0IfM8EXBwQIrHlp133aF
od8VhIX050rXNW6ATVF1lsxxWx+8fE7OS+oE2+/zyqx8zqHyDtsdeSk0Isj9aamtLPAUitGANxu5
2mLpfRRUHDNqChYayb7bzhlVe1bkNzguFYbfD5VHKGbXd6NvY7Rc0YPwunEnedzuLvVIugjcOBmS
E70yvPmEyogkBafR3EPRNipstApP1aDIHHFTaHn/pcpZEcMxn9vrkQ7RVdnn1PxZzPHwJIu6grUD
VQERXU0tk1OlUcTku7NoBvIhyxxX7HTijZuSsRY+7jvmPVLwLglz22oup4mMkb1CGbDLczqIm3pQ
o49zzkiHgtIuD1zZqldN31I0GqNaZ5uhHxSxDo3TX4E/114o8152vrt4reFnlcHASUOPG+pJte6p
YSYmEhgPbXDIb5Z2kqcsPMdkELKmAomb946iyvSQI9y5c1VcBsJlicUSll5FIHcxzvgcUkHJnexB
PzEOjgjXlLMzPZZ4FRy7weLwOixkZvlowzDfUZu2jFiu3HLwkbbHZx2azUs3aewrXXFZsrU2LtXN
7LaR7g821TMwapY7ACVp4nGtPm8CL3E9EIFlVB/cQWCvpjeT/Nxm9J32KMSibT0tXhTaVVc99J0h
1PA/jGSoG+LDxm2+HojrXKd4bJVJtYL/aGyO7G1JIx543qFkl6Nx6zQgT7GFqVqAkyzxWtgpeIkP
CB2bPDejuOGevdf8K78H3TDshBOK9T+uWohgniNFNnnSg6sXAFIxTVxWDvYCu3Y7SGLWa95W34Nf
9BbRGgPtIVH6runXwzQZtayZt2k9sDf3pneRjEnx+VchNvAuWuku7GrA1Jd9MS0d5tqYq2krBvMM
P02b+qIDMf5lJM9xINThd2yjygcifT5w2dwrQ6Op41ZFUwoDGOlTpc6vWe1/3/MgsJhgRTR09Et5
hZ5fhV2kS2LM4EmE6rOzMkvKS1F6xVGLLGPb1q7xiknDD5reK+MfQuxqoIDJ2gtkdElbY7GseNyO
Jkl/FitTKQb2a2N6p2CA4rtVawYtRs6+tXAcKbOrzOZcIH41BdFCPGSs+j1j7V5B8Xv+wYUcqFFi
XWJAlI37sSG3qcLp4JcfIlfBMQeuMp9Ye2mukOsIa2JjlFuEmuiqhdNR8JAg8/MZ+d07hmMmTSu4
+OrKYnhJXgXpK9I6HvAaj8bhLCuIkQFftnYcEIrg55f67hUj2RpGKb2h1Z4T3P75sMlJNvEyFOW2
lU4XiKRKL7spHV95xVbQ/3nTCkUNZCmc8MCYMUl4fhVu3iw7ngsPp6CvM1C82tnDFA0giModijP4
3a+Ryr8bRLy9VHdVy6EaAhJ+8b4VPXmPUrV4VFWWB1qZKaEDHy7Ap/+XpXloDZgXFFe8ApRoLwZR
XzpriSw5b03SavyUw9duwaL7lVnx3aN6ugpSDwQaNLRfZjQVWVmNvdnSg2iUZcOJYPEXrf5lX6/1
Kvy3hquz9r7kMcWlMzqarGZaKZPtW+By21SS8bh0ylfv5/98mP4rfqwv/5gA3b//m78/1M0sSOeV
L/7674vhUchePP52dt90v2376vO9TOvqv9df8tcPPf8V/z5LH0jpq7/Il9/17Ie40tc7Ce/l/bO/
bMjplfNV/yjm60dUQfLpAtzz+p3/0y/+9vj0W27n5vFfvz+gf5Trb4u5+d+/funw+V+/k2X3zQu5
/v6vXzy/L/m5m7q8L9L7737i8b6T//rd0t6s0j06T6jR4Fquzd7xcf2Kqb7BaJ1VDmXQGnW1Toaq
5qT+r981jS9BD/N4saGhoWX7/beu7tcvKdob5g22KU+O6aggMf3786M/e1x/P77fqr68rNNKdlz0
2VsNe3/laEI2gEKLZIAF8flbbdceTCqaFr6TzOJTOhqdT4lFO+ObEfl62W8v83xL+3oZqgAYg8jy
KD6eXwbiD6jvYuq+XWTdqeJ28UFAJeM0GjebxJmdm59fj/7Hsw+2ih+gTLGboLZd43xf9tijXC70
wxWQVK/OVBlG3bxMqq9WJXhDUs6KBDSCSxNj4l82kIddji3tMbWdyKUzJL26TQKAMnkFzbF0j6Y2
md7WNCk0XLSfCX6BgfQozUVAzmcEezZNM44mYep6MXoIBSIfRjGTM0eVEeSkP4+ePzZIv8ROErpI
Fva89KY2oLHqHQdPisZKHbItB4xGHjStGYC5JzaxUQYlNGtvbY8b06CHEFZnZwlG1ytt4w4Hnjkd
Qyh+UIeDSVWVPvKtrvDs1ofo4AgMdJFrlN5+qorVBT7JKyP6gO2GXN7RyiqEQUsO0vheipTvw360
W8OPzdY2MsDqhVxyLDMNMnZosqFOUkPLUSa3CdQos+PIr2snnxaw0Ikq2lUJMzgUC9VgiEOFXemb
ZCqcsfL1lH6YBZ6UenrgKqYRZb5JP8oMc1xxoWOZboHZjitSNTmWHDE8vyBGw4xoi5D2dVJaWvHe
LIvWPpCpl6cbnHq0GhN93Ebjj12slt0B/uisZ74jSr3+MmdS3GoluNBByeyUE+K06CKcWwDDNUWB
hk/Vlq5+iylDM/kYclU9CKydZp/rOLMFoJ7iqEQTT4rmT3CcxbZBGJY8jCQBGQhEFrNOqZ0XHDEA
YY3yRLZkxYQLghnD9A2s0txPOD7oOWFImDJsV012TmijvtiJEgyLoZXnqTk6nD2cPIpOJnMayutm
UZT6aDuVQsZiCf2v0vw2bpXiFBuvvr9pYqHaZ0XTV+01oW5ckLiPXD1nwxqNk5oaIQ86K8XfKyhy
PQfpX5TG2JRuZ9jAwHSaTMMvLRWYMu28yD6xZdzaF1OcNL0WdGXV1CdKRjQoWe2WJeVBm3NVWAH1
RW1uprG3G7Ex4xQqll9kOsgXPcvCqbexmLrlzhsMXYGUktO+ui7zzs4DKVwzP2tLHtulUbe6dy5i
2Si+Urt5eaMAqPTnoEmGdmuKzi7zQHcr5aBES7mfoR/7lt14QaLJPN5Ug5niAWWPUVGdp4NbpmdD
Osc2gz5bzaGdnDJuz4bYHPs8KITqtSJwxhSnI9cFAD+0JbrhI8XrMp/Pi5m4fu8AVYYc1gfOQFa8
wPoMl7YdMw2Lww6ModEaW9x5bdeNVzFn48IIF09Uw43IJ7OgOapQGNNH7Iv8I2BBKU+UIc/dt1lM
SAurz4IcOAp7QwVj9PGb0/M+SHrkZsv1OExWt0Dv6ae4Hm5QxSmiuZk9XLe8c9asWkSgN3pc9FcR
cStTf9I2DgGPnxbZSguSt55E4hZWDz2KG3BLs6GJbICL27VobGxD6Xtjo2kvatKEtScI2HCo2UZc
IuFhNv6Y2IkdDCC1uOLWLKXeBR636aD7M5PPy3yl9CgoOxpPk09fv4m3BPNGYud00lEvPCdTsuOi
VAqS8U66ETY+VqTsJxmDpopMSWdGB+bxwWbhQJiRK621q4q1ZdvT2TSPuWzESRWrdR7mJo8DD1cN
mXYB83zGvS1aJB7ZOE1UnrmvYQoMEM1FR2iRv4Abi+wuVoZZeCfD7A1xceVVrhijMxjvUUKmKxJl
sN2f7yvPt0t2FYzJoV9Coia023Zfem3YetpLmgQJjR4rFhsoC/VMDOuSvv8/uA7H5VU8CLf+OxIr
LF1JJl/i13kDu6EpmuEmq4X3S9vy101ypdivtnnUIS9qeidL3daJuIzSKgRmEMoHMxHdibAEDVMT
3uXPP9bzM8Q6fERbrYaEHmU2oS8vrhfhODctNp0zY6GhARLaw15A+BRWjtaFMfIFvzZn9T6PmvGV
J/f8KPF0aWoCVhGkdzy6l4ekWp0HLISYY9KKik2GQ+JWtjUUPFX8mm7xj0vRalipXesp86USls3a
KgeLS2lSRBdzouenUe/Gr3yg78dy/SB0ZJGmkS3zUlraz3PROQb20sRedi2728onjErrg2nSz3Vr
wS43Z8l+MDgZPj3GXyr6/7GAf1b0XzSP1Y0Uj4+Ss8H/A6U+B/W1cqQ8/c8/i+rv6v3/9an/7azv
nhX8f//c16rfevOEEQFo8PKu8qc/q36Lr6jU7qv0CpEB0sy/qn7devNk/8cZAejBsldNzdeqf/0S
v2blpCJ7oGb3fqXof6EIcVaOOgdd6mPOiU+uLc/LcaVf6lGpEyNsZXw0Zs3bzNgCJJGxhOqiaxsr
yfLNaCU3MMx9ZbHHPYU6DAwr35pWkm+J95r3U2wfqkWVlBvuV5eV/z/DfueY9bPJdXkv7h8ei98O
XXFffe6+PVQ+/eQf0wvU6g1ukcweKNHIKVYd5x+HSixC3qAf5VRILhs79soC/PNQ6byB0cwTRziL
8P1p5n2dXpr1BsyDtQrcbZWpsxH8Of3/B2fKF9NLYYFnZrEsvWDrKxEn6zwauiP62PMMNwk9Ktnk
1fO8NsNlcg6DoXzInep8snpfFwZJx3ocpvh8a5Hd+6PRPFQT0qTG2H8zhj84fj55jv0NXv19Ry9Q
HRwj6EfTDj9mjXp0lTaG4tjEvvTK6oSkyG1fCxe+R7lRjFmeulbm+iiiVMSHPUi//q51JdQOczlq
g3ZvOmzFmuI6oYPyM0hLDEO0qrh1PEnslZzrgNY1hJs6u9aduL7WzCbzo1I9Fn16ZxoLEuL6dimz
c+783YzJhq9PYtxXRRfvS6FYm8VFR5C13GBvLo+WGx3isg6zJb5U6/o2UYvbFgGEUxJblHTJ5I9W
9sEY05QWg/YwCvWd1k82FZZ6M1t17NcDf/TSvliWLvz5gD4B6j8YUPWFUkiTja3IdhqOZGAp/tC6
Qa/xmePETUkb1/zGM0K7SMi+1ejoNqdoze/qyjnUMSJPbOkwgCOyyxr1XRGRMxHbj8LChWT42Dvs
V8p0KfFdDWnRxATqjeVhjJs8lBijkjOjDxsx08kfl6GnYJwK5GtzAcXcvkV+qEHzHK7a1nlFrvek
ZPzRR1034G90evYk1SFXvOE4R+NlUWCSXGVXtjDOGGR4eJXqD+ZQBIkVOe8jg/k7O+Odie3yZoA2
41uy3Y92tk2b+CbDOpTAxgdYE9Fu6fSYBn7xwah1WnRE5l7RjrwEiXgtmuGFpOWvaf9SxZbX3gCZ
Um2PIor38zLuSuuYqnqIG3OIRyan++ia8yzp9NTcXnE32Oo7O5eBV9IWpB5qnA6OY8701dq2gDpJ
CFPpaace7sKeU1+jR7j5+YR6Uov8aJRX5OibUU6qJrFyJxHHvu8DLa2IMvY2+RCF89DboZziB2Ex
fdz6Fmf2m0V0QxAlsbo30SqKujkteVX8STivGIQ8Lxf/Hrn1/39zOzYRLxiPleLoGv2aJ0eDnzfr
tcTKF049f//69Xzxza+v4PZksSrE0Zyb07ZoTzs5jz5HNBlag+4FpJbIIFFpXwlT21Eeo6NIcD+i
1UzfpSv9TE0uolie9F0HebHId5APQTyK9E6lAa3p3b7OnMefP5u17fKjR8NW8u3NOnkuprmuxRHk
KDTjR68Ufg43h1ZRUDjOK0vKkyD6R5d5gQ1arH9pCa/xqNXjAeaCb7cl4xNDD4BkrNWhI5rz3pS+
R2//55/shWnN38/hxU4VQT3EobFqjzDyb+CnnsD9HHwIzCtL1v6So68IxTwpb/O4D9I522c2qmBd
WUIF1gYTQ8JhGCyUr7H6IWsRF3YCaVI9spbReg/odL2Wovvkt/qj8Xmxh8FoUOxodpsjsRV3QEk6
WBqN6RYlD1ZVcOnSFm/b2Hur6902sZYpcM3yvdCBudzYagK2l82sQkjE3SaK43OpjXTWo3A0rSBP
7JNxSh/aVL/GZXzxqTnUsNGUTVeqr7QZ/2E1+i6iYnG7dkwwcj0upEHjPVSFHYwLJPq3FJvvrVGG
rd7vShOeZQxAR3p4Tye8t5SLxuvOZtjuIMtXytT5i95fj7V6UnbOAwvtPipTqMRxq75yLjbWqf39
WNsvD6gwL4q5jLz2mHWKGSi97p4u+NX7S54O59642Jt4pkJJpn4GDZ0aHzLadW036oWlxbZfFu7i
O4MKPz82fa/EhMuKZAIDrzQ2Mu+6faFHb5Uxe2dE2lta1h89ra99DqO7vkvv1Q6VhYKINEDzVoea
M5+4pdOHuMrcrhyRn0/+FwKkPyc/iPzz9zqCXe/WptYcdbjQNuJm246Ope09Dpa2ryskluIDj4sQ
X2NrCnmiVnjWFNWr3kjrS/ajQX6x5FeuFL3OzIRhVmA2vcxlMJQUPbbWJZcNJYVn5mOoVaWGf/z4
KTfMh0bBRyrtHfginiF2JLxAhJxhFs0Wr23/eSrRZ02W1vvyiXJYan0cNAIKFhS1MmwWedVgM8GZ
JXAgvxrgTmtwmKkQw2BWyRhWiWttPLf1tlWvn7rNiJ2qEu+LSL9foIxQmg110OITSwFINaWqy9vF
hcPbGZPPplT4Uate10Ift0MiPmJeavhYmF5a5AX4Rq2cD5V8mxfO+8TI7wYWcd8skH/Exr5JYlBV
G7erxLz7+QN+UjT9aIBfbGKO2o2uPej9UZ0oaLu4vcVJpA1RkkO2NVQ0bQlNdkMgBFLAs2DYgNPb
LIohO3G+dSlFApmb917SUJ43ZomJbpxsIimPYpykLyYK4Z/f65MfzI/u9cWOONTAz4PRD8fITM7F
gCn4OczwS9MoTjoR0xboraM1OjqdFG0jqAtcLal8TwyBR8GAo8Yac+jXyfIlq0gnmO6WuDhzFHfX
NgPioXbfTE4wwp/uHHMvyGdBkchnjY6RJyhx7FC08A3rj5Hr7bEU0oLZEde57ZzUBqHEhCCTXrBR
9KvCPmXt9RXltBw+T7pDGIAepEmx+fk4/OMze7HZRgvrXDIO4mgpngnRKS1u8yp3QvwJ04PmCieI
3NSFVTktQW27ATNThVLn7XrNWu5TRcR7srXRG5RVsenU1gmN1i03mg6RwwDL23fztLx2s+vW/KOH
tv7/b8oYZcaMOMZG5ZiVuUVmnDfHh9TO5rOoSiJqZfcCCHgM6/UFVGlvBdgjyCD26lPT1uLrrkrR
1CRWkl66adbfjCVkS7KYxZk3VHSHqloiqlIhYCLz2NjdK/XMk7fvj277xa4/A7OniuXVx86iI7iY
aHxzmdv7vEtRlnrNsjGSRm6EkY1kh+DyMJSV69u9RScmbk+zJb0mFvKi6ee9pUEpbSxq5qbIkMb1
tkl/Du58ipAlQNMhN0XhFOgodNXX9cz2G6dUETY5U9Bp6V3vxZeyLuNAj3VzTxJtvjf0VkfLMOhB
kfCFVkPnnKrzyp6VJIPP2bUVUfStVSOkvzpM8m4/zMWdK5LLFDEEniXlGW8RPoLxuatUmyxyFvqK
fYKNiaFWgWGb3SGa85z3aK3q1WradYP9XuaSotqp483g8pj0ohg3zuqg8MrU/qfZ8qKA0docSRVE
/2OkSMar4TBBNwUx8lhGE93TPA7iGN6pU/ePk6kjkSFGJNCmrtl4VT9uaqOzNm2tvdc66wij+oqQ
gFOQT0JPWryMico4NasqmCtDe60mXbeiH8wU98Uxtx6bynSypjjSynmfDPIjJBuYUZhNhTW54Xg3
vdfhppd6cjEVndwVCH7C1EbBtFSrekeHglNq93OWXv98EP/hnERQyPNXzmDJTSanAslotfRCQ+HP
8jPo8gaxNlbm9vgOtLEN9Qa9dKKZWkhSxbgvWuUIdTFxiDmiQ+YvYEZnMRxkdCxR/Mp79Q+4D7kV
z+9NxwZXdlJtjnGyjLzwredbRhfvjMK2NhRR04GeM80d+0LGHJsXT6o+MZHqxinpf6960ouExPCt
MvbEQGhqzcKdSf+VkXvOCPir3HFflBvaUqUuvc3hWJn5QV+03QjhRlXcM8etD7TDQnR1WwgcQakl
V69c85/mj/V8RMgMBMkt5vEYpdpO4i6vllYCP909SSI3jEx116G9by14oBOCoyx623XRTk/nFgTl
qZ+5QFeVr2iEtXWS/Gg6v9hkeejWiGp1OjrD8NbICjsw5DDTXJouo2ziVNeBo1h59VgqzknFKmEk
9Y3JqT/IEFJsDEkc36wRwZOava+I7N52lVfssp5cyX90b99vfDD+lak/9rQjVwwn/hhRM3/RgKWP
Yqi7vR4jCSLZaJumw0kOGlZ03UfVqk9FChowrNyFwR2aLYhBeqS6HK9kbKcoeotrazCwEMvucOyI
Qqiam6qVr3jn/NOO7b7YBKMCSr4n3f6otcNbS3ounh8TSQvoZRpR3mk5posxG4SJqI+ezD1yrRJl
U/QkmjovbeWsW5vZZu8Y23hhvjMIOu666WNcUdW+MhPXFetHw/tiz7PhmSXKaPVHXRtL31MzdHUT
ojW1+mzAfqE4jS9gGCe+WFqy5OpTrWa7o1XInRGD57PC3i4uG1YbvXcExVk/hsjj5O7p/n4J8L+t
S/592SV61k/6x67TeqG/uGb/d9DGtNX345/bSGeQxp7B++u3/wHvm290+kPYNMLmN0DkV9jiD3hf
AfiH64QHj/ZEC3vqCXzF9+kRqfxDZBDHH5I2V7OcP/F99Q2Y/OqJhLkFf6jWr+D7+DM8m0zEvNrc
GSxGG4NHC4/mF0sqsVgy7vMOriTUdhCnrKvCYlJTCRzNnQmMiIRbbVJkzm6QehOIg5LHbXvieUrv
IdukOL82pkZ3oDdLJzuocSSHL0mLAObEGaNh45VO09Mk0fPuoGe9UW1hqRTTwXRjoom0RU1IOreK
qn/n5EpHuIixjNq+XURNNOPUJ94HAlxq3rVoTqvxxm01K//sjpPNycWYnMQOYYKV3ecMsfIFOemi
oTNQjOnnqdNlhqxaCO+QzebI1pSKdLMkOZLXXkXPcYU2HgnSVC1FFnZWokW3qjN6YteT+xums3Ir
R+8BYt3ZgGlZaIj8KjKVU8G5PgoMpcga3A9M6e7KXmp6EqhSNt2ZW3vuO5rRH3uP5NDDZEaGGuh2
Tnyw6rw10+S92UrvuLReV20aa8INR8kWlxxTestzsCAu0DZV7KBVT3CcQXbfRcKPDGUyt0XTyPhk
9PL26Lhp0r0zlUxZdnaHBGhJp2F8t+RiwZ2RTyCqQ45F6EWNyOgUmgZKzzpXpgOqfVYDnKTLQ6fb
BVLeVmi3XWd6U5AkQ4VQBO1rdFhqxauDqDW1a6M00bFo6VS7WaDVyfQJ0Te5pHUUTepumhEzXS4K
EragiL3uk44P+zm0sMW5EuOSoG6KBQLXMp/1O73t5/u8c8UVRznTz4rkbIywW+hyg+UWFoN97SnD
Wyww9MOcasYj3hPohjPqESCnZrKTZFtNNO0fTLIl0SQmXZ7tLKSX/VlDZnHpK9IbPqTUXY2PZpJ8
P8Ltio9ZOrUzwbyQeEL4ZA3GOnJso+ukzNyLSWpqZoTaEOfOY9pbhYbez7Gnm3yW7XiYReeJ82Iq
1QqRSYMOKQ5UdoVSEp/iGGhl6g5zDmPfOTVkNt/Rs1w9NOqU6g+wEGk2BaRojNlG7WWZvG+g/Dh3
jjqr6WVJGkD/iNtXhvjWNRJBRB5bZTXsOteL6tr2sSYw61BHjXiGFXfkiK0qeCmx0NO9jPNu19Wf
vAgi/MEapta5Qdoi0rdG3HXqiF4xLdoEQQ9x5L7UW9ldYhuQFufS5UzThomqFto+0oSrbdYOs+Fb
+Gl6gxYYyHk4yw2JUTr6AaO8+iTPbAiTFrRHfeyqcyCWMmhJ/0ossrL8vM/mG7nEzscmb+MTDKQQ
fjnW8DGvbHoNnpN/KkfsfdM2J+pQwiYKtGVBjdWN3nYhBHXP0ancZV5UYQWAsWPnI16qkUexSQUR
udgnOoYZKJ3nKr/FMKt2fGQcTN+879/h+C1OWOOyPZQw+1hlMJEib/ySZWZ8TkDTbSE097qm5jiq
hcO413GLqUCPzQvwH++DwEjsomwm49YtdAd5fiXMncpKeBxd6imEPBDmZ1hK21ib7LeqJZYrD6/E
Y8FR6FTMwBhzJ+ww9lxlJwsjAbz1jAGio9lgZNIaMNBTj8V0Oy5C3bWEdYBwGe6J6iLLpv82V7sV
ut7Dbqvv9Ap/lUHH/skF6tlimWQOvpnqyurp5IYavYZANmrpq3qnHPQiVc76obvUZMJ49Z26jVFb
0FRboPtFuW3TVwFp0HVzunWspkcbKfuTSUwennOIfMnBVQN7mM8AyqdPFnrivWW14lqiPtgraupi
6qCpASfaaaubOY1dU9FOzNSVxxkN0Id4zh18KMl/i1QAMIw+o0Natje5I6KtbWe5D4wV7xaLChUS
XHYOhbQ+zRQhrlOlSQ8kkM13JbFE0rcNRbltE+yRLE9sU2iKH2IXfVqLJQ5WI7XBUXEuGJFxp0MC
AtLM9I1bql4QKeXAKaC4R0KR1j64Yb1OeU5JS8m3uDrUVrtLw4nibFs23RyYos43CtlXeyKExkM/
OfrZlCjmBz3T7ROTSvQwiBS4PipOBl104bKakrBlWRvUmdWeDBdyDaxhPOvt2DjSRoCzVifRzkAi
vJ+aWtzPEWmpWme0CJEhZnR62e+9RX6C1T9vrFTXr9tx2JZlkZzSw6v2RKkYJ+YSuXeFaje5r0Lc
wxhKScvAjFAqemTxXTZVkd2Otm7e6WlKtF/htjFUZKs61I40LrWEBrZCvKh6cGOj13w8Uap3ZmFd
1cgDA6Go+rViukao4GCztdVmDhW9xCPHUW8GenR7QA/7o1A1LSjhkW9T5KHBnBto6c3KeO/NjhVm
OrbWsTU9KMWqjkwNofP7sI2LAttTDNsvZhPUDvT0Bp8ZgBN3mgV/qv01jXxnk4wC+WtXu4GotH4D
0NEygRrlTMZuj8+Luhh+LGp5nmjrLo6OCzU7yS+F2FaL4Vy1sd2e6vmUfRmX2OhOezXJUitnEhg0
rAcfBCLlfcSoqdES2e/GJMMLxPRtl20n/gCJS2jxZSrGfqABw5HNVjZItTIIsHSnUlqnGURZERV4
PriJ40S0aAw3gwm+PnCRqDfI8vROnQ7waHHwGnI16c9dW+nKRywz7egekTB827VxA+bQafWhXehu
aG3lbacCWCwv5UcksjMSmJGuFEzfS7eDJWnbCYAhvTR3p6SLARUMkVy+8QYRb9FQZRgNumWN0wlP
ocoj7SzzbJAuYWH12ZR4U1my+9/cncly3MiWbb8IaYCjccfkDQLRB0MkRVIUNYFRSgl93+Pra0HK
+y4Z0hVLNXqvzHKQlikRROvH99ln7XmfzB26kNkH3iDLCSmUUUmrb7rQa5VZH4yo6w8aoR9Xc2hn
H/JuzBJQl7L4stBQgpVdhKEHAKGAQZDLrVmlDznDNmhimjyaUYG53E7is4Yt9ZkJTfNB65iW3LTA
wbd1MrRHaB2Ji0I0k7ah3OmxaVxMAkWSbcdhtr/G02R5jog0wgEluLuSKi6Qxq3qU/eo8Oq/l13B
Z4MfyGMTd7IjASEKNbzlMqc8E9aqSZy7slFqbccM5a/orakvYowAVLSDfGA4/6PvT+1dTl0TrKIw
lreN6Jm6Wz5auiaWCILOT3F7DHZ7Koumdtdk7Ym7wfKzikUnJUlmNnNMAtUcfhpH984gZu+mpPrd
OmHnrowpjG+qmC0ZDcTGx8DuAx/ALt7Faweaz6ext7JzFDtiz/BxeTYnOpCS0O1dGsp0z6S3YFij
Vt29ipzxKgokDWMNMgONCbs/qLgr8MRXDgvG/FlzQ2Zxe0OsbMabP7bweDzpo3SuzKQYbfppxTjA
HDDsad82EQCbKnXNW2dW+sfOrOCGNEbZ9XxBkQkHVVlf5kxvHlgZ+9xrxxnRYOqSd2Ee8g0fTeOA
vdi4DyclzjYkFgjCfvw5qacADjVT7A+90Ku9BB7FUp4N4SafNHGeAIWdwS3o5wzCxTHhR7iepZX6
1ZzNzn1utNXJmsgXZqQzsay1MVPHlHRWHqRrBGericZ5O5tae9cb+Epau7YhNczjCGzQzfyGCDkG
i9eJKKzh64ii+57f9LHW/GIVM5yXmF5dRob4rCpc1Wdc0vV0Pfn6GDxWCfux6xjtSKnV6Kh5ZANt
Dh1jBUVUnjHqMz5smcps1mEALokvGjsYi8mFIomxyGQV63lXj5p9Nnp9bqCMmEBvs7QcjaMVDDLf
yt6FOkSnOwn2yu5TWhPNTLwyjCmwFv6+NrKDMisWZPYFXtxUj5wXeu7QM+lHNjL3ngWQebWqPGTm
UF1pg0a4RLfwppLxPM22e9tUVnzCix8yq+8aq3bA+42oDXBKWqOXGkTrtIYWrO0yPoUMhjALlJZ7
iCLZwZGY/PBDPPXQ0DrRV+vUYtGXU//kL/yBkrd6DQND20EDA5vRifBvXlDzLuDTzRTNIJ7aYQwf
jMpNjviD/F0kK+fMx9Sh5LYBDWmmTlqbU6UnRgnNZ720ZPuOOfPxy9g4ct4TVTQRXdONg3HoobY0
ayN1sJdRxTufsErq83HoDXLFrThtq2uDEfH0MYum8WtgWCx9dFJVus8Mp68OYerzm+WlFPuqH+Sn
LqBbsjEt3/W3FhYE/aCb6RiuJwx2ByAoXA8tKtjCzpnB1IM+TH1MzwhnDYUdiIU9g13MVihZRB17
r5BHGJFfdYcOm791FKM9NNeTmqrx2YJKwiwMUUBfgFRAPRirYphWjcnSs1L0BtRVl08yfJYtYwBn
P1Qyu9Vkz6VTQYAzJ+lMPue2E47H2YXnQbdUh5ZSlJEv19ZYmhWaaxfI29T3jdSLh6YMbg07lf7Z
6uvSXje9T8b9gl9Ak+WkvvaOnRfvFFs/eASJRl5e18+NvwekpLDraRp3W5OhdUUmsAGUkhwtNqtg
Pus9EvRC/OimDnRA98GOmpT+neVuzKnzt1Hs6tdlWETbavatPSi6+os+t+GnrsfyJ+fUedRayB0M
8OQ7X/PLXZzTh6U4V5BkhHRzBrTG9PPU+6CEctNM9xaBViewoO6m0p2PaU1SGTYZmR3DutGOwSDG
jZ0QFJ5otMzinL8W5FXxGcAECK6UsuBLFvVMRAkB6wcyf8rUe5HWe82u27+ndC6O+mD7n0sUFL6B
dmm66wRm13YiVr1coaxUk5e3czhvAotNYKybJSFb87R10EG0lR4Uxo5OTnub+YZ/Qirtd1Jzxc2k
5zNZK7OxlUH7QRbTtJWpY2yI0qxPaJu8eXNOv3lKxDlIgAmvmrJWH8FmNRvoCe1nesfdKdXrEPcJ
MIYsUeJvrWzrU4hG8x4ks2Gt9EoNW3+SWHMMVhucE10ae2OYM5hkmezfeeG3dga5KZiZp6mEf2tO
NTvr0fRPA/Lkmu11cpAhUxwbPPLuFaSKeO3bvn1XTEHy0AZBcsgbLsg6o6Y52H6FeAwP7gCtKQZO
Ovon6BLDWggj2bcGrjKbEZ9N2UftWU/J0dr7flU+xVFLGjMbAngV13qT5u2RsVTbppC0g/Go2WYp
r8sqJN8XdJVFzBxQVPcfwfaPpMb/qCO+lBH/z/937nULDfo/K45X0eev9etBVYge/xIdNfkXc6YS
Vzia3uJY//ekqoap2GKO4XuGACPzeIT/r6tY/cWQMXOsxAowS0oqJj2Hf1RH6y/mXpl8JxLbtm0L
hv2fqI4MULxSHW2SSpgdxfX8I0gSgzH//0XXWUEh74x29urGZN6MdhJAuSSlekZuirAltELHTCOG
vJcr1Ctcllh4kxsGc0sQNiSREU1kQszNaP9nW2pzvV+Rm22yz5z9Rl8ncxnij5wT/YqPuUxgYsju
fSgy7HhTDpMBdncA3g+HTr2DuhSF2wbYOu48Dcflmh5E7ax89I+vo+9L6tguyE5FWINd6dJ54BPT
MYFqVrJN+A8GY3Ky6QFWZUJzT4AhzceUTstj1lahsbfKIL5XRER/hekkD/RzZccQlr7JhjLej6xT
E91RS3lsLmdYaWya7mq9zO8H8J1wlww1PLVJKo59whIBiKZj/qzwZf8poImDAjaik+x81DR94095
na/KpnC/EZbcP4ySl/JUVIO17YZ6mlfF7BAGGBWC/nNtT9gygAGpO9kU+K/4zvhirWVm/Z6ti/mc
Ny7h6hgd9aMN8vQ5WXxzfLlS7SrHY8asHCazxxFTdL5j4WB2AMVOAYOVgSVXC+79FFS1qtZtJ7qn
WATDCWJZ7ngaTMR53fayvJmBQ+SrgrDPzptlR/JsScfaKxtjbcb28J7RMXVik9A+VYZZUpj3ikmG
RkWRWPmqVczLRPNCtIFoe4bsZbyr3EgSajG5E1ysKa2vHTrMUENBL57MxEg+SpHX6dpOwSwde07u
rrXYN62q1lw+uVMJnBHAlaFWwiqbcd0PzXid8iMQ6OzG+uqM7nM+mTFwuyRmQIcBkCGAlpM61zAe
M6BSBFHej8qd/+71abxF1bUwxRXApE5RULYl8lmGcwX+qId9CXs1FUtqvvftKP+aN1Pxd6i1g3/o
YQTvqM/DbN06U3ytOUXQ4ZsWdejBpB/FPk1Sc49ctnh/2cGezZlh0sMENkhsujRwyNwb7OkRABsN
Y4XpJUe2zPLHSQWi8ESl4R0SoQgemjasa4QtIe+zdlQFgvzINHE5atOTMRfd7OlBwqAn86PlO1MU
0cAdw8nr6blRXMOsRalgmWapAw6kPk1gxVyP5zwZNgkxqP15Mhhe8vJI1gJAkwHKrq+6SrFPStJw
K0l6PeYDe/GtivnBG1m5M35sqGAsfMy70+USPXjDKaYMWemdjNJ1BU82QB+R/v1o6tk3FFzCNSCx
0HnVg0772DIboHnDWGTUIsw5Ui93tigQ8Qb3I4SwzIIZm3fOSoeJzHNYNdi+JuNcQ0GjJm77cZW7
ro8YmdRatwXfNn6rg0pv1sSwzdjCRabdNJUedSvqNNhzVmA3HmhdhMVCKww8z7MxB57ByviMcmAx
pSzagR9Hvwj8VOqcVaUoUn1ynN19mSTkkExhyhgxjtD9HGLWXteWU5S005k3cCfHtDcTVIvmaNZG
/M1pGEqLFRHHXkYezITIOqb6eyYxwmcF/rilkJztBtqu0me5Xual0lXZJ1HzHqtGF23bgnb6TRsK
610FKFLeKieJas+tqXSBvY6T2vRW429bBqSxe8oaAaMJwTt6sI3rj2S/19ANB4wtVZEP11NX6e+i
GnLcRmmhjYPCVdFnvyvbp350G97XjtvPXaO+SJyRNnrnfEcyTZrcDOPkVu8RxJJ6HYf6/CFNe/1j
xmwCs7B+5xZ3lZFUEbHoOW7262Fozek601rYRykJfNE6QLXt1m0s2Yo06Zwpb2xT97r2tYXYTHO0
bKjsVR7dmhowuZU7NVG4npmgxSDf9PF0NdtYalYjHaRzia9VwR8cxaem4FohbcV2cYRuVX4opxDG
ZkBtCTBWMxcjbFEplBWzb40AFgA7PU9AzNTWuFv9aWU0o9QPMoAXsi3qtFk3UPaSQ+kmxVPthqRt
pFOkn/JozI112EQ1L6vPOPsU9062j/lunaepCeabfFZDvXNJOdwFY4ChCUgrax6h92hDaJnje3Ki
MNfmOkLt8jkH+n8yDEeM17JtfTZFcozAD7DBLa/tea6HbZjmRD11KmluNG5kigrMJ41Zj2WKDFJj
t9OMot//eYv4f2fdtoTc/ueyjdnx9vkVkGT58z86xa5gpstyyKWjvYuLY+F3/OgUK/UXIXK6cAxB
AwNPDhaUfzWK1V+mgFGwBCwvE2ILD+qfkk04DIJR/IFjVQZLPz/vDwbBzF+6lRRk3wv/S+DnAO9b
5Gzb0YZjQZebMS83wbKkASZkWKg+ikqXf9eAapVHB0klqyUjYEITzoz2IUpV8kHT7ceQgCCEOBeC
5CptAVNvATLTToxtGd62ecYADq3ifkhXjoYQyPaIRq6euk8jBr1Pg6jJnWC0mcKCXoSrewbKNqbS
olR3tAZt2lsGcuRVVsc2HLkxeB+U0qAFmE7tMo/UOV7CJL5inYrIn7aNsTwyqBEwGCb8aW8ibzIm
4oD3R9uu6i0jX9N7hxIputFEHglqxQrOvVZLt9xo88RHsHEIQ1x3aQOZL7JUfp9kRnxrl8l8Y+XF
cDTdFAawSTgXDI6USWkHXKExpp96J5iO1MbulRhEtHdGkKkp+inpuU0NFzFyCj6bTU68UtV7FURy
dlFhcW7YTJ8CegUb2s27ErzZLR228FxJSjZmlAVDJqY5dzu7ojoY6DB1fCzXrmZ/YB2hiFY43pNy
UPvJtqeMcffIeaJ3VOwTePxXoxyrU8YqfttK+w50QslmD80SAMS8c4lc8mrldqvAss+5Y45f/B4Z
NhXT9M5Kmv4oGZzbpIlm3ZeItNezXQ2AsFXU70xHc9eZ6qvHNtXtY5XGEDGgP8oDwctgMMtS5oeM
OTBMJb1xrfJAPOiAdigMOkntnsy3M08mZXwCW5kggGhcT3rcgNgA79wbPUpxhcDcrDXoonRfkoKw
j9Ra2pvVqYrbfaYF9GBhMh7KWLVrvqDWidkj6xFt3Vz3lv6oBXrPdj+xzkPWB49+3+VM0LYIrORX
LMIiugE7YUlHtA73FhdgNSah8sLMeYyLherMZMReOh0TJDTLpcUcN6IPwF2WKmICNXYhmj2YAf5y
5eOozTkZwpUL62+adiJaDcFUHrSBtKkpUsbOrTEBQ9+1sOLGk3YyuwTQzEybk7blVGfNOqoGXeyD
dCRjJYiz7mZwNP99NNt5uZ1taJ9e4KeG5WGvNK9JeoJyEKCbFYeWBicwDjsGgFpibTvlYUaXTA7z
B2lrUjHVmPXlvgsC4wqBRr+PXAeTQZSrYeO0JT1whpJxBdSuXckeEolLHalVMYRVremFxt+sgqOT
JOy2spBlcyjHkaxclQVYuSztVgSyRmEQEibL99duqPTzpNntY+DG5TkShARwkqBJPeguaich1O5M
3ymzfUk47cYYLHoP3RB6EqboiULBcteFls0MJnKLoNwR80lYbkDzIZ/CdkN9qz3ohpmf076rQd23
+nvLLgQfpcU5FRLGNSDcu8OBkEr7YPql8U1Orn8bGH62DLK04r5FUxlAUbSCRdqYlNz4tjYWq8n3
6+sK3AZjmr4R2CsnLEWy02Q3fuk0mR5Qm7lzTaulN2HcTkcknblfxSQqBBQbDZtBuEfFNdPa2m1B
1PVWy2G3ruwwaHZsNItD6QCwZzs1aNmqjFNJUwm27cB3ODA+tVTMLfI4FTRs0/mIkIkg1AIKhTM9
KOuGh2u6EhV2Z1jTcxlTetUaJXIdY1tkdclXadSH+6aPwpNZmOKmJezz7DuVoC7KCRKibOvF1USH
y6B5hI2bBA817NwmkwdfGyjIG8Ze3tm+Ia90+tiZB2DXYd+IHJWRn75xxxAdH2UquyXzgA6qq7fa
wdB6KBhxrqKTQna8wjleP1bt2E+8j31PbpE/vS8a8SAjGd05QNmfSuVUn9X3dj3XXux7fxx+OF//
SFL6b7jXdl+LBRnWXFrc/h80r4Es/F1Ncvc1/xo8py/9a9//xo+qZNGLMIXpugu6BC8aC/e/yhLN
kH9hRFYWNYlrLqGeFB//GlBfig8dYiJKDwXI96n2f+oSbG+848y746wwbFJIzD+pSy6FJIzuuIsl
rW4Ll5211D8vhaTCp2hmzOvWiTTjI2p8+mC6Ot9bjGPMXmHNGj8Xo/R3L67QzQ+v5UsG2mKy/bcD
E5scR134I5RcYrHOXchXUgVTRB/3tieSFj5vFt1VKClvWHx/eRCXQkzqfDyQ416fGtpuBZlc3TJ/
Zn1klKW5p/OITPH7U3lta/5xKgh+AAOQ9hQww9dH6ZRfQe5StyT2pGKlRGDdWizZpKUO+l7P5aff
H26pFi+vHCBIHimX2HQcjK8Pl8TGsKzpt0ZiVCd9pIczGPZV06nhjfP61dV7caCf8D65KzoIZrcD
vp91yALCB4+Qld+fza+ePjyTAC0h7xhyUWBfPn1O0BDJGzq0CpT7nj/U80GnWXtM51LbTszVpx5l
V7j+/VEvSvF/7pkkSZQ3EgPgJYKP5SNCJlC3DVUfs581nWEI8xb5B1Bl58JN7rra9Te5ZErNVo2z
tc0s+BwFWNHgYgNVJj8pO8ma4Uj4vYa/TvMsfytF85fXBtAnPVMbNflycL2r665yabqziDdbM0lm
y1NYLiHgqeibMGf3pjQt/cfGEin/v8NA/H5llA5mieMp4h8vr8zUhaEVDuJ2jFvjKOrBXc+5H/75
i6l0cIskj/FNpDP9+q7XWt2HU6ffuhlscuHTao/qTm1+f5PtC4f/ci7o4hyCT68EnHr5aWOaMK5p
Z1+Ncy/tTW3bw0c3VmlxhIWtigVOCHY/NWKmSnthdPHGyGfSmCzQdd1+ovD9ZgPxCtZzlvcLKMwq
l2qIW7KrET0yYkNC/8qpZuWuh2LUYuIsXOd9MkzptIJ759+AKoesWIUMzKxcNyofpJOVD7WVASTD
aVh/C/um7egPKdR3GyEEQXQmqWQFNs58HLEx5qsR8849RjVuPvllB911zHYT6B1hK3oUNWINZ3Km
PKuAPvDGjlcEI5q35Yh8tc6LKHkmOTii/Szn2PAK6Rg7VZnmg48RScE2c833NfZLUqXyEiGkJnjh
FkPGTM4M/wH6GS6jkPLEHj45RjktgLtc11d2VWY11sWS0e5iivgjVeu3Xy10HWL60Ou+BIy6fKsx
Dx5Ujqt5bQ+23XsKCuUd19E9iDHP3IMxZy4BijAwT05VFNmhoNi8181ExBjwWv+QYydm9q0ROZFD
dlgFNOWKIdyRxtMX68Bpkm84tDKcVNgTgk1UtUSJ4Qw0m1VEluS0aqmcolXQ1NrXmsooQQ8k4cZ1
aDAe/c4a1HZUtviU+yRKwHUA5b62qsV+VaswQf5rc/fOJCTpBiJX9a7IOIIHHT29z2N6LqtCaeqB
RSXY8dMZZVWlMzwphneuFDHJQIXMpL6Z+8YGJuYGz+QnMfEFYT43dk49Jh/zqMnhYuAJJW4aP+5V
pMiE2wh6Ici3czkwLrMoxzQb3SFZh+5QLuIeXsbSccDYSlVXxtp2gvwZ0xbT2SY8ew2H3VB+zsgh
7VcN/JN36Bt4wMxkHAmacEMTw2Is2YZMcxJ8wfUKEtLCCwC8hCiOL/pQ4c5Beos25piIR+znTrae
Q8zBcDSVz9RlNZhw7QpcykXSifRcDTg4YCkOKJMoD8NdGyXtVUU5/A1hxZluEvYhJxEkw7siNiv0
hE5Q3SZ5xpxmOi2zUllnMBSSz27Swm2x8au7g29o29ieUxDm2M/JhmprgjH6bCpGb27BKjIZmPOK
6djQPKPHerXuUffgjwRE66xIC5LfBpXrGOJ65Wy1BtOx11QgH1lXIqxPaaXH8YbQtPFLBNjygTAi
0O9tFd3JAbiM18fO5HhC68znAdfkgyUz+zYx5+izi3WnX0eW2yC3ukVyKEae5gPYkPFdNfLqsd2z
ikOXFRoS/GSVnyMSrLjwys4+67ofPPEbNI806EhCcvJZHunQVwkzvYX7yU1N5icnmmilV7otOyhr
7qYnf+m7bwTXFtNQ4CbJGj1VP8O8rD9FFq5/Lx+z+OvEbYC2Y+T9vSHi4ouTaP6TyonMXBUwFD/R
GrI+jKZVMvPpxvk1JoEeHKybaATPFEUS0StnJfQa7viNwokJoDKX0ZOvheFZNAKLrKn5dHPY8IYO
mWyLDjpkFXEvRc7E8lpDVHko2IPc6+nyDJJa+2FsYi3A4au7ePiiEldgi59c9wLiwD5gCPZvq6kE
4lFFTRvhp+2SaJe5LpSVfOjDs25G+JkZZranddH0ZNInDGkrr68CIyZiIDK+DXWHIh7yWUbcqJvA
XbOAoXeHQgw3bQkVccB0sESeacaVQ6kOkYDYDH1DU4Mm/qi5gbuiE4+dtxj69DbhucfrpGivberW
sm8aghVNNIxgfjACwliOPey8Qz/bUp1HvuTlpwwQ/Ey+ioh8jZhyzeALhLKPdxsUkp1FV6qug4a2
mMSevyoHO8MV2cl6MO8ArajaKzCVvGtrq0UG10waV1qvXHHUXDtszs3it1nnbb4ICKUABSr5d3+z
vBW4ul0FH0i6c7UsdkHNZ5N0qrUa5ijd9BoR5oYZyW950bnWJh3jGXMexh7PiiqiVlKrKgkq8ft0
T7KwftJwBRMeYQbOU22n05VV6lBB9NnB7dYhR/0ND6j5kPa+a28bkt7aDWjh6FOXZcmNnqf9V/oX
xlfq7wVJk0fc+rIOQyzCTM/Ha61o0nGjYcy/LUUYYjzCkKgbH4g20u8rjBTpGmd4EO0R3Eg4m/GT
6hisCkZAtBAYySossykFiZPaAS6S2PzbHmMDF64ERbqHEUFUyShjRFbIx/q4N9My0WgY1vJdukAz
961KY2MzmVXRe6BRtWjTl/QCvZ7UrMeYOZxxLeh+PfqgFVom8eKuPfnAhjkESLFklVvLk2U5FSER
VVaSWGiZoe+sixFkqJnnzjM4K4QWX+Ae9RZ1r/Jc+hfkOzmYoWmuVlm/Ha1sYonH3Irs6NAf3DBU
AwTB6jqsonhjHdJLUJy+mKNlrdoh1bED+TXvDpPwFdkAyk39zSR8uDdUMzQcpQv7Gv+XHforNE0M
bHY0ZHgD+tnJwAQUPSwqthVLWGEwVNAAeOo3MHc7sWaDmtDRy1LaqrGG8rdyar+pzroYSQho0JH6
nd8UrFROquDAEEfoaFd6WvThcWQpcDeMy8XjIWsK81FSmR2csMmIhtSc+qNOqYDCrE+B7wE5UuG6
J+CN+BjNr937zLRYf65ngz4UzrzavsVmJj/hMcVcDINkoj6BgOopAysfi5AJsWJlD0mVraoKUK43
m2wZcGhOGoE/qUHEWWPGFTcFx8DKHPqMy+mjUm6DrqW5xGrUxV7V5VEFcdjKMXeaAw0fRjaYz6oh
knwbO7PrMGw1zAKNhlA7MfkwuSL61uOWLTu4eq0YS21PpEd25+CaVvt6GqTmYZCV/CXkVNEfUf/0
8MGf/MRF1Z/dbFfj1JzJODPnHO9s3bXc4nAggVRvWdWaOlLRl14BG4rW4eCLcjMQZMu8AwGeFk23
ypQuSSxtOSbbztBlcj3FyVUxJvmxD4gTPZBiU3d0MmkuekMgzJzHISi/NlzopbEQ1oTadbmNHVAb
cVwIi2Edz+wm46qjXdyDHNLdzqMG7lCrYJGAJdWWnE+8Fc51bLC+kjU2pw/J7MYuTJGZSDv2Wla4
G3FUb0YVavejbThgRZy+b9GLXfLW5zSKP3ZRj5z3vc7/I73pf2crDJHnxZbnJ/bm+fnv5+C5+fJc
v5Sevv+lH9KTrf9lkX+Mkenfva0fDTHL/MtgRwSYkHnKBeGLyvCP8LToVfTB8DGRcMEEpbnQSf5R
nrCe/eUQNbYEKtAUc7Dh/In09FphQJEBSy+WX8FhEnORuV5vA1WJr8MIycfqQ6YZAf6x9wra/I3N
/utttGK8X3AyFr+0A+aRc744Ctoc+ASaTb1dnUK9eui7/rGzx03hkrdYW0yxvLgLb2pbywFNuE6u
xYYTPBqTCq8POLIbIXp5BBtDBsJ1iBtp57KJ+SN5hqMwHIHFzNEFHxCCQS720HESMAsW01Gq9LCh
l9OIndWY1s3vz2W5Bf9Wm74fBYgQH37lOtJG3399LrGWqNSoc9aPbKQPwsRJmwXbxIqWfcr9GMdf
upGe3u8P+lpRWw4qXEvw5KIH2RZf/tcHnWZMvkOjNZToQCqNzmm3siS/G8F6uip0Wb7xhLyW1Jbj
0ZW1ONLSBVZieRleilBymohNc9jXaab8KAEzrzlc4VkMrL9xpOU3f305UWTIMVIW8GwsfBdn5k91
IeJ4hOhi412Guo78UTJm8vvr96ujCJte96IRmsZ3XeSFN5BIcRj/qmMWogqr5BhPZKvyMFY4sX5/
oJ9eLdoqyNAkcCwx6+LySY8tUOMzcdVemuKi64YEUFRf2J7yI4KltUJ8o1eRvaFQ/eJukV1AdPx3
P6VtXtwtXfoOfqrFLSSsfONYS9CVZWnbvCIe+Pfnd3khXQK0nCVEyxZkp7mXTz/cc6cbUEtwkAfx
riBt6uAPfvbGUS6uIg8fXyiedVoESG8/kWIZAwoL1c+Jl0z+e9turZ0f9FflEG3GXCeXzw3euG0X
79dyQLTWhXjsmHDbL5ln9qzntBNLbFnddDIXh7Hbu/KYloIRK2Z937hhvzocyS0o/tw26Vy+zlUz
WKpib88Et2M3G13lSKU9ye+nPu01w+usFOngj+4cp4jZY7HbCoWtW14O5Zu5EzcqieDo0NI9lJZL
Vqbd/PGJCS6gBOGOQuv+dONCgwFYzGEcZByaA6kb1oFsnngT+pUBxwxp+c9Pavk8OZIvFe77i5XM
UstHP0Nn5KWP4AKW6SZ1A+1/cFY4ZGiaICXy6F80GHIzjabSwFYyMhWw8qEAwq4Sk1e0bCP0NjE2
f3xWrGM8ityvxT59cVbS0rqZVzrxZh/GCp/OZJMa5fhnizIPBLeIIoN/lmrgEsvjTkXa2xMJHBUu
ZXyziDZJ1xTb35/LxbdpOcrSx6ClxbQNIQIX59KiCEYKehk6Z0i/ln/d4DojOoZM6zdO6FeHIp5r
yU9xDZ71y0MJI8D0KRmNYoZkSdEY7xrSTNGAp/j5z8+KKwdEg7cJA9XymXyxnnQghtNydlPPd4J7
Rv7GUx+JblVOQ/fHz4KJAr20HuhqsjBfnJSvG23UBWHG+hjg9uidTltmKOX/4IT4ttM7pdJdTuv1
CYWEYA9tk2aeE2vNeWZ4xXgngLoE7/TcLd+g514sIt+fiaW7C4PcotlhL5/HF1dviPMK2QEAuJ4C
0+bt6s96Eagfu6D/Zt+G22JSCxqOSZiEYxkU06+PghkenzKvqDfUTGeR//2EcVu+8Xj/4lRoRZt0
VqiVTOsyS41s5jj0DQ6idYD1lvn+66CthjfYqL94sl8d5eLuiDIAOZvVmRf5Q7hHfTNXhLx0mxQp
5e5Pn2yLIQr8f6Ql88RZFzQ2e9DGCeIiAbmDmJMVSyHpK8KOH1PVaW/coZ9PC54fHzihYxelgXtx
hxBrE4GEDRvEjq1TAoXpqh2C6Jm9xFuZpj/fJ2yQy9pEPAuly2UTD9FAK6aCQxV8Vzd2PeEFEkbz
xhfo53V9ST9cuvjCZidnXuxA8lgOqcKh7oVBGfRn0RXFxzRIVHvqacmUXiK0VL3xBP58TDYh2Dgp
J6CQ8aV4/ZgPbK4EyLLUKw3TXPno3sB0GJpKG+z4Fp7uN+oIsiReVey8V0QBKBy+qKdLf/rigAV3
B99glZLW6vqNJ83SDXaOWwKsb91JfdAGx012Dt/DGrm+bSbSI0r9SWAx/9gaCq3Mj7tAYGpHSYIo
HHbXVoerfmU45FXvkOAbbdtZmnOaQcD8kVdg+SjY7DbQI9n6krOhX/zyddxgQDNZjvDBl7iU6EOV
bApm/7OW+qn9xvPw8wPOu8Qe2yCwlcrre9P9xYeuqRnlrUvqvCGWZEcuNEx6nVAnFtOjHb5xtF88
CYZuEYhJrCOui8uyQfiAWYi/xB9gJs1qtEIHW1Wfwk/EzTf1qx52xO3vvxbL6vNi97ZcTjLYAUbx
sZA88+brh08PHPBhiZN6jatvo875Os06UqIeYiRkfMOyhrvfH/BX58jbK6GKKMqx7xDpF1e0062m
0SqWw2gYNQbPzUd3jM5IpHhQU6ICfn+0X9w/LiYuaKksRtgWY/XLhcpMe1NqNKe9gL1KBASoKe+1
qUoOsRWZb4DifnWsZTkEnIVawh7/9bFUadfDNKT50vodN6FTaCc8o/ExzZq3wKy/uGsk+i47YYHh
9bs89vK08jAPHOU3uTe7ZbmuoI4+CNWQnE0Y9IYtZLxJpyl4Yw37+c6BpsG69f0FXN691+dXKNHN
EVlr3uA09G3mzN/YOlPbbsTQ05KUu/39vfv5JAnEWYr2ZWMMeOTiTdeEFlREdKdswsdhB585igGz
191VGg76MWb8HQ92Za9/f9Sf7+Iy64hALCBXYLK6KNcaxmWZCuSoMKrSHTgukpGR5L20RcX//aEU
F+z1u8f3C4uVRYnD5OzlBTVjVxKzW2ZeLHIgDPNkZTeVW9MPMfM5/5DOSXr3X+yduXLkSJqt3+Xq
aMO+KFcAECsZ3HcFRjKZDscOx46nny+qp206M6srrUa6whVay+ogg4D7v5zznbyDMxFKQEb/HcHz
H6urX79exg08ryhj/pgS/fSLFiTJ2bLJcaop1Z8Q9zpRazO5DIN1yq40B5hM4pTO72r8X+5x6HY6
Ahbef50W8+csamTTy1LVuGswxQWH2RcFqRME9f31V/tnn8IZiggLmSH6tZ+OtXVczUVvJf156TSx
lyv8SyBkfvOE/vKsMPjiRTh/g8TFcZf++Eb0/axGw6F2NNSSbs4FGfgPcPASk9b/5qOYqdAroqH8
I7H239/4YkWgXDoDFqJycvem28+xrS8luzVt3v3t744Cyzmr12yOF+enc6w0WPVIcy4jFkEwJHRO
mzhRRf03Z8qM8vj2UGWdH3/d4c/047c3md1AXPJKY9Sxsg31JC3e4I4Oy2/e6F8e9D8+xyXk9nwq
U2X9+DlCm1XnCIdNIdhe9ml+MrJ0awIV5bOhHeZaI1eBCJrmN7f5nzyDtLJMUgi39JgD/VQc5xhV
M7dC+KwcNHU4zrJ3J7dM+b/6GEw4NH12wIP406+n1kx57lRGNCCDw5hXQrLXGIf95rEwzuf7D8cV
36OlG7xMns+y5Jffx8trPJ/8vWxwXf6ycVPxUOB+RiFTHGod1D07+aKaEIxifNuBefhdvOCffaP/
9hN4Pz0xQTGji3dZdU6D5iK8GtzqmXgY5+7vvwD//jE/XXTQwGYkHfzhRmueT2XgP1rlv9xu//H4
/fPf5Xx8oFM+V/8//tnMcVxRyZ9rLQgMausTlBxhDgz03/zZ/uzpZ/gAMvQsUGau8uPnVEqO+dCa
ZeRkrRtO9mzcdbYJx8qi4rPDGgfAJcT93zUZf/rrGaweyLIDZ/pzHOMyOHWg13ysfU6BRPWVrc+F
GKzbv/5T/dkJbFmMVxjaUwdZ5o+/nTsuGhNL6rtEd4KwqReQHl7PmMWeLDyWf/1hv/5OvMwk+xHd
TRVko1H/oZgkG9QeJ/y9BJhNPRGlaUNyiVT133+j+RyKSJp4iyn6Lx281RiDjbImslaMFSHCILHD
eS1/U8/9+t3RubuY4jgTTZ2N24+/jncOlDVtMfIkLLhC1g6LRcoeHrHW77Jtzg/zj0cHJZXJ08cG
kSmi/dM3VyzzqLm0klEKEn6b1Vq7a4j6uk5dA5dZVXa/mU+dzQw/fqBH944c3/hDJm/+zHfPnMZZ
ELjNUQYhIrtuisKp3wu6IUVvFaj+NnUa/bnyiAHf5I1XmE8e1EjvQM2gNfd//dj88j2Dj6FOZ6HJ
qIRlyE/fs6qIYWnqcY5yr9W20tPLnc4w4za1vN9VlDwmP/3iPq8b6uNzBCT3qv1z0Zy0aKf6RHpR
UaPUIt2i0sbg2ltsu3tBxqYjQkLJ2A5uuNqanUwRne+6XiNe9vudzdUBAIkx7EObz7l8z4DlVbGE
E92F3Vo7VwWdFjEFrNGP+axjKlbNZMybRXnWi53lvXtBHAtiilZZLgpBBdX+UeN++mM7IifAGONK
uWeh97NH9GD2XIMlCUu30vnTBLM5TFfEgTfqLgnms7yzhz2TPJU4PvddmdozRIEsl8mHHRToNzfc
Uj60K4zsZ7iZWSNkyUJpeI31kZhL6cG4cykybpc017w2qlHUFl0IjaJkAhcorwPgkZNbsUFB42YK
I5ewLLjdWaLV4QpAFwihhRGdUJA8EcUmCFQ5yzBznAoPv5+tQ/ZtdrRkPmLWLZKInPBl/rR8UUom
fGk7OXiZ5hGag+jIYQJRDnT92ZotLGbhLJfEvfPGOggOKlGVc1MPE2DHdnGt7tDzByaCfqkDY+M2
9qLzqwNaTNFlB1m7sxfkVFf5WixBNOFsbS6TvG2XaziihfaoidLsLpKxV+MDshvLiQ1p6Ihp0sqB
Q76u1RdWkuUrqwfNvLSGqSRSNpWud2w9VEcn184zdTBVNQ0HIepEbWTGIPglIFzIiTgG8cF7IhHf
bIoqwt1Xkdt6mLV2JS7OoiMpYoaBqXzW7BSGmuBQrkOMMQhxgWSw0w8tA4HXG29bnsRJ61TJfZLA
ejkaDj7RbZebs/lazobMNijP1Fl6hu23YgQiS4RhCwhPscmrzi/DPFUzqCR4jklIwnbnXlc5IqsN
Klyd3wd1+3eFGfFL1QVMSmxDpdhbkCFxFpO3nW6mnKzqrah17bqjIc0BpUxyfrAGlRgwAGynjM1l
dNRXKxP91bLSzsMjy88GXo/ojnBtZdXCN6ymS30h3zxknKevAOjGtg89JbF+6skExs8oKV5QueXy
xVQmumCjqx18crB+23hgyDgAdRLEdBR2pfNsr7lnYVadrU9jLEty2QLCuBFBCY3EqeAc/QN9ILvu
+sz4hPiaSxysCwk4EzznB4C5vjo4+jB1m9T0dCjOdlfbUd7haY5B1LXOtmp080tAEshi2B/euEPr
bzsoztYZ4NSU969ehortJBbwNNGyAqGMEIK4flgJbak3Kq+Nh2ay0zGucbdOR69x6LlUmjf50U8W
fdnaUyU+ifTKtI1ZnnVbleH2bwj3HUzgFMNDpBD30/FiC1VbBsDtfVcR5nzycmHiYJzSOWX2iuXW
CdXYevlVU+tJt62c3CGZu/RTPR41EsFPaZP4CFmT3j9naAzCjoTMrIcV8ln6vCKc54+RZdkSlrJi
v44XxH7k4E+fm2BO7ji7zXxTdWBpH7WqqThu/FZf9xNn5nel2/0rSDI1XzA0yF6DkUS7iwUbZh4i
JnTnmBo80WJ9yMsv3ST6Kx1ZVGP8h5CHFcIc4ecFPLHRNCe1+zbWo9RvQZAY3XPZLPodLqT+2lgN
hkcT8UDrBedQdY0IdygOWtkAyXQQuq0Rs6D2vumB9UV1qfnfxwX95mHp56HdBdlgyssmNfRXdI6O
2OFsgNuHMkh8WZOB6X3wO7ysZdA6EDGqDHJLSsXobw3ZZtklbOAAauGkO89uqncu0VG2+ZKdvZvY
4xHAtbzssy+Pi9DhRyxLuV42Q1qR9uZAEN/4k7DqyE0IOYqCZEnxg0x1Z92UKKyNOG9RTYY6hh9/
U/rTNHxgDA3aU1fWXh9aQ0qQA2eJN4WJVy5IBoGf3xYrIzWQs53+5rsJoDIkT7lxUXSaa+8XO+XI
b4VzzqwcsLlHyKs1tNZORa556XcNgCgy5l0jFkTVOxFRXqV4KYw5/2jG1nx2i9qHC2hANooyqzA4
GyR3gNpgvB9b5jEEz90lWtGVD0VuqeAZy4IUO6/gdQ3n+mzRLXHG3lnmipPFzBIojAhGLbT/qcJJ
outTksVe66g0Vn4+EFChapTpogIW/uxWAMN3eUCi3KVHasTwmPZNnYRT03BL5ulYlHHOmtDnQcwU
gMBUTYSbj8AJd2rhKX+FsZu6UdaPw9HWxDwdEMvDIIauoncgnxRZZoAEl3xflThAviu2/UhIh7F8
n1LP+2pxMqnPOZ8MBFAjUoINln98Os1ZGRnnDe7iJ46NAoYARFQ9uOW0IuCuLi1Qbg3vKCl2S58l
DOVIUp1DUwDGfTZbF5+B5g/YgqfZd5dY6rOvduc9/3iXw09I78sm6e2DURswEaLSH+wSnrVXlQ8A
aWr4fAAgcE6Vaybrk0qnKT8CzQuKPTSCAGHd6tsLREz6GfVcQWDp8yjo8dyMQEEtY3zr8RZ0704v
OnEnx6bsUBr7M6+QxAp31ZbC/7JrAMzhpAc9uanINmRYobReD4s7opoGsO4gWHH/gNnNrs83HFX1
LNsnKiMkzmGj4XDYz2hy7Qc7X3TjWgFk1p9dMhPE/cw3PeyWsZ2Ka2WvrbFlvZiOu0wsVhr51lA8
T1hXl7tltAjd49fP2g+2rb2AArnY4Pek2UJl0fwzB70avJmpkmcdnQ528UuTAqSJTPS5CtaQv15k
+gq6oQJnI9H0BkBosg5gZsghoY+od0cQzIYvjea6W9TEEdRM/M0x5vS8mGGqD5X2hsBdm3YGVqRp
q+l8wiVq/8nb0lcWxikntnWGmzOXLpYTgEpbZCjACEuxmvON6LTcfBpdS7vCNFp7lyPr3P6zCfRx
urLFUjNt8XLb6O5TE/0IFpwJMECveY1x41VZ5u/03g7etV7XuycvmSa0vW4TmEU4D9rgbLiemIiC
wq9tbFiJu+gAvCfgRe+NWCbtpa2hfPINlcvjH3X7/xfh/h/ay39rYX4R4V5+QS9K6x8VuPwX/1Tg
msE/sHwjIUMmBFecyfW/vN+m9w9WZOw/zhuCP0ye/6PANeEIemfVqn4eCdClMIf4lwLX0v/BkJ9J
OOq3s3Lhb4WX8M9/6jYNcDL/9KUzGWD8+3PDBUeJqxt/N2SvcYzbjIp1YA4SismPcyq/K3x+d4at
NvYyFpeFbvabviZM0WrfeLsPiTvu245lqAO8e+fk49ZUuOBqE+hJ68FkLWQQD0FwKyn+8uA5ad/r
pIkENrSWdQ+Gn5De5JnaG+ae3V8RF/qweLK/Jsdk6/UWUdfeNwyLn2NJdpyaim1S9jdKFoexz944
49Y4T8yze2WYnzDG0JFbjoroXZ+SycW2jDNR0h6FODivrSq9aHvwOynRPlUhd67W3bi5N0VuSvZW
1a6HyuOHH03E+HYOVqw2CM0cui/HWt+Wcd7kGddoJ6dtq43f29mdtkXRRLzbH1leXLPRBeRL/3xk
6xk7XvbGfITEUguef1p919asjhgLvihV3gwLXUSgd2HiBJ+OvAQZfJDp06y141umOy3OHsB8g4N4
qEHEHxUEakcjKFI20aLRcB8W/E4YkdFfhJPh3fm5K/FJZm3UrFUTOe364hZ93BMottM9Imksi/wV
CkRcph1FRHddyenWHs1rFODRSv0IYf2UB2BXy7p6BcEFY7qZj0EuvIhT5eSACmB4T/7LDGZ+4+fm
OaQsAfENnTfNGsA1xW70MSKJ9dZOipOlyiv8pcdOpQPGreZeDRmUVth7mtDqLVdGNNma96nNyY3m
ucfZ8xEyt/xj/3yRWv3S7kDQlDj6LDC4a9lpF7wr4WD45Ka5NU1ucVXAt4NqONxUyuIqldp9rqCV
V4nAZTYF1Y5F3JNmiws7h3+mzliQtv2QBPREDujr7xB34ekt7rQfmRRQ9yzJE/AYEdM9im0tpXUw
iS4bMhi94JATgNWtjHCXOWCXZkjawt65bnejVPIdvOLJHZrnKq8U3kh7Cmcnv5aypWu00605et4W
ZtqyxTvHtKUNTlIt+0UGZez03jHF9hL2y3BlOGD3Nb1QZ/ydfUPX/m7Lft1C1kc3UGf8XG36koPS
ZJQiljCX9owtyrnMB/WiiuBR14qTV6TLNsUYyStozld2VR4oEYd4GbLXCfcwa4p23OhW85RTiQPC
ra+47cigAN6+EYX8sLLhZNQeXEaP1bokWCzIToU9tmEi7enQZ0KLyoFyoLQnA/T3XF8A/y+jDqjT
zk7rMpZGUIbejFMn9YvPyeDqqRgBwq7SHDBzwwUmpkc3EDiEpnJfAniibEtjMNv8Z9n8GVT55dgP
pGMmjr6F5MmQpDyCWOKGQ15vSPOD8nVndug826GoYgYJJZ+FvVfOZ30f7l/mEGlxLc2i3TS8IGl/
W52decFbZrQzj0L2KabLcYBxzHTyJrXpK4uMKHra7+pyGBcQh0PmiXvLhOcD+7K9dDXCWMColhsF
NWtr6iI9ALtkKjGOb4XbkHFiJMYLIUj3zrBcLmJJIoy9eJEq4Vw1NGfRMjvVZw1xG7oUwe5TaWUH
m0kDEyjoecE0bvwyIP3dq6+tdT6dI1daw5/3doecezSqDQ9CczMF2sXSjBddEXxbvfEhy6an82ZS
lSnY+1n7ku4YkDulJxsipa4FVlJ7NY/2uFzAKgUFBa+erIQMA7dv8UG1tu/6XA9xj047LFzlyVww
lFGfRlLIqKynPfaiGwrOK7JhOAt0UeyHSaahAEs6OP6xyzUzboLK3a+BfjmUFBxub8KtGfWvDJVK
6PvnZabpA8KvzPKoV/UYGvMc+6uaMZJVBBOUosdqX01x1s0OsQkeUXbVveMVr7m6Y2a1ryaNIQlo
fw79YtOP4pxIXSwPSUHekuL8BlHfPy2u2Z00YQLFXDfrUB3TZUJ+hxKVUCgSo8LJsaftIE1SSpPS
iyZjbT71nONzobs+5W56rTUkJI9F34HLTNNNA3Jtq3vieirfzbzSY6fGQublyxVBHe77ODTfpOi7
nTLSMzfF2ePz2qe1tp16Pa7xyJ5nJdjR3eOE/csz5JUm5RPORneTjuWRduxAnc6CiPitUev4++CA
xnz4tXj+HLeiuHDPmVKmW9FRISqNaI2w9VUb3M2x2w4n2fuP6txJDsmFm0/fdKONVhHgdesjBWTh
1Aj9i3jmR8NLVuQPytmmioepdoqSPAZmNDKthlgSd7Nd+gT7Kv7grgNf1M7tsE/TQG4tNYzMGac7
e9RfZ7luayZXUUBMS65r2BoMDoCJ+cS204r8FATcQOM6vUovac6EX8PYtR2kLyhyPOh+QrqIgrWe
scg8zxP0vVlp6wsjt2ffHeC9TYw9HboSXO1Qzaveafazg2MTzC5akTrNPmQmxq3NrId/6MGo9eYE
ShuMgCh15fChp1Z5WJcp32upPTxL21yeziDe1yWoyls9pwVcRi9WzjU+UpBuGP7J8GpG/d7S7Oey
yrsHuvoJru5z1Tj9oSbMa5syj6VAYgBR1xyyYNb7DSxcCFVT8hZ0kMG8prExn09lfMZoYQQ8zjql
eNV+TZ1rXSYAiYHKO208Ls57lgW7sfKcQ2lo+n0r+mdzcbnLvLuE3qifRuvZJqw3cpR2sgS0KWG2
1XEyoExipB/jpuO2LPKmP0A6gc2qzli1KCHLkMHFMQ10YnlMaLPgH0CSh07V7nvOeFMfGXSmTNoJ
384mcFqMmAv6WEmmbuKGFfSqkvTSZOqCLcHP3bYYIQJ1frNfcuMBbkMdDgRXkEYpwgaO1HVPk572
5/fRFXFTegDI2khv3U2WedyZ9aU+aJtZpFHl8jIEybWfDoQjWG9LjSiGQUZZqMMk0VbZ9iP+YDyI
K0hjLM8B4AkilXE/jlCRA1anqXFl5AP3PI71QoszF3S0bX6ZXbGrzctK92OJ9XpBKgLReI93G2jh
Z2E2F2vnxo2LOADoQdQIXgRIHp4mdmUy7BPZHOvW3BU+GNpJbAfXPRJO5e8MQrbhHmr5Vi6CfA97
vSOU68qq4YXk5dRCE10fAdbq/CQTrFTCDfbtMD0BljRjm0knF7t7PeAzbRz9Q3juhaFzn3XL+n0k
/AgHdrZ1gP0lVbcviLyzpHnNQ03JJwmhWkk4II19qt1NUdp7olJOclAfqrtD9nvf2G6cd0ncWPd1
XbyOjXiGjrFren87BuqwagXh6trBAy1LpksMqETFiEpIEZ9m9oC63M5da4WlWr7Xuf/ikMByPhty
t32tPfVl68mFM0F2TOrLTha7yYRoKu1dmmNClw1xZtO3cSo30p2OYMde13Yf6GJXt4JqXm2tMri0
8iuEMm/jYl524lK371DS3dZzcDEgQmTbsvUZU6tUXbo6MOpkRIlrcJDVs7pQNrUNsS8ncADvLrUu
uxZUAoFPzdRUH2Zr7t1Oi5v81K9NAmQZkVPg47VtKv5vFt39XuU82FTT9uXiEiG+Bqe2ra9rS92O
mkM+gzi5gB293L9x5nKzqjur0zC+l/NI+vM1ZgjCSFvzpMsl7s8RTZPGZdKSy8sWOT0Eyyvcj23i
Fs9SFiebQtXpjAvP9J6knT4SnXwe+EuxWWD7FQaXlhxuauaOUjhFPNbWwJUAbWawWDx9kgkR+2xl
1pkFYwXCT83BYaiCp96leGn74bgonfQDi4BFS7sdLeOxbV682b2c3eCTJ0nGZZ/fmaJm+g+JM6QZ
EZspnT6qdA028AG2ZmHbp2pprB1qqv06m1dZpt9MMGTKbiH5tIPhnmDlCkvvy5XMSdSwPGESP3cU
TGS4xhh+RuMIVZRaKeMq0yvtsqi8aJ0fkcTtGg2TvhPILnLt8a6S49mceN3ORiTM4SLnDky12Q/t
kStgmJ1DsiaIYd3XcbzGkHm1CHWyNP8+YAaYKzZlJJoZHHvcGQiTBrN5HNaP3H3PHO1rtS7IML/R
3Q1GQYCVeXq7LM6+W4dT3bI/Z4T4ba7lqdadpxKvZuTYyya3e1zvhN4l2pWDyYpdwtG0R5iRzffA
qG9nMW7qhgAz74sQiH2ZVReCudyVMJwQPzaZDKw9utE6cmnTra0hOI40zjP+N5P3YQxEQ3khRPVv
pG4gju7qg8boM5oKDwTq1J2KRttJk/SMNt0rpd5yX3tWDXDVBWO5g8Nm4yuULxpXQ1FOAC3FlaMo
SVeNw8aiTQ9lx1CKtE4/Sqppo+lKRPk0AqRMm+/EIIaNSdwl6dJ3ueb7G8/gNJfe2MdeP1kHY4Iv
L706sgr/IWnS16bMKbbG4VIY5lXTtk/jijVitqrpyGAziZLFebLLdcGyPq6xZWUffWPf15pV76o+
f09NaknLr9sdlenjSP51CHiNUTyI8kFTL2PSvpZ5BTe7AwLRpYilvCn7LGlaI7XO+pERorddB0LL
pO9+iKm+09m74Pv0b+AHkVOS5E241N01kQanVbhXrM8qGDrksKyq5Y3qiGWGAO6GGWlyYd6KVw0u
A9lsdrkHNDDtMihgQEPmdQfNodiyue2YHZOGkgbzFEHnr454MwjjWGTybLDRTVscafTH8/n/bbgG
K84wcKFANgkf4Y8zhkpzEqIDE0DTAzAWyyaZJKGC15S4LQiOnyfzriI/M3WDTSK7JiycaRPU7Zfl
GTeFWrdJURuEiiWkeiKab7ZqSqoTWjKaiZYgTc9vtRheUb9FHBsAD5HevRztdMNXOnM+HBazpIcU
VCtzPd/0Sc7Mxh2TS5LFujK0Gs28sIeq2jZl04YZcMtIMkU8sOGnUmrb4i3xZzKNoAXRon2yJot8
Pdsu6JVk7r3Umn85gReCOX50nfI7I/nQWsq3FB7GHm8BZKQ2mzzoVOMbCXdPSVYdNNuldSfFb0W1
jNoWsq1uXZojj/lcmReUpoCJOatiVUoYuufRsA2GhRPOM+qHwWj0YLOgPaDs01IGuw3EVzoPg8CG
1kEotdT+1qsM+W4UM/66fCx2Ab31TvTMYOYUAnA6NimxiQA+Efut4JAVy7BQ5+3j9EguMpGclg7f
gGpXNxKFpqjrzKchST+GII+N2bhgtH5l8yT6XfoueNQqT3vA6ezFzN83SdZEhaq2aaUEMRkGqP4+
VKAdmMJwLWdlbYfgKVTEknIDEDU0B7F3wR4JBSJVBcu2MbQ5HmoJ58Wp4IpbVxmlWmlWR0A1X0zs
N9ImK0tae7B4F3b7UbjJ49z5NyOLIszS28E3j54aQhxZUTfY7O/H7i0JZISb6YPYuKu2SC+K5VV4
A+Pw5dayxfW85C+s6S4JFd07FG2AaKIykEf0prc+GgZLLiF4rDSutOkSTP2NBfeo6YYbMT63c3aX
Nef863XdOH7zwlTBPniUxBSMYHgg8tqMCFxLbAvRG1vAp/JSSylPk/ZqYJsN6B8U6jxeF2Zwy2sZ
p273YIPV5ThjtcBe2Bqep7QdeI3rC1nJOyIygqtxztyndlCweeo1Rk4B97qwYktTr8iA2RFrnLu1
calluheC7nJCfBgXWZc9jh1QoLWd5mOXytvEalKU1y0haFV71ZMHSqrler8WRJKwkUTVqD33lXEt
5sSLzNqkulxtFq+qfRE5svDQNO60oFNURMWTWbdEFLWMIIqG8n0ItjmwFwIzSIkQ6fcuV/Uh0afg
hIlsYZSTWcOWQNK9kvkNSwyuRZ9md9iS2fhkwxAyA07OMS+Xi2T1DpZITwyGSH0oU5eLwdIFXWIm
d6ZOkWM2WT5sHCEO6ZrSINoe4V3zPeG0LxCQ/ttc8bfG+X8Z+IN077NuFiWRCvzf/0jf+H+Q5QoW
/q/G+QSRv0/yh2n++T/45zTfcv5BUgYi+7MW3EOchDTrnzwNy2QqD8bCQ/QJ8QHe0/9M8wOihFDl
4znlBUU7cXaq/GuaDwAWsygOHcRXYAHOk/6/gZhH2fyjfgq2rHOmaCK4Q3J35nufZfT/5hgpE7b2
q3nO5pt9L4vYeLfrZQf7fpvkSf2UVjovLr/DtCEPV23nwncOKZqyGxkwiKp8s7zoTFU8uL0EjJdr
isGTvsaVaIzLLjBoj10xgezqkDMxCuyPgiTOA2vYJWbZD6mrPZ/zbP5LejFq43IEULEmdyR7bfjh
GjrmkcySiY2VPjdPNjwgfhImemZrHws+vTlDZyZm9Wp2oEZXFBIBtYMo4CRqeUMTtIwXumJi6Rra
d80Mnoc634p12JD8aRwWo2MXNlF5NDa9puY2x4YFOlAwWW/WgHN77Px4yVXy0Lbvy2LRT0hnP5iU
XsJ2+fzWuBdlvg2s+qpH9bXF4vPA9nInwJrButk3Ce1z1sdEfOxp+PJo0PNgQ8JNB+gxveYM5Uro
1phIkGiQ7snW8sdE23RcynZJmgYJg88p1jyYi5SEclPnNhjD5o1lHSlyvZuGmWV+6V2XvmI4gqBO
fieweYMojMYAG9QW1kEKZgxzEkRzQHk3iXK/lLlF4HKa31WKi6OWn0q3yos88LWNNnS03K0N7GTQ
P63eTuPe+UY0zDHVtdumfHCoXZ1yO+bDKegZHRbT9K5o+XZgYsSdb6grkmKOTc9g+5gs3JQZCSSR
bjGtwox3mHrjhScK0Ys/XphBf1eZFfgCJKXWaNJLD+7NWi1fyguy2OqqQzDO496pZ0q9ZZ/3eRt7
SX6cBhL51Fp+k3L4BJB/vbo8S2gBUNUzcc+kxux9mb6zbsMEYkO7dxKay3NuIJF229oeSIIqihgE
UbZRGZjffNR1kz5QZdeZLsifFmNBnbdempVn7wjLkVuEr3fKLYBLGSEQMUbbicz3etNdIWsaGIe0
n8lgfFa1HQ/LcrDy4cg0vIJIhcFFGagBkh5PCvFUN0Oef3XSuTXU+t2cEjYeoocxY3CtK2sbnFlq
K/Izp2EsUXXy0bf7xzzrrkSj39sa/6JEnuX1ixGbJpoCf7Y2XpIe6rU9pm710Q1yReUkGDTa6gOy
3gtbkTyPoJ5dUzvEVaAegpobEoGZoRUkoKZmlCX9N9H3kcnewNLde6nm6qZF6hNaFr4S5prGPhPm
Z55a5pHwTD+u5oCFU02YLPGtR/Rr7+yhN4o0QUUK8rocoMuFo7xZxQVYzcjruriScERJQKfnZuL5
zV2co5mgqBmOhBGtxgzp1BEx0jmfl58KUKrQLctDpXbYzchgZBhBxPUyqzfjLEOefMaWJe/CVIwx
sUQs6p6t7h4GNXWjEWZ2GZqSn51XPsrb98nedbCpvOYZvuO3lHVczgLPIy6ZMePatFBcdNSL7Nob
sI6QtHg9q1ozKNRQpBGHoDKBCKV2hpRxgZUud76+aMtxVCt0IMtapPPpZKPN7NPm1CEmodKkbx+C
ZNbTNz2r/nATEA5c3epuZ1fXnkFj8UoUZcn0V9qJPAaqJSOVoXbZePtkIe0hGnoryS8ojXKXoaEp
YK/ptsncZUxTfqheWB+qKf1rPUilig3iJ2+ZErDTZ5fbHOasZtFpreXoRH2GDC70exaTu7S1rWe2
cEz7pkVv1I6xjvspdAHtUlXZam26jBnBhZOtrEGBu4mWakNlNmOlqmhp2IWVjYRjLlq56QetyLYr
9w1xmSbI46ZtRBKEFcBEyiGrqG8I2gXh3yl/lxa2eC1JcEyWghfedyLdSAV1oT1Wp0R1h4K33CGy
54UdVPHe4bdngXkN0UI71V1lPdSJBSCQhFwWSe5ybxnMTx2byLJa+VV8lrVaAXQIOQ3fYDoTyNrM
JfmmI68OCiDlNETFz/vKVEeqp+DYrsRWd6Ty5he9M53Q6oaBFFHJCsQlimsYu/0I9lPAJWMuezNZ
pGkFwS6nqVcQSbSG+Sgn7bIX69GYAOolJEd7WnkakRKi9+kfpJR0XGPy2llyEySNdzkRCxWyKyaq
gK6z1KlI030pvf1Evd6ajh/PZD4qNgbbIZNha9l1VGhTv5lAKhy1tGAjN+3o75038OhWaM4WIhXk
IduVt+hAuOaTm9aRwgwBsvHYrU0M/47eY+SVNNv0zpXJyW/ElsbnHom/HjYYdR/EkpaX8zJbkakz
RhTzf1F3XrmRJGmev0ph3r3WXJo7sLPARoSHYlCTSfFiIJOka20ub7TnmIvNL7Kqtiu7p3unHwaY
fSkgi8lk0IWZfX95m9PzcHDy/KJoM00fNY0mnqtwzJI1y93c9VVfE+7QfTKbMvhhWMRXnezjYa43
ZpDlezuamT6kDNvchYGu57CeePeWMQ99FRc3YzFvUWF+tb1xItALdVAHlCOu/PjFduYO+WhyUXT1
jS5BSpH5oDNYzUm666NrKuCGkMTLb2BEp7pe7hCegWLVetjAmrPpYGXRdbYjj2IvRfslZn1zDgO8
JqQaaNNZdp3Z+qE5GafB7a9kiyy6zQJO4z0j9EPgTG9qvFbZGaJKjWA3FuY2phk+WE70TW/6ctgM
HJfYSv3ho3L1NydNgYmJiDroyYxDo0CPE0/2mdAvw3puHkmKPC7xsFwpo9h7QDEnz6ZBPLFutBud
tadooIypuClc0pEGJ31Y4rdy0CEVu1uokQMqHhOEjAa0uj6qKX0pFrGebZ8u95LtpekJSdbphV8B
XUmuQC2Tu45msLbfeZJ1eRLFvvOraJ3UTEBgb1/Shqp2jPe8rfZ+xYNUm+E4EaiJK40UKNDThgeA
vtpslyXzt9pqtnMVbSJh7iNZvESqvayreN8oXhCmq9koP9NzC3pRhMxelKDzU5Mqe7JdTdIm76Iq
rzMqfFatiPyt707lwXanHdGa+7mbtmMcvGuaaJ3kplOnGFcZGNPKoCdsJLOe7McOPTY4EOebx8FR
oaKzT49PDdgbEuH8W0/lTLVcB4sIdoUmoUgBw5BIS1zr2iaSxpXek2jehsL4HmQxW/8JwZr4TIrq
wiL/k/a1lTvpTa6CXZ8Yj+de7TBKpbUrM7/4Vo/BkzmK/J53EummZJerCDOoXLGLcu/LS+1QaI40
1IOw+sJ1slVO6zJu75K4a2b0nHEFRfVElOl57jdDfx7LnVs5ijN0uYlalkJ/RjqGwrAzrooU9CF4
9aLQyi665LZIEG0NdHt0CehqlSzRzVhXZM4nV30qMnQBzo5HTa6i2BIEYvQXg2bLENUbhpQLIP6r
IMOX1yQ1rE/a7gnW9JZ1RCpADPnRQJS03bYgDuR5TIaSnfa1zgNysxszCs88cy93SP+S9SCuHI1u
WeIw2CurUY/pqKDR93U5PS+Fd5ubpIcZlfMSNO9DjgTbivdDNetwVvIWH91IeqhgZegQrjoQlzS+
ddvUo48ZUeI6cWdCKHl+Zgv4wbvCCbiLgoUGHmZzzkRF+1iVZS5XwnOW7+ANwOi8dMPJnoZ00zeU
mvvaGjemZWSXdIvTXVg7D0TpEoRaYwVABfuyWN3yRSL6JqGJhiS7+DLlGQrb/ibQ4+OCsAQY7CiX
5kC2NJCYRS4BYdBzk2zSOTrZpKUMtbdFxr9xGwg9JycQrpDG7TJ7xLejSvyWx8tDcZbwUyveEFEX
loqkzQp1vErMJ0N5F61UextdVKvbTe4b9ArL4ERD4SlNiMoM8AqX/lNfTN9R6lAVfxv07rtKkvPm
8gxEvokLP1R9H6awAOGoWu/BNUtjv3gA8Z2DwDlq956uLsx0ubTIKmX1H/k9FGVifRkOrriHcLqG
kNpOqtws2IpXE4PrCgyh3de4lSB0+cWjtIIAlze1b+xieg+CWaOwqrw90wPVmLpeN16077p0XTsV
aD89xKvO9apVNGTzHinCoy16hrnCp0tSZw8Bm2xcZLvWUgd77B85CB57aii3qgOjwmpxTEbixswn
zI7BWsSudV12Dron4ziyfqmyeA+QXlG5qXbLnITavWVbeXD5ptbpqcC0LZA2uCC4+2FFSnF/rKf+
KbONNSzv1VKbKfToOQE6+Ywmse2j9Fsf9Kc+BikGMnx2uukSBRvvdrCfuS2e2tN7yInjVclt0jIT
OBxvq9RjfxUh9U7g6wx3YZ6XTw2Byd9wPGlUPP7eKeS0bvIeMbS4XhJ25EQSHk3dn95E9vjk1fZr
mTsmQczJFUqXt2ZJwrYsHmNS4tdpEaBbMT96HaxzxA3HbrhuCNdSst03bSPWwmg2Y+3c+DJu77GI
bNM2h1C1OJ3Wsr7NG387LrJZ2cn4FS0Y/AHZKpYI0muweTQrEbBiBf0Q0l/2RrM2uuvZ/lCx164q
N0YcMhV7I5vKLbFzG1vpLfm4A/A9w4cth+KCqExOic6bI0vWkQBuJHLne3+x36O2emC8Nx0qQSUO
LRVsdd9v0UNlmy6TW6eK7saecm1l3Y1pFA6WDN0xDave/qCUbe+P072n6ueag3uOuKzvmJHKfN34
F0HubFudP8Iwll1xS/MxYnJXIkVAlOvQDw/LUgPSEjKQjE/0xsvLtmlA2BYvfc0yH3WiqSiSMuIG
anHomRRuehnE36M4EdB4SR5/Rna/XKZOijxAVKV54IkyqhAVEjeYA8kqruBGYuKsIYJ866EzrfpG
mIs4EdujISUbZ51TVIomgOhB1/HFIZcottuZ4Vkty2VTcMR1akmMPxHqW87zMRM1D3BiRebGk2O3
Wxa0THjptmMg3pUTQ7eR7W8eKL0jRNptpn1DLeuuHdSrQcb6o2m0BgNdZL3nU948ddKUO9TywzaI
ZLIrVQ2L5vjdwcn66oYR1gTuNEYa5zx3r5oh5tqTyb6NY99+tDEzjWvMDgjgDKrS79xFpS4/v2LM
MQCaHhRbGVp1TI0Qzw7RBsgMqOYbFKd6/CPnsoWsOrG1ZM1Opku+Gc8wR5fpHjtJbF6XnhqPBWVU
xVaM2fzh4Q9at3MzHViBqkPUxfNhwFR2XHTJ7KGdddW1EYBBYm1nEodDsvqnpywgQ9/F0fTc1ZJA
Zgo52AD4mHfeNI1fivMUzL4rd6U9qL2AormeVDF/ZG7A0CsK8neqEj6gIxueePSUKajiN6tO8B5x
aFb1stNxNBHkEPk7g+fhLeo7bxe4c/bOQk5DNN2AzTKIvS98ggPYqaZP54x862EAnLUyz34YPT2v
p750TrY9CUL1laP2g18le9E4FjI0CjnStmDJPGdLIcdk/m2Q7LMfok/DMLftufiXRUkqiYiMet2b
PeTHIAd4jjO+WLOUePY9IIwCo17cK8/S8n2yivRBFBnXCylvugsEJTm1JdTDMMbVRZXW9qnAwrwp
THGRGQkkzeIJstXR9KG1FJW+pcNEvEZu3L/E0hKsqVovtyg+GEj8scjfI/w+sDpdZWwsTrd72Wgq
6FJkV40zMcQWbuJ+lCIfKKdsbOrjlKKHtXETmHrahI+uUaWnlOPRs6YH5ZD2tnuBzImGQqkCz0CB
Yimqd89OMF8jpcmr1uW4XjX2E/NTBSXEJqOEPCRJGWq1HNzAuzVxbuEHCe6mvnqD2tw1rTqONLbu
YhNe1ENETeF5hr/tQAmJLlZz14MAVLLy/TWKuPmiTmB9V2pg91/hJ0wXFETBzk/GYcMgPzxQzGnh
O7GJvZHM9eXG09Jl9ihRQWlDrHEU1jsHANdG3yHVXTWW8U5wVWZ3RoDDO7DLFFpDnGk9w040GmpH
en+6bf3a3BQ0/nYrX45vvq6eoM7NG0NMDucAmvfs8bI2YBspntCbLAjSW3NZ5CW0yl3lFHhzMGRO
3bDT9qL7fdUQA75rx15eTlI3tBvnHRqasn7NSvP8po6xPhRJ2jlrm5QGut/rNrloCBFGKpexpGKh
aXf15Ly7ShMOT4v4dBm5OORWc154J07IZljOBmhrYVuoEZNBN0ezhvnoK63oLAmmbE3FQ/2RW/B8
q0V6EXcUf+tZN347Co7alsUsxWGkH17OMf1Id6l8Z/Uj7nmFjqtRKENxAS1N2T6i867nleTfPaqo
RWdK399pkc6wp+z8oMlYRCgO7ztatR/iWLEebGc5Hz0WfziMjpmDKdIQfMQBimMnzeruclIoSnq0
9yerVlbLEmIGW3tkQuTdWkxAFa0PgDJIIxkDy16EQ9RjFJJD/242fbJBxkW7oOfVK93QvecNWyO2
d30znqreGu8sXTDd97aYvsu8ogsHx5PBwJy5C/O1H69TNvED41XzSStfTEh/h1h7GaKzFNeNLyca
Qi7wywKXWFZML0DdV9HRm6sbjAI1hx9KoW/zwLZeI2awYNX0GJWZIR3ethTLqMmKnWbtcG3J6JvT
N49Z1QEs6ujWHBCZlIblbZoFfr9ioAfucLi86Lsq1LboH++1tVtaNb4E2HZPuQ3Slsv8+KPt2LaS
V9s04j2dXy9ekd6Yk34YyMJnGVmPXEqOpczhxtXQypqDRQVa44ybRnTP/iz5K7N61srMQ/oBRlxe
NCyUlb8RFX31DsIYjmxuHqFyIkT31MgXq3LuQZLMHVpkZ0Xnyc04yXklxmpXuIixMxj3ZHS/dbCa
G3pC9C040w0Gm20CtpqKB3uhMZHSgfeJ9c/MW/Bew3WaEz6d5tYwANM7F5PSMnMjcTjU24E3yTdQ
UUvwOiSh29hS1quaK3olwMEIShvkY9J6oQ+FnfXiAarbWU2+fz11nBwooP+eO9aVoDR3zQm7p/f5
LARKoXZdUX13eVZqVuUNxqVrkQ3YSRuFmBfVkBzvc8/Ru4W0kbuhFz7ZU9OpoV2nXOzvnfbedPpI
Yc9aqCpMlsHe0T1W5TAQuLrBnHSB8j+r543pvmE95SIm8hFX1uU80atAHzd7LVUWjrWsGmECpqTd
qta0pIKNuVF1M4DyEf+2n2rKd1Nn67IiKNiXQostc/O3aZbs64UzrFWTHtELFKskxc+AlflONqUC
Nm0fxr6/VkGP4jcF8MI+mwjmhSS3RJjM+Wfc4RTztbwbRJPucfHJE3jDvvKjBGMUhzzfp1/eKNUN
CcXpClHdJ9Z3VEhVVZJP5d+RSjyvPOzjPCLuPRGAOEQAt5tEBqEW5tl6sYfTcZ7psWAqqL/lHvJK
YPqN9ovPMUnHXR7XesPOlIprfFfGIxL58jAGyit2tme8gBxcUOkb4GtHnWchL5TTtBdDd9vM1Ufd
9wk5tCNHtKr46qIUeEt8USr+RIJxuqlsnC6OQ0cC6q1kd26I2oKoPI4JqDnSs9tIYOYFfl4ujUQ1
22KMuq2TF/VaepSMNZ19qubp1cvzQxCRfM++ghClqB5A441VV6CF8RJNk5TjIA3sII8gMw70DK8r
pN9nXY1bXVY9fbtB5lG8jh3MVmIjzIYrp9YYV+IV19kFy5meZ4SPm3IIcAUs1iXNR7SsG/54O/Um
aeB0yDGPztuZ+lwUwDH1N73O+A0Xnz0Xt2qT36o68dFrWg/SakhrIh7ilYKdcS9GgfSxjNCvBygz
r0lRTVcDmYBoNFA/TPrDbzsX4WHW3c/LkL2wkU8XaGXfF0MlLw6tsleqU3uCvJApGR7jCVp8saTR
OqobXPVHnPMqTJSf4FOlScPObN4Jv5tPhC0aW9tGU5lXJ9WjF1/q0PSDt6kBsAP2MICkIMYCe77U
rrkaqTe1WJebPHuO4WEq6CGUn9l+AcVhRVMkOFQijOPevbQ83tMaaUnnZB/kUGxLzLzUYJYrOapt
bmePTau9A+HEa8cEqDYzO0Qjw02yOFMzxyn7McGZsOpj3YFH66+0a56XLIhPuGo26EZNRJZsKpww
VjYK7p1F1oF20mOJhbEzXVBtluiYCTcxl+HVbYw2HBSCOezpj8uICUomeCzSI5V1+5SqpCDjXEX6
oVd1+3gskLqq5kTVTnM1CpOMwCCCzLFYqgOhlg2UxkxRb1RRHIc4Z0r5JcGuqvrU9MvB6vycU2vv
7s3gVDpusXdoYzpmyjCQ9zru2quzh1kVT4Y9fcFi8esu1x61bCzt5xNC/BwAMPV9Pm1spKSHYRT3
RDQ+Ti2VSXUZHxzsVfOkLlRpXrqthygLJRus3wVukiMbYwcGbKbizGtutWtTc+YwikjYjZSqlFUi
goucijeqT9ynbtE8OeOIo4CmkSN0yIMRIOnt627dGM2Lgt3eDEQVXGb8JtvKqylDKjxKclzObfa3
Kn3pxq+mg+wwePRjk6a+1ZK4nzryXls9rVrpnN27JgRWCeDr2MEjxe3F0a15Ya3oyh6WB8xBb5Vo
X2jpwQOm6rCnSgKxXjPk3NbGm1dLHjvbNKJmLGDCDExjZdm9sVIczzg2RCaVST/kordDkxZnH80x
xVtGYThqMUWxg7jQERq2WrM6LD5QQ1YJBgiDkuZShK65Hb1m3aXLPijO2Td1JdaxUHrD2H9VTIW5
yV38UlkyHScC7HZx4fiPMgNfRrwUE5wqu2uCUb73sB1DZ+zOFOdg0MfhUSi0aWITu3q9vLppdYvn
fcymsCDblCYXhwEmrx4arsJpyUwWcNN7MNHcI2Fky1tIZc1MDZ32reK5cwfx5Ynv6dCO7xr+cOvK
jB+ObJPItK5SwRVtI7c0Vq3JcLhOf8RM1MW3zFL26mzwS73hngQFa78goQ+C/q3l+aKIMBi/2QCy
aeMDUmvvVljRftFyxV/bgalCasQODDlb+8Q6Lsw7gYYWgUaGbDB9RLVerZLR/vKWLdYDizwM5Jqb
Mo4InEi3RNvCLFoRPUSQjdNkHptouVMcQRwRwztDkUTFV0QYKIh2svIwFu9cMo/2bDXXDYu8rMud
7bubpkd7H+AkKVN1EY3Fhd0g3JOL1xO1V+wJQTkENXt1Jrr8OxsKlpPAqbel0e2qBHS9q6p2Qx4C
+Aw0nlAFWQcjyDC6qDtmIQw8kHK4SxzUyU61qXLsVpYcH0CAgbt6CugpNzXNDw7++yI2Lsua2T6V
+UfUjZde3j455NpyqwJaWG5ghNYDTzI+p2lFIMEmmptTyaGweMpJN6ER3QUrAlPz+gRFbb61lzna
JNpU+A/r76Od33Ujb5nwxMHxNOBjchFQSpaa0XMmYfBrs/4qKuQIM4p7zRaCiyg5U2UzoL+Ll80a
kssiNt/7zKuIFG7RBnfOhYj6HgcjWoYhDoNynF89UbRPyaKH3WgA/klAoQ1nxr2ejZeJCPkSSdnW
cUeMnJTatRTBdzI7OsVHnqorXRK7MCN4G6aH2Ik2Pir6yiSjw9JfYJ3wmULxYqn5cfRTOs2G8mZm
WB1bAOp6CLOB9u/eby58rS/o77gpl5dILOvaL9AOkFqSy1tgux3BNbteJeFZGWPxLCq73U0m4F0l
8YQxr27tfDzkmjXJnrtNMSQo1Aj4GQb+4OurrmZrphQHucI19ABFSuZ2quzvRsO6HxFEWQ7i1LLG
018GnHY7WB3nTCQdJZpVu8RdYn8rUB5GEH+Bc4+d7KhncYzj81HAGdWaPZsJUGz8kh3RN54N8ogI
m8FSJkfUP/POtHEImN0prdSWXXbjD313MC10zMNe+AWHSJ69xN/pOf6OsZF6dPKFqgqyBeMHa1we
yYcOLD+rVL7rHXdL3vEaDvHO6pqnGHeIzqIwJpxloNpzwwYZf9kRq+w5HWPysgMz/qotvHBZkDRF
Ojq03nzZmQlvljWumix6EsZwxI3ip8Utx81xm8IST2R5rAoSBDEVR47xoAtaJ4YorMmoMRbmBpvZ
ojWhDayLvnVoh180ej4bFLfAfMbHLKy2QDAs4rU7JPuSZjEK2BCFLjtTdcciRVm1eCuVF29u7jwN
cr4Gc8s3E9i+V14MbbOn8m+1uE18a3QYDuF/5imUYganT+v501KMTmp2viaqFPOFC+XWd/Qv3i/u
MSj1Zs6t+6QcrkZIExb2lomq7sIpSHSYUvo4Ib2GasTaPBjM0T5P9sz+GJZNdmXnzfLYcTxlgYwB
XIFTnMg5unMZ+j1i48VcvnccnJI2uw/y5d7vxn3S+/DkRXCZLn5zakSfXiFJWq4J4rqYrIWjjvr4
k6ru5rc4sz/3f5s/h479EKpZpn3GSclzFf5fdz/VwbCorOTRoG7HvZ7JKiCmqeyzj1K2ObLTESA1
KWd5moaaUmiEGdoKxxyqN/x/fJJzqN9vH/Dw8a//gprvrLyjhB25Kzm9pGv+LJlLCIrwCm2WK+R7
3Rt9etxpE0wQXTb+r7umMIwPYHv/Ie+r7t7XNlWX/tjpjbF42eePD/NP6S7/rpryJ83lP1Rn/jfU
XRJ88D/+kDb+TYjC/y51EvVvv7yVH7+s3tr3/uPtzxJMvvc3AabhmegsQdkQYNIY5nrEH/yuwDx/
6ZyMek5uJG6B+0ki4e+VZqgsJbF2JBFSeOaJwEYV+bsC0/R+DchHt84BglS4nANP//iUvz/F3V/9
+c9P9Y8Y1j89S67vkZoq+Y/pCwLjXT75n+WXuFPQ/KftvMmHAr3+1HesuAjX17JaxLtNUgdtz4y3
W87n/WW5+BQX65G9BbFaLA/WFDS3pBeqw5wszhPTMsAOiUUA5okW2F4sllGF8piRZCr9qz9d8//g
nbR/zoIgT9+nK4COHsJ3EaqaiFF/+vTUYAAIVOyZTEPzG1n71n2GSZgjebBUTItB+80cYo4zOSq5
1VzQPY2IgWgnKwUZEc6hndCVrwxyK6o12BzxWL2R2Y9RbIZZIeSVNP35Bu3T+IyihKNEs9jGDT68
ZSs5KIaezJHKpIVRPi+MruI6yuEjV6L051uPzuSTApHEcdXmCWoEZ0ow1UFGdHA81uofX4vzS//T
jeRSmOf6IO4i+dbnDJA/30iTk1yRexXBwSYn8VrHCMMnYayDWnjrf/yjfg4d/e2q06MlKaOniuJv
osLxazimLrIJjmhuEWLV4khVI2KDgLOABBHaRX15++Nn/lesM8Nnq/v285fLt7r7ZduXH286qcr/
+dMS879+/iOvzO+f5Pym//QHPLqJnm/7z3a+++z6XP/xdp3/5n/2i798/vhXHub681//BZ98qc//
WsTH+vOqYZ73lL+/5tz92/+h3fM/+JbflhrX/ZXQeKJ7SWhBu01h1h8rDV+xTHmONhXndkTe9v+7
0BiW+JW4FunThmFZLnG1f9J6W+avNi161ElAyjk+PSr/zFJj//zY8FASTCMcIklReluS7NOfn1DS
jDQdV6olJSCLjStJUFG19qcSM+QwCU9uiWKkVdYpipT8gSEY4D+s2RgJXXAcGk3x4DahrQJqgPGV
TbSsLmXA4W6yOC8PjU7zozQJb13Vbiw4+zTkNzB9+bncdGhJqU5uY4vUDWkw9cdnjTYAfExeZCHb
j8hJAxv3cG/f6QwObuO0tYtmLA9w3yLi6/ZONNo9B9D6uUOZhf8oke8OmV+/nTP+qQf9/7et8kfl
1t9/cC+rtvr+/efEoXNJ1+9bpPmr4LmkV4H8P1oP3HMty28mBePsNhCWTSI167vJQ/iXLfKHtYHn
klK48wYpWQ9/3yF5pM/9oS6ENfuDb/5ziUP00Py8skr6CcxzOLYHj8nJ66+LivwliIxyjt5a5KzL
RTFnVnFVO+mcrYuyb5oDDCR9Exz2C6em39lmy18hLww6Uh8WP3WJ7SHQpISQ6O2o7GcoA93W6kQc
DR7ptWjtc9QG0+FXQSt1BhoHE6wf0tE2ghhps40060DG9ESMemGXsnewl3VB8xRZ9J0RDqRMuhnb
DfnnE8M4+btEt/obi3qK3n8gPI5ac/bCWOjyEjmhpYdtj6a1v2/jtM9vsCr37rPtuLkV1hUH9RtP
EjABScnS/5YUqFiPdPDKeZ2X/eSFQTFVEuAjyvAlFpEQx8hi+UfyoEUTTvjxvlRsnFWZjjWQKEK2
Xn0X9KPQ17VX5C9GA6R5kKOFwkIUg6gwcXjRW1qMfbNWsGZIkDyqepCj+xOg00I2Iv+/BUHVRtNt
3I48ToRKuDbd3i+HbUlbUnUthwordjbUKZE1zpwZe90Wdn5bpXbZrv2hwS0St9qtd4nb4LilMSVY
a2KPcDxGvUe8XJ7hKJt8N3umiG++pFEZPxNF5dNX7amu/+5EfVZekRsgzAsz6aIHo7M9ECTfVt9p
gujSnT0l9fgIr5IESEAj8nWxxwl/Sd4KYh2cIzBj7n829RynzwTgLu21rKOguwDMtz3AuIqo2hhO
3T4WnLBuhzGv/a3jt9N7YdGNHOpSoX9NWV/vjAovNyKSwYFAyrUF+Lycm43qKJ7O8mLSMdZJY4JG
LGA6r26ZlPfkEUX2psUu/KB51TJkdoPPYN1G8kZaP6YIxzv3AfnZZG/4EiGmUUUn5mCBG1AbMwz3
iQ2ICMhZumKdxaK9buXoYydFzDVSJCiRVdYNEh1IjbUiVxGoEvN6uSuTmShKkeTBUVvN3IIeJRbC
HYiy5VJjHG/DRfAyr+bJMN0wTsogu0qxWGbbwcznx7oX9WUsceQc6XwgDQXxYxJdyw6xyibyS0yh
uvbMV2qwCEJf0MF8iaH27Z3oHF4Y0Ri2RxYQu9Jm1iK/K0g29g/jaLjuboANQqgbOTNFSU7SbhOa
n90NSqn8LpejXFBNG4G1ipL2nAKF4A8RK6T6AoiX4QsUwSTyldth995VLgMpZXC1BJ2kk9Xf96o2
X5IWGIYbVRH/iSReNfahayU5DuSSDtw2C1K/A4vuU6JvxoFEjDzNY6CKyWmSwwjdQXwq6T2PqDXi
AhmIld3GcQVv5y9T06DFqScigHoo0FWM3yPaFORbMFEXOVZ3C/0zSTbN1IJAJLiszDKK81Xmz52/
hsECqmgqaT6w3Eb3zLRkEiq/R5VsKTU6Dxmc8bhLesRtV4lBtMwmUhmS2gXTiEVlhSkQTpLmFD8P
GGVMfoE6S3geqeLdLIC6b1zlcbyZKs+5TbUmTXIcLcO4DxrUUvziRojt138zx6aqDw7nZI8LXiDS
SqlWxFDbktgaRmRC2duhJLcODL7kOJ/WZoZZduymst0nUzV020RqID5LkzuVwCPgptkshW/VrxYJ
YRfCcRz7xqpHWhQ7IgXdlcOgAl09Gcnb0rrubTFIVnJr8lCZVks9AuditviSZOrvB1b5+qnoR0TV
PqGq/i5pHNc8ZbokfNYecWHv+t4KnmelKgyjHVcrHYnkOVF5jRfVk8Mg18VQ+ogsJnfkgWfCCNbJ
QC4ViJjXz/HVONSOdQkaJGlA62rP+tbXUr75Tpf1Tx1UkN7aXJp6o6Y4y+5dNQXIcw1hJ/vRS0z3
4EzeNGwpxDCqq3KqxD0IdYOGq0w9klVwr5FV4kvrfYhtNLxBNsoqJLM4s69FEY/cO6PuKurksyLe
OLM0LJalZcHt0WtcIKQ5Tc5nM8cOyhqU6AtmucHMommGHAh8qFARZ818E6eYm+RaYbDAsuotyIB5
P5dZYvSwEoUogfCMHiCMw1mE+yujekivlwwRy8llnGrf/Yj8aZuo2baFm5jzdrTXhltE9YelJyxW
JDRUznf0XeKx8wHXK0KghlRN68AoiNdDmWQ18rqN+hlaZMzR98usIdZohMSJ9+lcdhH8Fgv6Oh3S
or8ZaEyZd+A37I+c/YYe0znkDZJUTibpMNNgmll3hedTUlxbIyV1ExD7OXx2cpertIsxPDhpYpLg
Ip2eMBGCZvo1tajWreMn8uzLL+wmOiCeWsydi9cpW+VwDy6CLJ8gQhqk/YyENKpt0lUapclAgh72
KN8izi/2aUEL0iLWn8k5mvmiy6g2kiHBhFNebpVr+PrNX4pyQhDOG1ZuzCFx/HKF3tsqv6VEzkFA
FovvxURzc3PrQ55SVZcDMM6jmkL0JfF8WWIppvUpjovhwun6zmesm0dv51hFwo1b4lY481oWUz+F
DrtcR1KpUr4TAnCcu+IqYdZ9htiN1NF8JW1zcntI2tIcdsT1T3iTsz4Xy4FHN2JtsuZAxpd5YRve
a6PdubscTFH312PZwhKtbAjp9qm27No9aepfrDO4TutcTF5EduPrrCo3QTNKiTa2rZbhpvZKY35o
VCuGF11lAoGp0TYLZrJkmhPiB6JGsqElRdsSci/BJ8GpI/uratFYXpAebpSh47a5elGBWzVhEfvy
wbTM4JILJ5fNIp3yvZb9WVi5YDMfXkeX+WBVxiqaz6SB5xwTTgOQjnEbD2/ZoIv3ptSq3ucVxcEk
nvAa47dOyfAoyeIeb7KihvbBPSI9xAcVaY9zZDvFUUF7l3ssWot+LnjSeQoFkrSnqUjd+7boyxfP
sk3r0StM4slAG1pnVy+iTvYRwseBbN6S1LvAs3KxsQbsPAfEA4nxkOd5Nd6NAfUTBu9vkyBydWI7
Xw06NvlQRDPewSSoMfwvm97rz/Jet5+fmvH95yH9v+fMfu4++Qejz1vfJjrpu5/m/PP3/Db8ePav
zCkM7XBQmKlFwPDx2+zjer8inrIsYdsekk2Alr8M7ab4lUKgcwlGwLf+bNBm+nEtFzQMhzZVoSaN
QX8gFv8JfPAHgvYXWIm3KnBZShiiHIAl62+6lZe0ycssQ0BeZtIkPUZOj16TknnNLFCsFz0SDtA1
mC+bf+fuzJYcN7Js+yv3ByCDY/ZXkuBMBmPKGF5gkRPmwTEDX98Lqda9qZRaZXq8bSarh6pSMIKA
ux8/Z++1FxljW87Jx6AP7nelEM/+9M39TbdvcYL/8qsImyhNDlUTcvnSSf25w1UAogQxFrMVl2Gz
tw1n3rha3O1JlXZxyllRe596YfBFUVn/h+ban/uMtC7QroK1pcVo6TRSLGz0P380rB4wOPAGN1KL
PnmtWLBX47dk9LY4Es3/8GF/vm/++DBb2jw4oPEWWcm/fBgMA8emdKo2SKmmzRR1H7BR0t0/f5l/
/yHcj+kY8Y55v3xI1EMEyWyt4poYC3A/uChnTqvHf/6UX/NKEJI4Hk+K4CrgwN6vQS1V07co1ztk
on15b2sz9sBQPUl3/haK+S2dq4PX58Bl5O/7DfOE8Fv5N6+KxeL407vCB3t0BeihW6Sv/qAY//zA
CEGttbBlYg2dBdcV0M9i2qaDp14CD2HtNoA4gDup1D/MRQoPH1YyV+XCslJ9GWCrY4q1CWwy5lam
GrznaYILiyBDji+x2VczoxcNTYwGAG9e5crocaQwk1t7zWg+tY3HT6ujmEK1R9ZYw2cMDqqY5isc
Tdc4QHjNKIQMImBXZa3B8Og7xN8HsB1cNsza6uy1zGPtU5GYn7ivqXAPxhBZs2g7F4hLYgOwM6uG
2nVybMQf//zU/vJu8KCJrCKjSCc09C9ddfR3pZbSPNgg904vmg4bpo6l+x8+5S9ryiXf3P4R+SqW
huUvb2Abj00uWtFu6AyojWxrKgydAs4aoZNRBhXrf/6r/tJ+ZM7CojKF7bLhUh79soZJWsAyXbcb
uqE8ua4wGeIrUAYVEh6VlvCbJkRj//yhf/NH0nGlu2jYjHhosP75Q6WM4HI4CFzctLs1dZXu26jh
zmLKWzERpvHPn/Y3D86j7+XS4mfHpn3050+beTn6WnjoNOjsrPMan2YnufT986eI5cn8vBFbko4b
z449mNmRcH59cqICH8/GtRnstHhniGXY9HAqJIqqjL0nr6/OWldDVJzpUBFSRNm1LWKLSQnBse4T
UVH2Xdzg4Pn9z/9XrdP/nbNIOo86B73HimFROnD6eHv/56oDVXZVMQUpi/9zaDJmlD9XH3/7s/5o
xeryN6DvS+q369mQZ4w/yhGN2uQ3Qh2Xt/nHdGF5uf6YVlKOkAy1DA/wZ3Oa0MD9Y1qp/2ZwwFjc
tD1CqbGb/atqxOUn/fTq/eVX935ZxDLkQklQW3Lo8lOEINcV3/IeTkkxYaUqyAm44tvFdolQY5qf
VbjFTCLrTWL7qNztAAIrtqkVNp8WoUq6d7+AM7D0g3QelLo5wXWWuwpdFX54gK7dOXG/gl5D+wNp
tv1CS05Y5yBEYH6I6Dq5a9yYiJvj6NFLrxrm7eqojFPj3ErvbCW3vjml/OdJC05zfNeMO89DOxFA
0aq5k1xpJq3caaaIukL3WGJ/9PSzW+CGokL/ZMd3pfYtRRDSWddFB9nIGn76tsouyNytno7wtodz
WfpO8TTaqxS7vNpoCcC3QzR8ADFb1QjJUH+sk+4hnx4j82nWD1r6Iub3Pj1w9QpgBbYHZ0Lktav5
OcPWqVBp7mx5dmCYzdknaW+MFCjBqkyBchEajkDpLpJnMfhJdlq02dERO8jU35i5AvSMouPcv9Ek
yxqQV/3WTG6APAJz72KLm183drjXxuPyT7llXByN911KxJCOlP2U55fCvtbWo2oeYbEn0V6DWJ4C
2/FjLJH0dmcQ3LvJOdYaNR/2k0sltka1U9HvUc//ah95KnP++f/gAmKY/3gBeSrTb9lH9/MG8OPf
+GPBu+I3om1Zm9LjeKLQ/38L3jW4Sei2w/BlkRks9fZ/L3iNuAeTvFU2CirxHwOY/7viNfkbub8u
XjnhUILpnvFvVrz35yONfc5w2DyIkjU5cmzK4T8faRwYcpodiDOGuDfVHY1NEgYxGBmn0jgNYGf1
hyo8TxzmlA65Q/gDkuDtfESJW7+QJzNHZ1rOqIfK6hg6JOegyvoOMQgX/lONZn6jxLrnLYWW2ay7
bBNad3m0hqvXOrceutCwCyd/NM8kRa8M6+DMYuUlqEYpIFZJ8BwhpgU0jvt4V45rtHBPiP03Lfgf
kRzt4hbH75p4c4q7Ub/Ied8oqHJ3BUNHPYXD6FxE+im0MuSW9JIJPQrPWfhIRgKm/ZW6a9SRPfo/
nd5s4T9vob9/o2gFeOR0j6jy/vyNDrrRll6U649NbL/afRhvxtByT+bsvrtjt0pbuSlJMhxetLG1
L66JXSwZEI/+dCDdfq8WfhaeiL8+WNcCYkkuNooqx1jmdz9X6AXhbpXZWPNjGhmfBAkJDzbUl1Np
nuw4eR288gPXxHOuj+gKSBgy9MpY22Y2PZbQlTFIPf/z7/PnyyXvmblou/hC0OHw+/wqnyjJPyfA
xxseawNebVfFctvM1mtrTrs8cY50W7QDB5zwf3zsv9pq/neWLAbv1f9coazYlOo/d0WWf+H3XQk2
nct2s4iiDNNclFF/bEqG+RvVuWlICxGcSynCY/zvPYl+iXBpUHDxQwHxQxf1RxFii9+WyTKbkmcK
HWmM/DdbkuH9EsPpIjZyuBrZyADZ6hBNLS/TT8y6fjRDUiqpekVgpJYfk2CxFaNyAQnN7j5ssDnP
jruzvU5s6k7Dn5KFaKBVbBIMMWcnlcXYga3iXemIMoUEpEH8ZrtOJg1c1UiueWXUG4M/BJGsfo84
dtrnXpk9ukzM/WygvxH1gO5SRhgAibpVo9cu7DhE2ZgrtY09hc3Rg1fl5CCOA09j/otk01ywNvy/
nLUcYmfTBiSRyCyBPNTGFQTRlntt7grYc66d349zSMRIXr1VVnMfBpjGkdISwhGSw5LNn+x0sDZ1
EOlnYcxqoxY8ij54ka+77dZTVbVzIFnCmRyaUw5/Y11JSQwIT2jFfXY45fH0dYgKD5p58RRmo4Sl
PlwMvWhuCWrlnRWG7rYQdXksQhTn8MlNVO9muncknBTekXBT6+AHCOHQ9mnQxHujjLV1QarPaUw7
epqpG0Vbj3HWDluhASjanJFDRYazRu6afBIeTA1E8PNTpkoHLDOFXxp15YYtYjz0wKqYGs/E3MTd
97bz9q2M54ci7I/IxNU6ykWzqj1xTtRsA7QlMMUR0zHJA9wt/PzIDwmF9Pt0mfcaOdE3LuEHXVkB
OiQL4Fml1leZYkJuXaZRsq6dIzRwtO+z/KBRAmxiie61cE73hYbffU7VXVRAF2XesJAwBpybc2n6
rahvo9lzTXfLd0uX+xGVGa+BmcnDpMp2EzUMYmjsy308dweTeLtVoHWwk0oIKFWa2ox4cZ+rNj7F
tXiXkdL8SiNs0uLiKGbGntOQozWOtKeJ2cIt8STcMz2bAd2qDBOPwiTA+BF7A+GAK4h6Ox1rYCKs
jdXFcNa0c5gJ3E8kz6QlMh6eI56U8xCFayWcc1Tax7DIXxw8IrxsPIt61VvzPqkFHNkiWaE9WCl8
AKtJES8WApO3LHmXM1Bei1rM+8DMla/bWXFXjHFn4iBgkrdC1yRZnlbzqR0z21tJt9Tx7ICDiEet
fu4Z42QzegOW1i5tAajy7QPvq4n0mwUASMUUpjN2fY22sKnE2lOQNBrIcXeNGZpfEg2Fo4alfd3g
xvct2CJbSx8gT0VqatelobVnoY9ECdmKLFi8u0xrhBv6HGgAz4kA0NMlx5pguqPVsCYaExtBAhL6
nviOAWtp5HyFSXCVeetjjMRZYSKUyDSxqTwDBpid0NkPMjhozpw/g6XF6V6GmNgXsl9eQVD2DHvC
c458PeijmoyLbtyltAhI9Ot64ojoG914uc8urLRHxk8L50YrG182ySvTnAabTruHNnHMKCQ2opyC
naW0EpeP1zMwAIR/7AJkk+kMnxMA4w5IQQRAOSQHuk/ao+l+uI5yT32v9L0Le2xtTPV4qeuu5Z1C
kbbF2o8Si+kjk4pZu0cPAFq+T9iJIro/EWma9J2cZyea3uYmwoFmeBjI8uAQ9q6fFkCPHU8+OCVJ
WEmwkPmkDXnNzglgQey6K5IxPMdETQJMDyCsBUGFqiUU9rWsAu3BiNguosQObmUVXV2DzQFD7NqL
He2aRPJ7BTEgrxbSUJy+Y/8yLzOV2cT+cdHdAQWJGy2f29tnzQuImdBy3lx9JIHX6jGd9rlTnhO7
aPfRGBfo0/IrYY4EQ8hGXUn8yZ6F28PMEgwzxwAT0Ih07Ui4YOWr2qx2JqlX54VXt9M5byoSY/CI
9DkNQC6EAIwB2PlWYsp2Db8cY3ZRli3M3z7bZkHz0eRAB4k4SMFcoOB5m6YODO/8lHJOhLV7HCvd
hwSIs6H3rc7lCMOKLpe8yWmdj5G37h2IpE7z2XEtYjZdfu2Ymy9hkXiJs9G7hQuOGcm+6jtWZXkf
JGBgWgPhgi0SsjQEoRpdj/em7d7oZN61/QtJso92BkUmme6trm6/lBNQVZhDNjfECsludgvdkgws
eoCAnRARwDrqrK96Uh0S8blPvMtkMPCHYY1ggVjH6N6NTP1OlqV5ruasWesZoO+1adBwXjzGJE6X
GamPg3yqQu9ricFs0+r2M1NTrE9K9vyyA7CzYjDG3WSr/tQLlPtJPyC10aPvvGHeXtpJasBXqki/
0cjtNUbsQiRcTuOKFaS9WEkVbDC3B3BSeyJUAGSgSLBRailxmor2YkSBY2JJGcJ91qbxBfVLlq4M
z8532LkJjxqU91DhOP7QnFR8cjyI6iuVuO3OAjuur8j6iS+jKVJ8FoG6zKYuXtvE3I/tZH5GloUF
tUkcUNom3vEu4s2RAzWDOWqu37SGjf24Y3dO9UEeqlqb9gpy4tNQFPKKA57cyCZht4jSMmcZOsWO
bFDFO7f8d45BO77GphlL51B3Mg9XrRc5tzSxXw2tmQ6kiJJO5vUAP23jrewaa1OGY7yfoojFiTb6
vq4r0CJ6jB1cm79gimFc6+FVWfDn+TkSTfw+sPVvmXQ/luTKrgOv/RwUIbiN5ZqUZ1y1jH4Wh9BD
V+SWsvY1x8k/930kL7xY73DPAvyWDHcppGwdsFi2kE5t7yHKO/eaMdRaT83s7AnquwZe9IY8oD2g
eXkrcIxmSPFYEB1JfTUhssOU6k9DMuqHluzWfTeBoy/ssXzJcxDkGYczDz1SF42IG8Q18Rwc5m7w
zmOEl0WrONIqtyYFfhrAe+gRBp6inc9hmde7YaY/1TnVXUKOD+yPUF+zTQy0n2TI2ouJEreret/m
Jemxkn4ORiXUfgDepg8Cjsq3QqJMsipvPAatU8FbbVAgNpEMNwkm730nscfDQrtPWxfifwPbqrOb
yKfswiqbFfGuE0OOBc7oIS9wepGAQmelr4MNQIt8J+uMMNcjJV59aULsYorCcjNY9kUjw281t9Gz
q0P5N+xHVebvKuofM6K3Yt3dtm1/y5rQHyMnuEG/jw88RCx8FtxeIXLMyvr0NM+p/UJ6BqTUeNrJ
rEy+eCokq9om6qopov5WNt4dTAmNp2l7iCvj9nOCs/06NwKBL/6DzLerpYMWhbe27tMXV7PsZzMv
xZ1T5eBg8H5ROS+MmDgsnzK+xTNIoPYHsm2Fxx0LYj/VCwKYppYtUQ6KSNu0fTB+TQNPPykPp/Zs
YYWNIFglQf4lNMdVa/RgOGSFgGS41tLYECi9chxoEbEDKICX1K6qB3ecoRpNryW8c6czI6oBy2/I
UY8L62gk3ms8ji8D6sPa1q+Da1PcjeEOOCQ8Z71YYrMsGAWd3E1R2e/zIPqUOLY/zXDgkS7eD91M
3ZY3RzuWRzFhgINIsRn6mFTvuXvwKsdPbajAg+ar4oveIXmOIOoUE9QqM6rfiZN+70rallnFk/fK
594jImEytkECcqJgtRaDdzWrhOCoBstlDw0RkhaTNT8isnwuysdEW4xwwiGtUcAPMh5CMM7f0CgS
VDGClFTISCH2AyeZIyc5YVMuYRJP5EjgbE5icif6hIh3bTGVR260ZJ05eMd1584NCbVuOH/HHKMe
UwdFQwR+QzHE2b4MrRcy+NSqEexis5w4S+MSBx3EjVnpq8KebtmoVvGYHaD6kS3GVCyNkPekyZRd
iNEx98TKi1tVxAlBulV6G+cI3tpw1QbUN6EUb2Loy3d4LNdwxKKRDKOxC3L4ZXVcgGcQZviQ54P+
MeDj2M5pIjHkdd9MMrP9YgkibRCQbkQNkpt46wFrmJx8mSjSMmfbvMtz62p63f2YMSAvcUR+gMyC
69GB+Eri2F2x3SSfi7m5Itpg/3JZOn3/ohdJ8SxFtcVRt3GA9whiy7KSXyonHchOxQCXtRqvuau+
OoWofBNI0RUyB84/HXVckfbk/dnOt0jg3Jt6Ijn0yt4OynQvU5l51cqqlH2y8Swf46L8hkLL3czT
ZFykGT6D3DvFAbxXpA2fiVVvj3mXmb5gOL2LRXoxCFP8kIlXwU0c8HODe4BMQEqYDTHRyT9wrjUn
u6/jLenuwPDiwaf0NNYLrAowibsd3NwBQVNiQEW8sod3dUFjMzxOU33veGiA3ULdI3t8jMLo1c3a
i7OY3IMw/myjMCO/L/bJUt+TG3zkeGOep3fxseYEvng99QLbUXyKkFtjgWydjZ7rDp7q7AybwN5L
Vcw7qxdsf2T8vQT1gvK0SuejUGb7VkPCMwFL4PTZJL0E4ty1fqmmdVTZn/KcJHKuQXtrMPeZjS24
q+W+5vzZZTaLepBorSGsnKwhfO6V0o4jViCDcErHCgpfz7105/TVR0+ORNDZ31Abf7QD4N9qNN2n
GEk4DlXK6AZOFlYH9IcdICNyKAkbdJhVqDS7aeyTAcSpldGae6EtHNFVriH6GyxnHxvVccy1m104
2Uc79s6qNpLs4FkD1azG+gtD20FU3acLp8Z8ojOGYdmuva1jtqe6wfa2AqG1VpXQ1zC7vnRxfTBd
lZ9QUyZXa85QizHMXCcFFkx4FI8SKbhvB43EJFy9e0Mg9x5k632Kw4Krjsw4SQR7q5xvppY/Q4d0
/d6qLvHkEt+bZkczVp86APDrWuvrPd0NMohiLnUn2OFcrajxCyL5LOIzWZ4rada4bz09p1jOrWem
WNmz24iG8svQDm2TNS9W5hZntJJqUzekr7Vu3t633YRqEuVu4CMAFBhRiffeZMJu1kVuRLe4gsyp
RFxuhoiSo7WL/lxyzH+TU57skQwT56bH0zm3nWeidkjWNMgvIW63fko1x/BhJhbfEJw7x96aiq2L
o3szGUG+zk2UlDLoiLI1zIA9x0yhOxTpq8oS+Vbhy/8wXA+ABiyHxOj0Q+qB8ZxLV221BDS47tE2
AbKprfpIL9Gt592OmGLUdkNUHSG1gqyE9IGYdMZuF5HUpDRnXNtgaGDSZFr1wKOBGpFJQowD0vP0
CYXouutwYOsEnT+i1IQt6ljR/ZCUuF9MF4B3rQG5afuRq1Q3FjyZCVasZXc3s1fVjdu4dy4LHWqp
bN3TCJGCuN80QwvfdWtCoZYAxoYCpCQKRYuq0C/metqCH4wPBN7qT70n4kuQGTjgNTe9JEa8mRAD
rD1AE0eAhwzrai3vX1XPY2hHOR0svdQPk24/xplCiszbEvYYGTxcv6ydga21GC0yPQvjzlgiNe1+
GC2/dRP45yCXuTarefhsuaraUcIsiE092ru1SB6g+L+aen4J8R9cdRT3vllC2VahO+6GshVfURQG
cMcSjn/CLHKk60UAYLscm+xxzMbPVarNyDVU+Jg1JhOEiWDtjQyDN6EZkBi0gB6Cwd16udOrXRWB
Ks8LEkxXc0MLZgwG9zpZgPCNNHwzYg/rBdFXxoYLzkVqbrtCy2vCwiwT4y3osmYfOrClTZjSF2wn
b1ZegcQOwDNCPERcm6kT9SYsXQvbQVtlj1EwvWlDfZZBAF3G7vONwnZP9NJ01Apz3uiNa1KK9sLi
TgU9fMo9d9+7if7ipZopV9YoPHJuNWs8kHkfygWC7EEEYXAgGmKHx4nORduTsuSUHeT7TkT7ApY8
35iYTzUv9yloo/iO3OHxIU4i88XL9LtaVXi6mgp2MqbKcdmndVqSZB76ml0hJgWEdh70uectnKcr
AA7CNcYiui9L4mz02WRKGxJCEEmDM9GWicWCaL/RpQk2sxgZAGmRsQ/IniIXYDhBRdZ2ujLE3ZS7
VxAsa1UAMzBx25SAiJ6qovxeUqZtgo46YZ0MKfkBMrJ3NXpcv5tC6M0plF6YF9qhFlx8f3SnV05j
qrWhhcUa2lblT1JwkRwZ7wxlvEsLO4Yk3HrDmZn6FjZuAMka2hoQA6W71NtpZq2VNMnAQyf+mIkg
PDdjYGw7LQgPs5ENW1QV2Ru2OT8Dp7ev4RSeSJCgjLLsG27Qaxq52VNloymZK/If2mrwDhj7KTxH
17zgUTdPBoF0F2ds9GPbTuMFc8N0V04UklxCjZ1RtfkGch3NT6ved9rckmhAvBkKWR5w3n/g5fsa
THTmopgKt9CXdIs3AdpiX0mH1TSCloO8Ql+iCeBSJj02HpD+Dglj0fto2GiEnzQRgxw9kpS26W1h
NZzFs7gngPkwqoZI1hThMsBquTMFyU2NUPeAA2hLt3fKKS76XN0Nkkp40kMfxw4lEa0WEBIG+1bV
+U7efeKV5u4YLRJ+Dd+g1F+5mAEFowh37Q3bTb8rvbj8Tg9j00jtscjdkLpVhV8JQtzEXuZsi2jB
98zokAa28BcEEce2tx50uzJX4EW/RxGVHz334lMewSkk0k1tmAf2K2WOnwWwlG0wkGYSkMaHiHh4
cWojvbaG0rN1kjVovPJw4wjS62inAMx90BBoA+gpmX2jut+5MpPfCbXe0htZa+lsrPXOWVTXzcl1
TLInZNVfnVY4GxRAOUhKssA8++xF5FPLpNPWqpuAVwkA1+H0atU28X568V2A0y4zPdjFFZzCBWcd
aYO3G2hH78GNqdNYFZpPDNlxcqeOtLF82JvwoHD0hAVxLO6b6wzBV4Mu5xDMzwiM1BMQGTA2xFuJ
05A3n7maL2Ek9AmaFFZIAhVpq+BnM9W0C5ycsXWrA8n/XMcxSVCmZhfTuen0tKZ5m1RfuAYjhTDd
Nr7T45ktp56E2Vwgf+DT6OsJuJCbksdK3ItQ/lT1Uf7Z8Ui6BeecoHEA/09a4WSGHoF60+wuDeke
Ymrcx/MuMBeeXjEEuKJnlVVfnVZaVyLJNaJhYFZ3PtAu7030ZoOjlIbml1ES1ombro4/t0kxHo2G
AKFeEz+IYwZ3+rRoP4HRzAmnHt/bMEFlocsX3S07QQRfEh09zXywyZ2kTorObBn02vCenHWuJjBN
VIjGzdR3qZbqrNVWXsOwyR+HIo1Ocx5L0julDbif5LpNH/TdGhoq05uCXINtV07uTQqueR4p3ie9
QhFROYlzkKbY2HBJwhVJp/fdrJ1IhHqvIjysgTcfQdHLVWW6u8n9iumNNrwo6YVN37o4yV86WspY
qaxgpWkU42ZXuNuqRXriTIXayclg7DMjo5xr9jMZVd56wmeGtWp4H6R934o+OcxVXvrhNIQPUmMC
xYRrZWtsQ1oxEycUJBQjVetuA6ZkBhUYu+uQ7Ga78VOXLLnUWkC23PQEhPBOoUaVwpx8EWTJbjSY
c2Q5He6kDbyNnagHsSiOyc4Uo76EiDbjRzNpyTWeOf9WyWz3q2lOFmUMS84Y2hlcSxF093k3kWqQ
sG2YS7GSOteprQffKgdW8VBmA7WcsTMXcg0kvWfuN8+8pMa6Bv5cmvob6EWfpIunzpsPdSHviwga
E00vxSOzBVg7xQqKijTzOy3ntQjs+smbRpLSdP0r2UG0jHqPdvdgJvvSivmrAviPo1tdk9H+Zs2c
xkrrzLuaEY/lxMAdK50GdIAuEkQsb3Tn2fM7XfeCvIhi4t1Ou01JNbJqDEzNThcxsknBsnU1XCWn
GdeRNTvrLi4faq09QLBjViS5NLPdE77U571fjZHl57Ob7LRhJu5elZ5zaxfvSh7k3dbpQ2JSqjDF
qF2nW2t0nVepkeo7hXrwvUszUGsNqel6PQF1gl6qT5Aq4+IhJd7+lbEbSHcKWq7IxaUZ4+9zRbpW
pn2Bz2r7Jra9Nz1L3mnNd7uqLL7C5LxxrK+MBHyYglxnxExP0qJU+wDqwLWdFZknonwi9Yywo5rS
B8XhV46/zI8J08WR5GcesZSJCUOX7vvo13pTP1pOalyWJ9hiN4K7blrgzrIHhCcEoCh4owOEdW/I
Akx+mPTWGjb8lQcuDnxYsasaQoPc3gHLGfaHxgE9XObpl95yn52R4MBoXmVaug9Nm3Z2RNBXm3nZ
VuX1J4/pkJ/yZVMyJ2pryoDZrNJurgXJhwVh5XfGiNsmDuK9TZot8B+YPnPtDe/NoLuPwmz1T0OS
OLiLFcI2LggPRY7QckyBfNI6T3z8gNGZUWP0oKakxtkXe/dYqrtz05bupuzlXpWl3BZjKJAN6qjM
gANlT+Qiq02uArmBgKEdvFYmj62XAH+EkIGdLSHcGqn6tM0JAdqMHTHC+uCkp9BRKGg14wunpbEj
UZPzvWaYufIq2h+yDHaIXx5ND6OOmdtbzanTcxUhRhuqiHo2az6F89J9M6pN46hvhmgPIps56/O4
eq4j79LqQLy8kvrFhsuLwbEM6pVpGx+d45DrNHqbnBSBqxECLy3sDmCHa8IZBRQEV4C7YFvp5YGX
sbh6hCyegokDv1ryf/LwIeAXP4YLoSRdZlhNQ6Q0MRcN18vCguleRxzSyZomzUurClar7nJ+me2l
HDXrqBw17Ikk2SCMKZ64FjZrazCetFbDa2iXt0I0pe/FjAfw9NqQvEky6SamVdEMaqCG9m6aAb3d
vPO5IhXw6siJ3XXa+MXpjLhdYSMM7p0ShVKlFdB96fmmjvZV68KcPw2HW9kluH8TJS8GcY8zfXQS
20xLERRA7hWb9fCp7bpv7UDAUFlwR28yrgRl+eotBj3uHbpvZGZzi+ZxPdbRUeLzaZvA7xvYejkt
43WpjCcV5euC/BalHNAoIhnme8iPDnyljEA6ozahBVebKB3OCq4V4Ef2UwKTkhUU4IPhQTVzHd6y
tGUeUUOi7jWzObR9xt2su5e9kx7jpjzHvbqGyokvsWvrTEXJ213ymtAd4f9EhWA99wxL9nCpk7tA
FdrGrRNat1pa0xUtTO/YjvSUJdejMSa0j5FFyAo98A3deYMl1i4hTFxKzHVsQAgj7giRKEOa/dAE
1k4gj/46JS3X6TFsHyC4V9SsvT35STnSMTUC0jSKEi3+IJKRZGT33aYheBJNT8O6dUhfg0bJK0Nj
2wSnR/Xh4SJ79MooYXo9VnurLZ3VEBbFyYu65Kpi4IIZIXTrWSO1F8K0WOmK3i9WknBf5eKmiEM7
dRPnVWSTfCPjDPsaPC9v4xZW+9kWqbWXifMGxinzMR2TVOXiEhgc5o15YRCPVGa174KbPJHMcBRz
oe0gyvlExrw1VYuFeYw4WZMeqDZ6foWPkLB7zbwMc8b+H+3DqP7aGC7fCJk7o9olbfbgOujB+hMN
tnVkTE+mYonHjHsFGjdyEQQPKMbTIZPsYnuZASvvNavoJ3vqUbPposQT76dGzo5N97eFAGwMcAoN
uqvK2LVLtFovrtg5h23ZI7M15PDCciVgo32c8XGvpso4pI1DQ633dXRomGf9hHUENcyvjHY3ohxl
+TMMBoFPsjMWD4CobCVUohW79NyVSAeMQyXJEtbEZzcR4PCZtHgMB0P8G3XDosRurgQN05nfPGrV
biZmL5I9tjrzwHWA9oJ2jEBDMH8mfhg6XQLTSFBoHiDRijsj71rembyMn0sX732ntTEpHJAtaZTe
ei7Lu5SEs2vUBr4xVN0+sZkO0VbiO9R1KKkEmpRjcQMo0gKP9diuLC+6MzpVbirZmCu0N9PGaDt9
D4wfSDFtxYsYjHfXJZlIKwVaXhLR0nMc5upmImZYtwD7D60iz4b8OuCpTfN5xFO0Y2u8m4vY2GgM
RTm3rWcgxGxecZS9clogEijKecE+SlIb0reyYSZIkAqZPHqF2arRv3mFNd3FLlo87Bsdl0cy5i3R
hbSsXedlzjsWcMZcj166mvSdUxLhmLhcwc03kysK1OSdhMptcL/AtXjUzKHadJjKVjSef8SJ+3ZJ
Mp9LMIXj8HV48VfuLT6h2TuUiHIfxs1RVK7yQRTMmzDGX8O1MzFoVQZketMXe5UTURmxwWR62CSL
03j2Kgneiqtjnd7KeNkXk2+TkkBSyRjonYitNkaGrZsXl0xIL6AgaproERWKvTOUUczU1P0F3//W
Bj8tS+MBzoy4h5HOCdB7D2nmvWpWOqyzka5s0FFhCMY1iU3JinHmxpPQ7iouCm+maLhotwEBdJ1V
oLixmti4DvR7likMQ3msGyi+qu94gmtGiPno7fteb8j5JsQ4TUCI2BGdf7h65TIAfmYSfmpChviG
4FhLzKnzo8wLz1LLHiXM8lOHiWmNxve/eDuT3caVtcs+UVywDZJTUb0sWXJvTwhnpjPYd8H+6Wvp
VBVu3QL+Av5JDRPnIJ2WyIiv2XsveqU+pzeLEkEVEzO+yE8wOdYVWTtGKq9ySh6hKjwtInmrxbCb
tNr5rbwmjvdkJYW9Whj6hcagk7Uyg2cFvo2aZJAbM73zLdx4OZVOg87J4PsCAhcbf8nOInfaFF77
blYxfGsztkl9t/30tTS5y3agA1W6ZRHdB5cC5BAln30hqhmFmPJulVaA3GFB1SRcpya3XmDwJY6Y
n6oNJSgB1rFrMIT2mgpbM9TaeOcPvJHrxYKW/QLuFHxUrONDOyjjdUqmNF3T57voWzGn055UEaLT
PONNJx1o63ZLhYGwUEcqSaRngX2fYRmcSwPW/p/Yi5DrRf5qbpd11eUWNJUsXw+NU2y8+2DTRGMQ
VjMFkXCGi6s90oMM89Gr8L2gwqlXpTDWVRA9Z7W8H7F2FxIroBDiq5ZkCw96ZhIA6dDpO9q4eJ3L
7h35GC0BHJhDBUvuBvCAU4mtQ+qVG8RdP4Zu1ssIItoR/ryxsXuDr7YBJQZDvfFlinZW18auMF1i
4eOrwTE0deMt5YEL46g91nl1MSbr0cuq1/v8c6sBmx8cH7qLDWJsi2c1AkXZseOqkuB1noiZ8SZx
aTOLQ4G42nXPJo8FevuEzIx15rKZGLeTt6a28KIfSQYJF3lfDQ+Lva5M+8kU84axqIfWJn/JSuQK
hls9V4IwtZg0hI13p9RbdsOIi5a95Q5nYFY0gMhq3cU7EQe9WBEME6/jav5VCOCGYLfuMJpehXbM
ZC3tmofBo14tG1z6QFzweXlz9UQ9KU9eb/TcPqV4MAve7tz655Ua1LZ2GmtblQR645h6LmHksMBn
0uxPpGBGRhP28YCwz2JSXwvFDhzAJq/UiOLJ7A2M/gl+zcUGdEJ2MXVJc6px0e3arOoe+ES8VWLn
kOp6GKfeUvtE1FLxNfX4UUt73KeOUYciInnBUCMywaVddmzr/Euim5+BZcKqrNW4IXguuYpBg1zh
fN6wf9/oIPpNDBE1HY6UEtnWXgzBuCXIgsrVoSpjQBM9BMb4xeJV79F03tNZhb0W9hCsy9JQ+3GR
zOaXUV175rHrNICfmfXsW6LKMS6I6YjsterpRVO1gMvpXxM7cddLPIvHbPYrrtOyia6LcFqciZwP
/yioSbvIXqj0p3BmdEwENo43HJHtrSHvl4udUojuw4HRZID3NKzlHNSTWkLZQxgO/IgkC1lTGgV9
vktN+GJuXaQ3O3etkxFYEEhQadpQ7C22WXSN3dqXTRsy+ZpvBYSfPyMpMfTPaeS/uIN1pYxcYMV2
d2LLlHQsSQ3FbuQDp/7UbTKEbfk6n3HLC5bCrCvYga4F/3oiyGEGz3Zb/q1qK26+6sifRZgjCv6L
xcblUEPKRbrSjIavdh2UvHGMe0DbuqI+gu3RdvGQbLv5rvrIeUh9SIS2umZWtdxq6x666juSYqya
VBCHqonvsQSBRE0L24JCJiElxL8f0WhXIYDUdu1teZ9bnH1w5yCU7lxgjqu28NBsOAlVmxOn2KOx
3/WLf7XKfBt79CtJvwS3Xpp6jfDVODkt+7GNQ2SrfSBZ1wzoJtGDCOZ7RPVPp8i2XuoqyB+B4SXb
ecgeRieo4XVYEOLz/rtqnEdH0OFAW6hCMlaaY5EVYg9igve1gulgKcZmscPfLBki4gw3z2aXHJQg
HzjyzasN8RggX7Uh0uqxJHE88oYPchzBdPUbO5i2uoObzbeTpM13Faj3tL2D2GK9ZhLwEMngMPX5
xiBMh5UWg4x0AnpnDgJYKbejXqG6UkRg90PoTW5CkzOL06JVs047Uo6pgnygH6N9UqnLz0TBe98Z
DV+WhoxRkT5PvI23NWOITpKwnA3AOeM4TMp9amIWoKsqjsxv7aU4I4Y6Gt6WVHhnkC3p9z0/bk36
ayDJUYnyTWsbfdhR3MZIRtroARpK90EBdrP9hlxMdCD+XoAh3GV0LquU9G5utj79kUWSbRhwP1W2
M9ECz4+xZfxUrsUmWhyMdHgw0mrLQ3pp6iHUBMokrfMgqvY5Kt1fmHq4okuHvrElkW8b+5HYTqmo
X4nAJyoWDfclSxONaywj7a4v0l1auJt6INhihcheWuven3L/O289FgN2Z0PtW0r7uxVt8Tndc5Nj
lTikz1iDQ5OXg9Er3Y1lldMVz/djT+rEuA6YQD7IkdEzgS+++oyX+1OaV/ItG4EcgHXLD0xMwCgl
5OdH3Ine2OHAMazXIssp7OMEsU9D5r4XBw7LBROEthDWJ2PWJ3Kbm6OX83rQIIg/Re8KlM9JFbwW
NY9JVs3FEQgPlG1wQYTR2MtHnGCSK9gZ/6CgqM5OMacvCXJZ1hJCHEoLpDDw0W+oVr/rgOrXJ9vt
kRSYzz7vnTPtyvxuAITaI6FubzPin51GxfJL0iMc+rppHg0DFB7qeutkEQD6QGBO+8ipzO6iBfrM
iJMgmLYcDx6pyL+6NkARjDIjmMyU74Apnz1DyCutJb4UYi42qmjXs1TwwVsz2FddYLynk/crjYfu
NIzMm2WOqnviA7+k7hys3cm5FZ3Kxn0Gdv1LlTAwvaSKn3lfyTIriExJpHFAHf2QFeNfCGuHpVPd
aTaGOyxmSOd93tftsHGBiI0lCrAkJ4fZseZtFfXt2u3nP8IDBquTuoIFCby3yrqEG8vMb94wM1s0
fHMbVXnAxLqZ5TNB3IpO2JXA6Cq9trzsHamm+9U5WTavgUqudef3fzwOOOBfCJBppXm9GPIzpAK7
TF6bZ1kXoCpiY9rpL3hsLBJGxz/KWP/oPIm6PQMokAmi957pwKyNKdWwrQgPY6lef6UDK8ZRJLw2
vm+swTu9VgI8Q8B4KMRzdrCEX12YBzknm84HacE92CtdPr0YQSbL4wASllU+e2bGVaBzOe/1KL/i
PggeivuagwjL8pXsVWe1KEwDy8CXWmZITzxPcX4nw08l7TkcrOKN0SlD4KU0rC2TPaRY/YxyBKgh
OHRbLNtRG6juizgnFr5yGb9M4Oc3qMWKvT0MLgt1k+2Ut3if9B5sjIF7mHZ/6hrIWWxMnX4vDReD
adYAYe1EdkhoZJl+mOTzFk56p7YN2yZITzht/YtVdT7zCXDwxEDtdOl7YW0w1oH7m61kGvvXaOlM
ZCZkmfFGLKyglujFyik5SmAhRz9GVkm5kO8Xcg7DEQ/zzqDg+kYDiBLSYtbrMVWn7jPnhwa91IYE
Tm5BZb4PkVQ72wpQ845MGTm3DfXFzITCSLbGc8HyPlRCBaGWUj/lOjgGNgnrZTKdKy/+nSx1H7KM
TB9YhgbYcEd7k6KWgERe0u/YXiv3fjIsmxpZRAg95bebj291Qh/cqwyZXNMftAt/uxNOv5kWwBSV
nl8kab9vUyweUWAzkPaC1z6xylVaGZ/DPVA4ojYIE+MuHm6CgyzLC9zMZyzbGj2TLtfcgDocMAEx
W3dfJUXEriwjYzM01RNMFxQWOtO7ArjdhhD7dE/yETQuHynUOsP98mqV9Q21AbZXJoioZu8b2Jlp
rJHOwUrZ2YUVwmZscuel+efhKEv3yUa1sUr0vGyqmErNsphAQdRkP975vgiXWY9rozVCYdC+Jq1c
B73trUzT6A5oOJM9tTbHjlz8N5xYDndZwzivEs2+GRM/DGRWojVM8JEI4e7dNnUfYMWQzK6wF6C4
7UArea1d/kY/4+2TzPlUhaZlqrKzIRLj0vfQyePGIbo/t/DScfdsAwOLReVS0SALoS3vgH+6SHAn
m8w3tWCr6gd6XKmNVZya9XW0GvtR+yjtybFjdS+6qX9DNj7u24F4NUqvlo2a+L0MeLvLxrRDHurH
WhMWac5pwVzpXmupYtoFiz0+SJ3O/zOI+r9l4/t/hrb+RxL6f2n4u/+83xUaukTxIf5HDPF//IFZ
1v+3TGIX891/7eM7V9B38uT7//QXEx7wv518phn86x4sjH/XuEcR/Tva1ff+5Tm26fFfTVJacID+
28ln/ct0yJcgWcILcO3hDP1faQKOSSaSYaCN51m0sQN7/y0jn2neTab/TrIgUYFkDoof3M0u/wrL
+L/iBCKAqhZOv+IcOzRmynM632A0jl8Llk0GbkRnRZrYa1k3rMTeJlgs03pJMgZ2K+1bFFNphdr+
R8YmwDVZS4Lieubwv6yGVOHvLIgqY5+lJBp+0wuM6GYbCDQAdvSyIHqeIXHkKSEa2yxw0CVYbZyv
RAdS2GhSg95yjhmqr+q6Nc3rnNk1IZw2/XQ4DSJ54RZlFu82Y8FFifDjKjurLB5E4ORPaKO45oHs
0k0pNuU3YGzOW1bmqTjOWBqqd2dJbabNPonveyEi18EmI4oR10cRYJZFfKuL5Gyq1t1L+U9kDjKs
HiwVAYOo5ScC8p4XjRMlXo1d4/+RNZowKzXh7AI9wIfF5no43T1hxSYiwrMHx1Z2bAHzoq9O0+BW
iJq60ZghW40k1J9gqBgLMPSqIPNszCzvouIgiQ8W21BET2Zt6T9ZYNfqEIu0QAHTj/mXWuqO6NZE
jI9mZScGxUPsJa8LM6F1YbiQ5CxSCX+TtaZ3yOGnnYn5CrNXajkvjJkR2THwEWvDAXDWxMr1Q19B
NMReM2Wlhb1nJBM2cyMlfqglcATl2DandZl1LsKsQi/k3DOA4SaXCT5RHoqWweKCIvaiup5CosDX
bj/IYUyHBM+DmRibWrszMuNsln0Uhcks2Y2LpR1a5g9LFa0ZrLr6hpSwjo4Oi5NhnTUWkQdTijQN
ac4TTzK1QparpnuxGDk7iCJKU/TPBfLSedcTkhVwgY9z1V7hwKrqAirDuT8s3VC7bBgQHaJyD1Rx
JwppX4/dhe7PzN4b2yldvG5RQEPtSMvfY/eIA2NPaeH7fwZyPx3QdHRu7tYfYPvhIpjtfIvUK2JZ
LODZrAc6pfGp6PzuAXHM6HyaPAn2O6tsWPfEThU9nsapL4hptc3ELTflkFn2qzMiCDlWuuMyDCIP
cJLLzr44qEmM8dUzqd55+rNWjJtqKNyGeZoypy/Hjn0Gh0gA++euL1BIzqUPxTAA8klWwOCgWkdG
NnkEjSYgp1AJzvlmcq17YKzBFAaNmK7Rd9D2KHrupRXmR+v3JQ1kT9eJ6pTffF5P5NpSrSgrd1L8
Xy25plgxlT8XaPtgiR0lsX5CIsBKHdCPBPRPrbdWZZ0SAJVniARsRtoTRwEBJJQe78FgBKRCTmOW
zD9ePFXur85zxpYzAjwkM9C0BQAMILgZ3HsPXKE+rqFaB0gq5sBHn+ZkwOrPsW96AmhsAFV7Wxcw
4Ltj0pMMXR174dFDrgCcFe4zIZz+tJvmsbW/anueaOkCKu/QM8gefokKEy9tY7KkCbsiGPLXoSbj
dxWUtmabUUcx4syli54iw2WE4VgRlK/EN5YW7xZhoCcgVWh9YmRl2bGxhRdcVTVrPns04n/UpP2N
0c0OTl3NHjLEkAQGRiMNadjvOs4LBAWftwf1TLlNEsNlIYCpzf6QfjVzMFK4NLv+7ur7GAMpKvLE
DIQBY1TPHzIRfbJrpsRoXppqnj18pjZO1KavnI+C4MV1M93DObOYDRu5tWzGmbGeZ1tny8Po8qW2
KcJGHicQiWwsBpP1Kah02pEA2djTQgLMR6PUciH6mIiZoAlObu4Mjzog95zXPzMeHQDKKoz1hGCe
GhXJhUmRFTMC3C64kj/VIrrPTJP6myQmAid2dZ69H0fp/2HzSRoyc2qAXzOwUifQ5VEiSDn4dTlg
aqmhcy3Mm9jXDOqNWRfOBp2bcs9wHCLstGS3EWfPDybH5SMyExsQruvMNSLCanIPzBIntQFk61ND
NVYNCpCZBqa+eaRxLvrWPTtpXP26q5E+MsjUbtjrRp3vYeLzsyX64ixNhaKxa+b6MJesn1e8BMZM
fEzPIjLMksHvDv6IxOOYYayU5wgxfvUou6R/rszAyg8VfQ1/lWs/zXYTE742zps+ztpp45d1Ue5m
1BAp0bO5vBoLY+Gs5yOZhfeCmdT0V1lUGDx+sSonlioWVPC4FfpV4TbEtNokafc+NyNJGhgOkFtM
kcEMCQFSqJRTn1GysyAu5+YwEgH7qAyfc0GNrE2VGT9NXS7wBffqoakszh9nqE5A7Nvo2XEGQRzn
whtJa6pgDt/VTw1e9sMYmRadv0hxIiDyXE6sgcWnkZXtQ987wTUye3nUeeefxzGeUTehu491nj4i
YnI+wI1ScZPw3Z58beDjbrR+HdBZk2M6i7OP1zq0Rgad0umetdMSEpeQEr0uZt+Es6RRSDZcYpuk
bw2eZUyZo1Ukf6S4C/rwijPkym6tp9PnbEyNPWqG7uCQJc9J0JIQwGzL/1D9lH9acyM3hu/w7DDe
PyLyVJ/GolGg9Mt4saZ8PkUjrvVCjPnByblARk8lR9+jA0/godImW0a+RsmKa35O2pFxyeA9SRxJ
yFplM8D2WuRKY6/bRt599Mn4I/12iHXGfVJhsTaKVgQrwgd4QnMjeDbIj3w0Jow+zWRjL0iXZt8z
jN8VHSqyBOwDY5xIbjMvDS5yhFFt9Jb5HaUJhwHIuWeQ3ajSsyELPiyIrwhT0Yp4VpodmozqyelY
Q5CqG1yiJva/lZx/spzdcY0B9wa5EPqZmfSnurDMfUzg1a0FcfUUsd4KF8I2sT1bwn4c7Kq45EkT
r+syvzYJ/SuVLItnrG9r6JNkv5tDSegMpvshi1FRVtDJ6V3iHfspYzvPqmZrGaNQMl0sfmnR+Ceo
f8l+8gbwY6aiIze0fJicwrsJjGjvVhaV+D8x6yGHCfmYsqtzN/3UhbtsZeU47wpI/f0DBVCnexLB
Dct8QX5P4qCT89osKNOr0i/PMqAk7fqFqTomQrtxPt1u+I1I3NgplqhbL0/TPQpcZ9W0TFAyQ/3u
hi598Vtz2OIDVfu0ICOqmWZro1EUhipujnmXGA8oBhm92sV1ZoN+0J4GXpCkF88uuj3x67iL/Kje
aUYCD07PUpUPEOWM2TQqufJM2BX9qR3kOy8icu5a4am9MBJTP44XpF921VdP7FGaja7QbbAvnR+I
e67FivzSaeKw88k1B9RX/CkXs31rCBxgteQEfPjGFeqC4jee9LNv3UMiOGnWXelspY/ywYhYztF/
078z8gXqEBRfNo0ivjYR9XcBN1leyo9ipHqd091qasIHsjTcU7X085bLWm3TdmH70eT07iKO8XXX
cRuc7DxeDmXAymUs5St1b3rtdGJwe2H+2ttTRBmoG2c+seO0NlY3MJGcFxQVKU8syglJHR4hE7l0
HZ5Dtj8RYQ0sdtQY/4UVDZrZRj/CH2f3uSODGm7yIMR370AoiEgCubQ2SHnSDOp+y/26hB6B2b9j
QN8hIThFmDdt88pj7YfoqiQVKTspss4CNC5xRDukEcBMnnVB8qY3y3TfiU0Knq9L7eZSDu2q1FE/
FhatVZIFJGa3FhJ3m65lh0iUr18OVIVuQeZSjGKlJcl6O8aJT3JYlrwPehypsIMIP4xdnifeuXYi
nx/Biz6IWECyV7NeQVkANWos7sSkEE9Lk9NYQGWX7pcaGsBUVtafZoczZhoG6xMdynAwdMndgfxz
rSyv/Bt3BrNuxGySi+VclHDrY6+dUcb3BVklejqZS/PYOab5VLt9unfyzDsUweJ/MGN8RUbjb/2I
fQum+3hCT2BE6DTLh4rS66BsNixw2kiYCtoylCJynuPFj3eB1MOz6TQf/T2mZbGo7HsNp1MUPQfO
VAJnLlt4pfHEglIX7ZNSab4HwNeGxG7SLKAXujRNAZc8HaN53RJKHY5TUB7YeaHkYut/1HUhkBMU
00c/dl9NEOcnN0vkMVaF5CUvP7spiakKF+PuuGXq79vjMq7tyTPW+AnqbSoHH4NNYZ7iJHnq2HQj
w6oixooZDzF6w+eMWPcX0htxjsHh/OD4/SpZHe3I0canD59aEWGwbpp2DCVeyy2hAd88YDO0Rdo5
ibPlaa5qlIg5nzX7kHI7ySi7mgExW/1QFmenjx3kZMjZxVQ/O57rr5XtzEe3K6CDs/ZeUdU6f3Nb
EVphTjEAaA+r/4wEq0C5ht6Ga5yl9MdAPQzrkwOMhBk3PZU5yTA45Zf9vEzzRs81u0I0PGOIxT26
jGM55KEJbGjrL25/xL6/pKt2gdOQz4wmUBa1+R1S/214U3326zE7gF0dN3YeNM90+SZ+quCfx3os
aI1sNovxfEPQrm6q8sVzx95mt4ggOKFpRKIY2WUPdblLMZK3r/hjg2+wKPUtgSS2okOlRQ5gt4b+
7IrPThQZizaCHrTRxc+1F2XYY4G2OHr+rfGMj6hts4FRQlP1iGAlKAk1lnxYrZE95m2V3fifpqd8
qSEv+zYC7bhgTK3E8AnfzbhGEe7PzKntTSlU8ajx7B7niiIkh1Kz5nQomAhPZBqiCWIwPr079AXv
UIHjL98iwMCciCLi1fTIn8BppaTOjwiYHQw6/UtldjdyPdDVDul0Coyp+c7ksBy5Zvo9Ie/OJ7yQ
cpMnQf2oYDm91bws7/VgY3wnCwePQtz3J4qDt4bh8SYhZ53UQ47dlj76W8YUBP6crlnhNufBc/B2
sCQ5yWWq9qVBo12CpT2SoA3LpHBvxQQ9fgq6bIvBeN6qKHe32q7kBx3KdJ4GU6IC01gsOs7hY42n
7tzFLerCDvWCy8KzVBo115RWYdDFp0kK5wENjzr0GHDDserZXZKrs66VHa0DVjGDiaoy9pbXGqYp
1BZlcUoxTkja7pEDe/xZWokD31SIixNl+wcb705YO3glHcc1D97UXZ28N7GqOcNbEifFxqzvl4oM
pnUadRq0eN/gUS6rlyqQt9TuGLKWiEmsmRo5bsF6EPlcbBPW5PgVIvMcmFioq5G+XhhGf209r4Gg
kboJLdoMiDo2W9msOtW0Bx8t7W4O7ItHTDyvLAEOxGF9I35Re+UnM94v9J1AERj+tyTIL15mr/OG
fJw+nsoD93l/whw335BBJDfylttTIxZ6T9NuKTRi98gvXx6Le0wW1OyGwtN6cWttbwKjPyKaw0lU
Gf1L0JV5+E9s/aJ1gVh76td+FkegJhrna8yIzixrVMwJuNKTcCwsNj7A5H0DO+JR59Gwa736Tws4
+hQBcNqYLsoki3b3ByaGDTWpyjDyMyA85kTlYnihaFuzXVAbhpbBduJdPDmLHqk2e+cDfFn9TWSQ
F2x9C/ADcxu9m1PZXIm4SC8cu8DBIfCA8uC0VPs7H2mjGHz+MjwSovJJuJsSVy7lDfY9mYzoAeDg
DEcQq0bYxVW6xpmJ7iYey2Nu6P69SNs6tKlDrjpuTHzoZbszPDd640qONsKW2XdqR0QaLlhrKs8z
qOUrvET+ZBJ2AcZaJD4aE98uK8rkGElu3dEwumX+ECcGiIdRGhBMJzNc8Isckbqe69kZGD7L6DFo
0XmWVlL+o5RYflwJsCdMIj5fvUzOuunVJ7MURUoemtLcZGK3qruguCYTimCA8r27STVcSWm7321c
mw/+GCTbZqrpoavF9jfQBYcdu/3yY07N+WyAjiC7FGLhQJb81Z3K5DzPJW/qVBJKUGKqdWp0Xjpy
hy/CEtiImJXns53y58fJW6z3Dpc5MKgY+Ar4HggjRt6ecy/owwhY+2Mz2/OOCwQ2bD8Uf2RuQ9Du
CgSjWNCyTxBEEyIm/09EFNBDMS3jAWU9YlPylnDcFsoHCzTXG8snquPe3uNIb/z1HJAjIcpi3CDi
8FvmOWMDmDUi2AzLobgxM2UOZrHtd/FFPcfYUldMnd2d0TnLpYtLCN9pYSxrdEBQhbQybmO7dCcB
gvYp7pfpIciwuOYeSRQjxuMVHFos5kJl5G6U3IZBimBI0rdvp3ogRA0BOfufVH7hl+/WqLJaJAJL
FoKtsLn5LBtAMXkBGf3pEOFJNnt0B934aiYZt4eybVx10V3F3fYxcnRBqy66+C5GDu5jTmJJYPRp
W5CnIzj/7rNdZhMMdOSBoHASP5Bt1eT2EMMV2oaNhYkMy42cuLoYw0/NXvtI8da8vvnGT418Zyna
2sUiiRYnlaI5itsNmloQmxjECSAq5L1+nnrzW6AAe0EZQ+4vN834SrSZZhRV+Ts5T6TqIdY74NbD
c4vaniq6kQx/oskFBlgUdYq4Bkaoyq1LP1JvWrNDRSn86dnvIaEUWNt/KtENf4zEdPhneOaXSjpU
0kyYb46sg4eBl9ikcW/NnS9j901VdOpp7NiPRuMNZ5jtZH9IwXi8x8TyAxZJhFm02LsUY85WaUmA
b6Vvfo690uHppE91EXZILGwysr4KGSVhnVB0oFcs3/WA2z3RPeqaZvLDrlkeMsegP7HxOHW1/SdL
03FPafvjJ/0D2X91yNTot9/2l4QvHG6y15pX8iDQlEizIS93XLZxmrFUY+62ZupsHTO5tFvJ84jt
ZUCxOvcyjPgwwCu/OWhP+4nLlZqlvjlkbhCKyUWRi5t113NQvL4MslyDzPmllPjUlU3ltCzuZ5E2
fxR4IoYVvkkFktZby7GKx9kEzsjmfnqmjEAGwjCTgDi7exao2GLMI34ejhFOHdRaaiuqjpZXZvRV
sqj/drmZvy8pC0uXQ1PajMVjPP2HoYiTUAAlo+0v7daDA2R+z+gHtzTm6Hf95XmCABbakmw3hmnn
pWuoAzHliQMe9VuCI4HOp/N5ko2PtlTTWxPbHeGC8h6HNcShbJl0tMALru0Y1w/KdaMzSZMS1bjz
xAydmGnT3NZCvLqz65Ix1JzdEb0071OC3IKwLJH6p0oa04Wxjc+TRi869cM583T+u0ODRalZIzNM
mSi4qqQNivrkUMOSXcO/NHBgj8j2p7x48tPM/zJN9ICjFVC5VZU+TNmkv+zByrEvWhattqswnOny
2c5aeVrmTB+Mthm3Ds0e8YKVYIRC8Asrk+BKGlp+klDVgKpnqLDcYISQNGhMr8gsI+JgniqHl3Jc
fEJbHNW9RehWVrRC+ftICpTFEHpEyWeOTNfcgs1rlBCNuUoEL3FjWXpv4JNZTXU07tKaJfWqVyRs
JbHz5ZsMWLEh8wO7nGGDWYpfmpHATXp4tkfUP/wYxmiVUeurcooFpc2cnlEGji8okKGrGba86MhO
mKLN0t6KpfnnPMfKgMLhOvpxvyk6IpVS2uMXFlHVrmZgd7wHHBDmiACeBZp7IMcxPUcV+jZ0qjvQ
UkjPK2QcplFED20+Lsd+oJgs+bV+Ft/7y/ImXqV55GlSbHDB+qYKiN4U6dNUxZxraS+3IhmjV0we
9wyaRvMdxEQ6mEs7vnjW7DXEm7nBSed2Ry8x8CYMszmFpAxyHkcELg35HWGsIwS5yHkR/2fTPYwD
88mdR4asEXsVGnqWNWeWYAxditK/5Jl796YmWoaq0p9eZ1c3LhIYWhOiZ8xt7bJxUOcdiZNjzK17
72rYPocDAA+Y5ipIUYPW57JFrRsZ/cWxsucIifTV1ZF5YiBxD4GrumJPimNyYa4bh17TJy9dPXfb
NvcWDjGBYA1R27DxeqbrK7tMXpKhe+7Bzj+iH+4u/CLUR9qMqLVzUigy5TLdLGZMCkiPqt1Atvsq
6PLqPNS1u4e0SQfPnopQl6K8BlALv61YMPFk5DE9EX+Ar6XzG8JixmEv+sh7YOtSUAH2NpPZIP4l
5v67zBqoiRYxSG8MplD4BraMHzuZDGvX0sOxrrkKV0GNqR/JWLnPlgL83oJpACIhvETLRVXG8Bel
75je2ghtAxSpCIVJY92q2hx/N0U5XuYhEEzP2o/AohlZGWhEGLvrX0vsjQfau5lhJEUSNu9bI9n7
Yhk7A/IxD0vmDVce9ZxQFXuZpw3qr3G8Yf29D2/atmgxHmLDCogBKiyRcflFdX1jqVw8pY2i/g8y
x36hsZfOQ1lU8n1OvahNwkYNZRVqrk0SLRNEkKhDlq77TYggExVhjexgfDf1hu3iBZ37USJHZCc7
t06zT8koosFyWlOjzUis3ya2Q5a0nRUNV7JzqAvjyHpqwWgiRS28UW2nyhzr7eQOUxEGidsZK1YZ
GH6svGeYNFr2k8Z0iaVbdNUrqng8F9xuzXqa5vLKJq7cVpNUR8EaTB0S/HcESU5a3hE4MelVjsDI
xW6dP5c95GDuHrm7f9Hvfafcc7sI/8h0rL9xZDJfgBgmV6Kwmik0mvxZzDr+7bnBDXiL92tmObSx
4tEM29K/4p5hDolxMseTaKqnpECTzUsQzQ8mFEB24aa2XwTSRr1diDY71DmIlgc3j6qfqnTGmzG4
vPUIf8zxICLPvbWEXXwk/4O9M+uRG8my9F8p5HNTMK5mBKYaaN/CY98VIb0QsXLfjKRx+fXzeSqn
WorMUo7eZoCul0JBJdHdSZrZvfec7+AOFjjSmuw6o4DFsjShhkKxp0DaL2FtLrzRJMsJ+K82vMvJ
+aSrk7A2PLmelffrcUA4uPXCahnWQcZYgfWX8rWYXH7EgQ5awtbt5c1Fl/QWHamsHG4lNNpgl0lP
mPuEOBnruOi9OHk56Jwo0iyeHr8mwp28zBoBc+xl+8Djd0W5bi7NHAOtAGIw723TVV9mNq9dkOcZ
VXTvkwuAPh7Q5IifmJF7auicWuYOXqYPPGh0TntL6E2eEAkVFM6rN7KgH5ZEH6v3jrqv3Sur9S98
SoVjXAjDM0deDHGuPkyZu2LjjTmOT/YGiu5cI9KiW1wvo9hXrbec12nmrbXjlZhQ3Pn9IBG/LZ0Q
dzayggAOkPSucw7VL5gQvLtlHNWDaKN6G5LTjP4vZ5IbVV5yNjhBeQKFK3oh5wbfaVYZVq7BHY/m
llEto3e/XDFga88IQYHQELd0fvEC0wKSZnRfTdeWe9MynMrH7gHUJ4upC6gdLAnYprJr7/qpgWZZ
NNM7XU+x6brD8QrX25e6np7ipqtP08C2363M79G+KrITooQ+Txpz2mWFPuSqcth0sp6WMEl4JyIy
6qiteGVHw6m35ClaK02g0kxY4R6RYn3exhOPMBF7Npk9xP8FNrIFh5PBObmY9jFQ54diSpyvbeDY
zxlGzl1u1cndZObgItReiM6eWUpbRcEGfFG0l0uW38ncLMfMZm45djsIWIlCPUKTwC1OF3XuWSFT
rMHM6tRNXWxKxSBvh6oX90HMSFLVQ/BQV8icV2kFunawmgLHEBDPbYrHHEiQFBeoZtAPM6N9UBgC
7mKdTOfCmQxJv6Y+dwP3nhXJucOLm5wMJfPZ9dxTszo5EIG5divAsRmAYuP0I4IN2tNL4Nf3eTic
iFHKW6tATT6b5SZqxSvxgyP4ypSmg0239aQSy0CJBmUxj1IyleDbbhZaFKQ1xRWqEBpxLVO3lbDF
aUdbdJMrCQFYBMlxXviCitttg93C4rWeWHTRM0fLrpf1C6E3LBksjvFKmcC5SXsguYFHq2aWrtzF
WGGGw9Hm8NLlxUWLzvMhCJKGaEiX1wvkoGK1xMjS6iQ513brbGksPWs3xkCJPAYbt9LTGvMVw93Z
Y6xT+t2e18vZM6o+8BU5xBc8iJeDs6ibGfbtFlPBdewF7nXuDsPnBELme19PtlojR9KvoZmc875p
6+epXdzbkSUAtnFo3xkME+/oFKb3NqzlviR29jDiu/HcAX8LYU1nlsNrBmTxJnbsqwxH6j3Rx1t2
BcHxzy2O8yh8jmu4mBgEmtOUz5AeVZZuEPxDT7F89Ceu5eYoKxfnBs6cvoKo9DLnyZORLk23wgmr
/VLkdxD7653B4XRF39KMu0ZzuIhA5MZqYejrEdF8Gk4TavwWlhLBI4RlW5IRa8r+uddOpaASy45p
8MQsYJqg5wnP5QTi1slpHmePKkkSe41EpP9MqjadZy/373g0ZvZtD8e9CkCaxawYrWn5SGaRZwP6
MZp+vrNT1eJtUb+EWyGWGgtwidNv1YZ5vHWoyondDt2rFom96jsE3a4Yn3jqyTHghIZC2uTbPkRx
koz8XZVE496vOX4QnOY9TcwM9oHbcb4yE+pfjM3NLfCS5JZR0Xjn06M/TrtovtE9hp6gzZGD+l6d
jSuTVs5DzSiBTJfwUXRRcCKj0DvVNZxaK4+TN7of9GOT0srtNZsQyMW2Hv3ktfZKgnKitFyqM2U8
PP25Pq7RUsqzhR/jcrLipTtDhRPs4rSeEdSm5kAcTLO1xZx1w1PGuKpb2lueluhL39cI85M+gWwx
BP0dsjGHwb3lJlh7GR7vw8WRxzbwqVVuwbCzgiVbN27WnwXACNLPZT8nIJ/iYiOV9o/yJkYcS5rJ
udv3+px4UT860oxb5k3aCjxKkLUTL+VAPcY4HnPPRHScmP9sjCPInllalBs7JiTVPoA5SDxyJmJ8
ipM2u34J3PRLJuhm422zpnQ86ivM2++lGoJgFdmom1bjXLTZNWgMB65S1/p3skaVt/GSZQAsZyhq
xGdvVJG6tsHzumfIyBMqdYa7Bm9TKXK+qNOH83QCLNe37kb8VOp8AJ5WnXqlG0H3sgrsKTpPyv65
nx3PukRLVsTXjHJHPPut5/UvsxeaHBlYalnlI7aKCOGvDSsPwRM9zkzA+YTgIpOnsBE29CJrtKIt
Q1/msEW+7H1OsCeD3y6QRRraGp5py00AhvOicqZlLVQGQIfm8i39mMWsbaSFp4Wu5gvBO78nkVYn
YBbKEOqzjXpmCqG82S3sbbCG+cakItwMwotue8fZV8FITxEdDjZ2MpVC951ekv4qg9kFdu/j8whi
J8g3FdSJNzoU8yvZy/ZJL8LgydhuL0/Gsm6Kq3qm2NpVlsm8k6lueebmznde8S9ba8xKYitRRjGy
iQ6Qxii3cD764/weJJRLk+dFLNdzqV3SpU3obwFvdP5qUoi/e0VNVMZDs/fZSyY8GdpnKxwYN9z0
InLe1RQYuF855Q+JyzA7U4AntCgQYtarBZ+dvPaJ0e7hYzi45tcMJfDr+Jgk4k1fZpnjnCXTmDqP
Q2uTM0/ATD6lr4g+E7ppOEX0YO6sPKiLy9LYIkYU585yaK+axQJsAz/KK1ByFRiG5AXJeTI/UWGY
h7sYXwRHbKX64caDfetmyAuB4cPj61RMyz8ZIlRxW5mk9dEcT8WD1E6nNn0zTDBN5AGv28qxsyih
yma+SYCIroMo/sogwXzBDS6zzRhHKAvckC7SvLEliL5kW8/wNB5YHIv8oesovoTwumIfTrOGsU3Z
WO9HExIiRVkve2QaRR2zZ1quGxOKACzBXGZjofM7NERuD2sfC5V19dtBifxLoux/K7X+Xmn9nz+V
bv8/KMrG8KJshKOeQiBNAjEMyN9/Gr4UQO7NU//0j7ffJeIXT+XbP3/7r+f5Lf1eof2Xf/9b9soh
heVbAK0jP5GiEZL6KhxHCuJY/qXQtsUnO+A/JLP4JA2io/2XRDv85JLKIoUdOGHgqkD+UvyT/WN+
ImMYj6E7Hr6QsS+RUvJDfiJ2OxS4Tf+VsRaIY88UB5dnp2NxaJbnUtprD5hmc5x0UbTSmKdOXLpy
RbrOy0army7344KhMFh81ht4Bpru+JhCwd/QshBzvGlF4smXX3/w/n97pOyA2/sznf/yVD6n7fD2
/XP0+1/69tx4gqdFOujpleNKVyDN/+M5cokA5BklLMyT/JcM+ZOqxvb6z98IFfzEPVXAx1wA8Ycn
518PEgKOTypQtiNsFPoKWPgvBRn/qPTnn2Hay3NKW5bwIHBBHzIrhcx8bNv5uJqEjYGcCcxZOaiM
VkxHkffdT/MX2VY/PrTfrmVLBCihJzjp2h9cBbmRoekKet0qZKdZQ3swIA0mN3np6sicurji/y5O
68c0rd8vSTgkdgtF2Ch34EMikQ+3gE2m5dzOVruhQLa2FXbr41/+YsrHXu1j6ZCMhj68jQyhvBbM
KMVWHFbJsfShgQdC+cMu4YDtr0a/qv4utvUvbhz2EMLfPMfzJI/Dj1lL1CqN9Hs5Isc+mKC8uYwg
wDN0XPVICo9+/QuGQtIaQpfqYpH98WLkr7S2gw2Xw2vVXLhV6L8Ch8MLxQjkBBIybu2fX/BwX/7b
gMIi7rOCs0iGPo8J7w+r7/dJUjyQACZy3CRmhObXzc9TEjWnkNQ/dxkxjGVF3n3bbX9+0Y8Py+Gi
LNFc0eOavvjwLgCimWqk6IjPGbwiGQQX3BUkZfzqVbDqCM45gUdKHyfPH78anODSWiBO0NoHXAkz
Jj1vO/n884t8fDpctgVJ6UX0i2BXI170h9+PziFjeY0PofFtfR/SusJZH9THnT2U+1++FGRgXuiQ
sLo/f5/OYzwJ7mxeZXEuFipsSiVksPP46I4Mav/mHh2etB8fDHJzWa/Y+6THIvLh1xtT+kk1AnmS
MVWEyXKOHpLGDA+6zeLz0p4TrI6A478l6H47F/xfrFz8nGyzND0UBu/A8z4ECMd90LYI9+DZ2UF/
nUbQZch7qs5cLEhrpvHi79II//woEgrOgsLtswVL/OHPv0tSmzLVIjWqEYNGrdqGqRvtlZynv3mt
//oqPgcS1kfnT6916ntUciXpZq7TOKs+O1CLQzf69R8vFDa6Zxd/Gnsdjrbvv0tULPitxEEzqR3i
IHPfQmWcyhMnle17MlTtt/Ptv71Zf147VAjVhvXj8MVs9eG3m3UXUBXBgfORuPErYxZYwnZV98Nj
U9qXmSLrutf2yS+/BqHjua6PBUKwEXx44wJPOKWuJuhz/QyYafDrXS2DEEf8Mtz//FJ/um2HNQox
Y+BLguqRtvz4g7ZYyggdmD16HuBgxyXOsNOiGv/FqygPFQ5xmJwW+YfCDz8jlbPIPOxFB/nrTIkC
U2bT9L19+6uXYZUS7uEpZ4cOww9fJmtVGqo+JxAvaGrMWaFih4bD/YtXCTl4cGS3Dxt0IA8hzd8/
g6GDuQBRnwMdmZhMx0TJuqsrufn5VQ6f9YfFiTeW2htXJyuhy6/341WYsDtGKaxM0lMW9oZluVLS
m9YZ1trdzy/1p2fg90tR6SgOVA7Cqh8vJaaYMJ0MrSc8Y878c0lT4XhuYAJsf36hw4L643ci6gAp
ymGtPdQdHzZFbdRQ986C7JNWos2aPvf4mb0SDYcj5xFblDPn8zpoZQHt1YMGzkw1U9Mvf1+SKnmz
bHix3EL54aflfXUhq0OnyiZgIydz1IQ0vN2yqf/m+/75HtKJOGR9cz2f63x4j60oK/F2hnJVQI/Y
JWErweUtAxTTxrn7+U/753sYcAH8EY5rc8pxPpyqYGT7rQZltuoMJG9pedW+zkH8//JVPHJBPUhZ
GH3D4PCFv9tKmLYHI/mwCrpfFRPu7cLRgc/0Nz8bsKMPD4qihqH05hsJNpPfE5O/v46fZtlimHdi
0k/6CdysKLstZt32VSpUoSTZMKlizttyPt0wb4iQErc68uKjuMMMchvoTpY7Z2qJBNSWRf9IO+iK
NoRF5OIszcvlFeCDi9Yqm3P9FkVEJa29yOto1KWd0Lex2xnabOzGmrlwy/QBJamd6xMxRUuEQi5x
CRg9IfVBAu6abTP7ErpxknvhBYt0PKtjQI5hep0lk2dgThCicAh2clpz7U/RbA72g9Aj9Kca7Gso
g/jhyN5BdC+h0YPayvyZ+Yub6eR0QHb02U9qceTSxS5x/eiuuYw8ggu+JJpG6bnoSjiahMpLf21M
wHhLzHBM9nka2tXVgqh9RoczMzJCOZ+2O7uzJuYKpplLMh3kMPlMHLMmPDLVWE5I62wnYk/N/Vqi
iXFS/6YGmZ/sEsyMqHwW32IOWDKu3+RO1F6TQQCBCKEAa6KPBZsWc8fhakW3lTQcpn1OhVMoisVJ
3fu5e+8EIsFS0Uw6LZ6KxAvQ6qsKpNoSu0go6YWQ5NFXqoU64hmJhtOua7nSwRh/zbNRwYfAxJBv
yslO70WSWguwlcZyNt6ceaRaOLpOr+ScMLFMnGLe14sqxmOjpfu+oPgSmwK9bRivCrhx3DXyqrA/
pgDn1xNgwet4yNEElDIp7U1Q4yvjHMq/fp1YJmUAiFaOTl3pk86ZFME0MtgsC2QXyUHlWjVOcTW0
A3bP2UMzc9x1uH3xHnvlGJIVZGLcHJtZFDiXN+OEUfNZ0Zj0XGa0YuouGJOX+hQOi++SEJoxOEpL
IJh0XRSmj6bo0IQFJYXZgT1PV9SBguMiuVa9vkV5OqTPs4al7zKwFUqHW7S/vdvt8yC0CHPtsMrD
2qhKgjfMNm6LcAR43MbCvIZuLfozT7VF9za0qGJJVsr7cIExN7v2BaE6zAc7iOTT1mikbns+RPeS
C1X5RxEa5CtVivbd6gLcAijPeovA+1BOyOY7JndXLTDHHvJF57rmZcmijLs64Esji3daAvMsRqgV
R/EQYhtxwjZ3GJ74ZYCWL+shHIGl9dGaLtD/dIX6D9xgWkiCx9M2JvQJtdHK7kOGQFPPGI6UzLJ+
xaHdm6Ok5x1+KTuXkTej8eq0X2IxnxVTZBW7UaH4JvY2twWxEhKdVJH4BgWZG8en06AAfSEkhEmp
S7rL28RqGRTaLiGcoNkYE5KBAKpsZUc5KMCcfBeyC9y8VEcJfrJmzUrKDsa8jJ8BPzFwE4SjweWU
j/Zn5DjCHIG/aYmYxKfAXJso3XyrvMnU+95J3XjdA7Wq117XtNEazCPW6aiT+dvSSzQ5Y1KQYQgQ
3rP3/jBW4xcfk3p3nFDxhPsUgJR72nRkuV4NGBmYE9fDkN6MmGia40AVajly6hHQ6uLESPXDqg8f
Wr9P0QiHFhO1IqvfhD108XnSoOpdLeS3pkBxm7rZjrGnittWq4LSSaBI4QYN45NnCKpZlTlD73pk
HLauNK6ydc7rzzSwGjWOXaTtqLZrN1vbDKjA2gUU/PuRCE1/U3WJIR+Rt/GxlhY5pRYsxutu0BXj
+qmwLvI5b29Z+KWzLpBnHeA2hlWDmPNer5Kyye+aHCfqGrXrpI/iKfLRkiiVNZdz5IiE+9cHHXM0
7ZfrFHWt2jZ+RnYrGl+ymTy7oe9ZT5mOHuFxkD3J+COxiRXpLX1ho6w+rlkvvH1t+1m2niXC7S89
tMFsW8F9+xIUbJxrR6kxeG/bOQE6w0i7P8Wjp82K2MXRQdGtSussaAXxPwrvDIHEo82AJB7FEK7Z
xNGkiR6NEDSooZ93whh72SQ4J8266VxGSHY4w3YDzN3j9OBtsXfayoCXMtea+hMiGdBQTUHjl1s1
M6E6bsWBax8XRebc973WyQa5aRwiiImDGSV1SfnL2IbDENClEHx6ReNmm6M+fWZZa8V5UMt4B3wW
ViEvSyN2TRr5+TqRtSe/kjaHHnqymLedzEOMR407WdPvSDDErxqi9QaeFiKK4O3OTC59U/vLFjVE
/DhHNq20GW8+TmLbjCCbGgll3BoPA9p4cgB4LohZl3UTBhrVsI40LL25GNc8UKj0cE+M+8l0ukTb
lzgtzgs60VAAM+9rOuvxNrNTr8dYi7J1XRQaPCy6IVBLTWbQJWL7aYC9mzA7KXJczqjMrZToK0LW
sh2xs62zMS3cB4yEMnt3Soc8zZ5UCImgqpyfScrsiKb13FFtc90OrO1BrKwVZFVGP2Fjd8MW465T
7AWGFw93saFeNQ3RpYMzwnFm0YVU30UmeFB9lVTHaQkKbNslNsq4miyNYC3rdL6m60ccX9A1aJk1
NBSFky8rTvvCh0gAuMn7LBdTOauywzW/6uJCZBvXDDOp3WgMIAo3dX9NLG0u+TyJbxNrhyNl1YIt
wJxSkaO3lgWRGKtuBPeLpC6oHx22Pl55gu4YcLZawsPyW/cVPx/AdtK1aGt1BgMdA3ukE/g60eoA
rmMz2GiV4SjBsF89oXEji7pxa0QOBGyxFRQQDLXQWbJGojgWZEdkcivR5MgLkngXwoJCNSkOSESZ
0yTB+rUaoN4gzmhljshtbqL2Ko5EG18i92zCdR+rskfekhkzniLfWdytxfqeIjyo6uT8wIR2VkU7
ZtOts5QIN2qmLSSsZd4CCtDrs2m/CI9np0zmAD9nn4f5acNZor+rUL2UvGmpF6VIoYcYY4uVdB52
iNqPJrHsSrwf3nGNoqmPzxx3Tv0XPXJUYH91WggCoWYjDVZAmwMgyI3leg1ZPUApN3rpOqbm7RhF
GyR3wz5lQ+yOTBAH/j6NLbJAm6KM+jXOSr9ZAXUnfDioSYxcw1deHltrjgeS+NQB8Vxqm65wLedr
NaRtuEkHaGGr0ErSfKcj3Jh4glEQoJJ2dbPh0IWEPGkz4LIIGbx+y53xT3pgmtBbvL64FlYN8DnQ
/vIA7SquOYO3Q7uJtfZudDmaE78ja3CN2nw4w28H8SyeNRxptDMo36K603o79lFoHofYcR9nalse
Nycc7J2I+kquQnAM/c6kcx9v+f8RwiM90hDaOHil148CoJ7moVvPwm2vEtT4mJH45ESQdWyNIGkq
60JogeCs7KqIj8fEmrh5egrxFlh+9hiJhBUEizgavMHlkIjxLDXNqrSz4UmzqY9rgtnArEOL6/P1
7zlCLX755aAgG3F/2E1wB12mKLaVbQ8pKIa8D1ZFTVLwmoMr5L7ZUdrs59LGB4lfqbrzLcclPd1Y
fr/j2CfJjYoDsXKLYgKZmybEfcOlzJCCGqyoShXoIqommrk6wxk4GpO6QflqlRsP5zfAYRGj6U6S
1rwVvYPUNZ4bXsOszdC2DNmAli12Zf+5G+bkpc41LVPk46HYULOBHFRz8xCkWbD3IrT+K5HbVEvU
ApD/kLV0Z7PUvKs+CXSH/aY/8PAymqAkjstDfjfl0NOIRvSUyAYYLLj8CUEn4j25mljpmvsQVEgA
aUd2PErg9eSmDT17B5lGWDudBHmwEyh8qzV4kxHLQ105RGg7LbteDvXveoABDJ6dzfRMWqSfnCRZ
Zd23QSzFPVYgpFFa5+YSHYx7NRFidICNeRbBZiF8u0AY8GZ4F89aYTziuEj7wOSWN/WzB0jryhCs
NHHEhhhOZEvQLmvcrxHQZrsq3MN2EEVHDoF803EWUGhc0/MY3+K2qt6Lxvj+prQ6ds/UzxHdhvZU
PU2egjsYCwwvBBlGCMmjg6i6pwyWc7X4Bz9oxTLN41NnBEmx2oRfrBmFM2JJVDx8xATaxk7Ccsnv
3Qr1IMh3Z44JYA9d7fSXCWZ53kqrER1UAQ5A/IkUkfxc4rG5HyHt9dDuK98gSXWLDjW/7z/GXWbu
PEpBvVZUocTHkyCreJRIEl3X/aTUbrZsczqBIp8AIi+UIbytKQ+dGLD2o4H2+uRNt1bn4UdWy9PU
dsMrxjAy18mGhQ4N3I6AicaCck/FE+cdHI28OvWDKEl2ZYgiAr0nlpptoTtOwEvpuJ/r1BWfsZc1
MYttIQg9PqiPsqoiPxGwlbioPBfENmFs4NgxApav8RDV4ZHETvrY+IWbbEhOLnZ5Q3jPOnCW8NGf
UDZeOTkZWVRemN2a5yGlkLsrSoZkX/ltZxuw1tjO22Ti6A3ydAjuk0aHOeEsDEFXVivBP0Zuacwu
JqDSOy3R0d1BXxrwTHIUrMBO0E0IrxH7J9iawf3ITYDT0Ns6phNHNGTbF3v24S+PQcZhRUKeIoUe
iQlc+MDmQF4jAm7InmuoFEw3AfIj9gGFIedNDPbE5RHPbA1f4+CQN1BDH3rEhBycVzP/CNLxnq0i
HQPzeUy16Hg5BORjnjjODrRPiQBXQ4OOP5T00Fa0h5t+0+oshhLRNRISVWGqF6BCCysfU1o4J36G
9HroZXeCOXGYtjNIXbDXqC6JKMQ69gTzSafQeTAS0wZRUh8x/mTEz1FjuNGQyWq2aTVdoMwuw61T
t6RT6aWdbpYeA+nRAlMKIggwhPSItt9BTAkVq+ExHIO9lCNJreA0Wc59S9jtBe4hnE3ovwOJqs2O
HyutsOunQUPAkPRLQl7qAOTYbDjsrropOJzdigxxYTlMAFYXK/vMkW/mAJqwh641ODVQafBm4rX2
Kqj4fm+XYpWrcMAvPXj6RdYxrDVYQIY+D2jR4mhir242PJcsh/UUxvYWXzbp3kWciXydD2nxFSRj
Fq46PPWU15By7q1WLZdEMU5vumxhkZG9rvuTsTHmlecydrcufD1Sl+acHC/B2dg6gRAE03Po8Rig
TyXZao9jrK+OkJqwc7Y2ivodVa8QXwkuxvZXuZhmSFHqF9Sh6e9i/8S+KqJ0rI8JvtRfwOtpDk0m
1dgf3YVQkejcmtXklLeQJkCSZu0AwWVsOJIMF6IhdRqg2eLYm3qhUn2hcZCVXwFcGwz12u56jD4N
bSpiY6nV73KOcTgqm9EJrEe4Q2lyy1BR4gGMmiXnPU0AWIAIBQ1OuAAxBvKkzce0wSkUjO/jlFvz
GvVIzjoNtGqnSZIzayTh6VkOj+TNb035zuF2+IJOM3EAkzZD8Z5NnL53geQITdhJ7djHM4Ei9S2B
BU175BTqYETsGVbTBWizhz7ub6p8VmSkmh4JoM+j4YL+2riZdSBGwcmPGt/Z8zt/7Ur7rK30ZVV7
79S7+YYswdeqcKYvWai6bani8CiQ40l3OHJaDVbDcgJ8RuCH9xIrb05O/wML6BLlVQhUCFoZ4bhd
al1ZAaiuLXLQgU2yQQC6zjB+fKEt4VPKSFqwR043+pf/oeopgiZ8AD2UuN0gimTCMCjKhkvQoPYt
lRmxPgovN7HRo+quACFjOOOgld//vGP7p06qlIqJiA2OxBau/5G+WIXG58kkBjrl115HtCjXOMXC
Dda86RebwxSGzF2YIR1QkyFzsx+bw/7kTj2aQvRoeJSIes2mjUcY5i+OvLkKIxHByJuxCOKYD837
LvDJ/UnILhs8qU8ogpDPMi78m6v8LrP4flTBZcKQAp3DOYNGx/4wG+7iXntOj2YvHK0i2umcXQfc
ogdrQHb5fAGwRpExL6gpsD1Y94oN711gtgj+ZljxVzfQFgEN98PA05MfPgi6W8+GQ8MHWZxhPfYy
XFsYK3knrD/GFf8j5vvN4Vf998KrQw8yffrHU/X6j/2bXt7iGtn2D7jVw9//psECtopu5TDJ5NHw
beZ//0eDZfufpKMkTXZELQH6J/7OHxosz/9EoUal6jpIsSTv478kWJ7zyUdZwYgDPQDPmVK/glvl
yfxhcoIGRB7kGmgKQ4GaJ/A/jJymoaL3YyjKPKMZk6eTF2EyLQt1DvkTDyjLYQexBkLzipOr9FdK
L3gZ6Ahjw8fNjtA1YzKzbLyOll7cj/Z9l0iTbaJ5AVtZl1pnwJyBlG0xR9ikjqieiYHvFK06boD9
D0xEJxAaEyg9WktB1OkLX0wV1I5uFu/CLij8e4YU03YwcMFWQW4Vny2fWm7lBw7xFBV2OW/FfMM9
kU4v/G0aOiFYby990FiezzS+DhphhfJvxzHhzWDPJVWuBhd5HBXNgK3Ml4Bd69ix99AFnWxD8pc4
UTMGzXP4CfQ+S6eDDIfXiMhvjiTbWA6cNLwivBVlaJObHhWbILD5Z2mImQtsYiRfQuEkoyQzlEiL
axidBMPSotunQcGnh9sTx/oUzYplrdpgJn0jzUcO3WKZGYbUuG+JknKz9ga+Zv8Oyq+MTguP352E
dutQupFLmm5cJLtq25oudPeInkV0lmu4F2sE7xCtCbqFss9hgAT5Jky/jtTHxGqyKlzSxgahBrUO
u01iivgcu3rwlT4wUqtBVoYyUcgXy2sWOOn4NU974Nx493Uq98RfqXDlqjJpYUhHyT3pJT7MO1lN
wEZFnpMdVPYXncO2QaKxmYq1TCKeskT1I7Ms23bOAsCEXx09UGrBZ3Q+OwTTHRPT0Pgrey70vgwk
7Gx+/IHo9bwagpVdeum9Kah3V7wXcH5lGT9XCcy5FSUBjZa2LJeHEipaDEgQqRPac+/3SwvRroq8
wjpkI6C4WkzKrAYCEoEK5C7IiUO+dqLTIBgcPPqHtu2WowoW2xkuHOVaCl+iyTLS2tIg6W8N4Dky
M+XgrAjAyo4LPdfZcYOD8bnIyvFCBkv+nE6iv5gC9OMwkWL7bKGL59CfCtDfhzqm0VN1DD+KCLcb
ZUAB0tgmXORxND50f9oTMwGfAUOOqF6uZslN3Lgw4b92dEmC9YIHhUq1KkEeLapLbi3Ec1i501m9
pJmxHhS7F01Py1hPfKT5ugJQYvb+TBceQaLxLSJIR5pXUd7Y5+5o1LR2rYhmIBzMmATKOLA/+3T9
+lVuOpi2YwL6CUa/RswP8687gSs2gCeFJ11uYHNl7QXs1MldwyrzXkkQrfN1GFrLVZ6H1UM6Fc4L
5jT9Vo3o+bYZyTHHxNNf40YdHwl/GB8L4eQ3yLYgglBBVejfpqQZ6YHminBUO1I3YC3gdNKTpQC1
/SkuV5M9B+XOxXxF0FYlesPDVowEVSOYXM196a4lnRjtDs0DB6/lJWEegpqAdnrO5xS06Fp3ie/C
yW9T0LOeR2OrIYBStZX3OjaQ022izl2mfZrZhaNGBqZAgeODX64GvQhlrdjWcR5ed53rzJwoR5ea
jij6GGeQdAnqtYkTKWgK3giWMO7KwYM2mYiMY2w5EW30eYYdROJNC49f4GLbUHZNbwt8x+sFxhh1
imAOsbHAkpxJCrMDWrLFp58t+fjCLkHILEbHZia9yWlOLcZGFPiawNc1HgY4ipayp4eudqpxFfqp
IBMSEMjC4X1K6zOimmcSFziKAckjiUSus0X05QU6hOpFhQpz2TyOw3UUJkSwQ332bxzZireOw7sg
a3khIwPuAnvB0i/0RaEQwIpPu1DnJxIwEI2EBjQReYx1wuQFyDxuNU7t8zpssHsMhibgvpMTpLLU
17QQkjh2PiORKORRIjlA7isipHEN5jpclUHD6MlC4njBg1UyANF9Bp0f10y2kR03aW3Hsf2OTcIB
Fh6Xfna7NPTlTvS8gIJgqMn/PWG7CtfSant7i26HuIU49Ontjw0Eg+3Alv2VMSdKBZsMOGLCpCQi
2Ros50IE+XID3gFhAO1SqkZsJdMz0KziIRi8etjXdSRPOX+hRsHMO7z0STpekn0etKd+JUmfMOFl
IoaKMHKL1wmSSB4T4wwH6Ot355G/0Az+KEM77Oqe8tBV40fwEax8lLB61eizjlOQhyAIr+h0Jsfs
2nKD74NZXVb5ZO+F1emcGflN7PQ/Z8LfEB/9+yPhf+EbfuKe9k/V92J8/s63Y6D0PiGqVD4FD0IY
VPXocb5ZOgLxiWCPA1kfHeThJMa9/OMY6KpPBxkcO5LyMTBxPvyDue/g6JAcHpXCjPvtj/7zf/2g
USSo4If//Y9qKMlRrPrun79RGByKgv+uXii+ULSia0Wo5tookOSHUmxoYtERtsOBAV3HmeWqtzmJ
SRdexjMvTbCu+uNJ25OiHtUGGoBJvgD8EeDGfZimQEdtrUFQBsDwQGQEvKMV8WBwRVBGrOtIALMY
WKKvBh926Lb73+ydyXLkRpqtX6Wt92jDPGxjZjCCwZmZ3MDIZCZmwOHucAxP319IunUlWXdV38Xd
da1KllJyCMCH/5zzHVOgv486G+t7tCVltn3uB73N39K7USWxWVWd+yNQwpdfQSCn22UalPUmErfL
3kSpm2/Xmc9Z+9FnNDjDQ902ts2VXoH0jfNmbDDA0zI3UEdFX+7G+DqtNkxW44fcn63QYZRjg9UY
uyxJFVIISwtc4FGfkriIl6vBbD0QbduA4gA9xwh+pWTtHE2uh3XQj9NaW/hFFowhQcpE2y56ioH4
0a3eu83T4R15g3B1Q/Zr5TD8OfqmOamgBRG0ZE60wdwF18OV4T4E+rPi1r/NlXfr0C+1pz6uVzvT
6yvnG3YTtdfA65qtAfvxqhbsU0xqODYwastKGsoMUGkOjF5zckLYDH3X0K7dcF3vszq8AHyP8ZI7
vwZrPpeNGp+yvrmTw6yyO8GhoGFvieQrSg3xVF2eFX/lQO9IWDk3MOL4ujPlXhc0KKAqfp03P9Vs
/GDdEygdd9LNOVdPZEjdTQO5YwC2HbxaUlJsOcLmzmFNIcdOtFm2rjsiRA7kFF4ZvuZPQ+LpW5mP
r33BNsvB2G92jrDLHVZCQRPOVNzbpbihB3yTGUF51aC3M9rhpsbXjrYU7hyjPqrOlKvAYd4aUOdM
yqRSu7we5J66PQJsNS4jeiucC5Yl0GdMAcdwJXhkzJGJeA4/NkN1typvHG9EXs8vkXKcEGoy+IYg
OqS6JAw6LvkuAlo9rLsF5vqW5CXnz2pocw5bJV1rZTyeMYTdSF0RqsvJJogHBs1LfhS5UzSb2OMa
saPrJqKqqfQYSPnwg+Cgwckq64Cj/5JT2K2iAno1/MJpTN8TMBDrIkcxNqQQww2g1S2vdbmefBt2
Uh2g+VrTaG+owHp20iW6lGylGNwit/silVXsFJkgmoxb/+LFE8djMiDIVLcYdjHAidjeodT0NKHO
78V12OYVe+F0R7LUp2UpKc1JPsPKm5iqR5om6eQUOUVKgBbS3ww9Y2dTfTiuAvp9MQF3hSg2JV4V
4LMGcf8nByWN+Qui/XHgRD+tkZOPIUGUXV617RPHhpmJ+DQM52USCQhXlh443+jn91yGCdzjZMIn
43EyXtZFBkwTOrq9mZZSHYGwNY84RaKnzNinEPM4pBxhzcdBmlsY4uUtEALU0q6HroraFEK6LTjv
ersRB8Iak0NfA4Dv1D7G70MHcWTnDHrLRX7YvaX9vQftncYoNXku/oEpOA7uUD3YQ01hmFJSnLOu
K9yVgnZ672LdgkY3idzaa5ysnxz06TKK5DjRqRR1HBdDBHMfA8wOsS77BTmIelY56w2QO7C1YxU+
IM5yNqLt8Fcy+uW3OhmGFOpObq7EPkaClixHMIppNW2tNi8e08l8JFOVHHumPxuw81j8qrxaM1v2
nmldHo+IZGpvK9fbNwVV66UTj/T89kVbba1Zy5ulJph76BPx7i+WOiZz795GgqLGFdNxuA1cmsq9
FikkNF/23rjrA66RQa/lhJRAzCEVksLFcfzQNbXDntLZjl8sj1nBcbgzgOLBfppbS8hB7kiytzSH
hpnEFl87y7EbouaOO7v4hop95b0kal+BYyPVCroy7OJnL1YDzpPgGfWN+0qmoG8n6SRfMt+9QOmh
dNzEh7DsyYnlU7xnTv6N9VUeFS2qpwQaPbCVSh1QQc9REwbX659NKAr8vz1Z80rqLKW0vi/1Tk7h
jA8icDcaee+UL5G8pXDyEiR5T/C/hNqwnn0XJidkE4LwoijCB1pZxBGVuP1uqjJ/WQY/5Pbput+9
pH8YLInrjrvLCtXlhaccndREDxj4sxXC6kMor7adJe/PaRL8xFD65aJ+VBxJaRYv89S+A/eNDpLA
1mehIIlBY0ojr83ivdcCjvUf2aLiY9HWRCYzfzr3tmiecRFACvLjZutZdn/iNDvzGNcoVUsqI/hY
oCc+OiE3RjebjjDOhnQ0twHZsuUWjTqOiHgrt0AVI99Kn1tlzEZI6fVry8+oPRAWgfo6harQYLDD
WzaeOtc725N4TOlM17hWOXiiSqGYvvUtx+xNUTYuckWY7KB97usFOYDalOxQFwW9YFbhDO8LhM9n
XcTWTUFVDhquCw2NbuoBgDskU/iWmPzoIIVsl0agKVcEzVg1Ewp0ugfLWeCo2x5KQpr1qjzmbGMf
sxYNiiFl93LvF9H85JaFAx6/DBu1ct3hB1W09Or6fUI9Bh2l9usyxAWyV9hu56DkpMFFsz9qXdzR
RcfGssD9WgGG48Cf2KepoPuPi+ppgrqfUPuKqwJqa2tBnGe6X0XUQYOqYHa3g6HX3Ifz4PlXln59
1lUT6lssP2AE1SROSe+a71BJpXualHsHnre8J/YFnLCtNmXd/mhLe1MYg88pzUFmrd22h9VQVFfB
zklOYdrBibM5IgL5mmZsGE2Z7asyKo+u8pJnDymM7pgMZ2To1u2uZKtsBdDyEzy9xyJ1Y/jGM1Mc
Onmb5D63+XB2BbQkrtnM3T4zejfw1IcO90DsuuTQC1+lYh1TPtJtEOj4OSoXj8l1+OWJvZ7CgV7N
2EaMc+y8zZ4zEik/69Y8pCX3yrULOGC+8QUnKwp7lKYJfJ5F9+qLCAG4nEgD7xi4RR9uMdpnAvH4
Pn0Opeld7sW2XBdhWQyYXXQyIYdc1ebRTcB+Ab21MCMNEPR2kwQAsadlZvxVOhFAGgtmcdF0gEF5
lA6WoukPazAyi6WpWt2poAsvxuWljT2kn6nMTnjm4qMqIYsUgHBgvsid4OZq0XtS5sMa5xTjyYIE
xMSTBgoOXGENU4oXJSxBm+adeJsq2LzrGcKgs/F9+x7A2qntYEUJ7EC3aeOCKE1jkEBtPFTTHhw8
VdRZ3sCImBqaXXIwJ1RgToSlsaovCyZM+iDGMnct6tD7gx7ccRfYvPJOUf9kwkDLcuW5d4UtozOG
8bFfL3OmMMDgMb6z2Uo/g8iRW4+mx7NNu8HVDLYpI0hYOV00OALDOTv6ng+t3HH3fMoc2r3Gp5Ql
AJw+WE9ysotsYyLq3gsoC5T7yRc3C0GjL1X+g+7hg11RZoktWb1CqJ7AbgC5/hzwZxyGuHN+8cGK
Q1aX4R6R5IErx0TPRFu0MWfw9E2LaEKV95L3vocauoMzVhwzM8bjCyt3PBzh37vHOZCUDTVj/JKz
T6PCgyIMN2WVjZ/GsosXyl2bd7BrZh12nt6ncPuwvggP43Dn1R+5V1Vrbc8Mal3liB8LLZ3l1neC
X4HHKWZLlcqxsrjMr2ackWK/TMFcnwYP+BJmGmg/mwSr6rdlglaLjdjMRwDlfr0HwLUkN7ElKMRM
LaffoJYC7l+6oXp2wsUkyH30AO1jKKrtesTE2awiaruyc+wuQXDOEaevAYm28A6o9O3WJB48nBnM
VnvnywxiWklHGLtdeK3qRQKEhllmxnua8MzSJSLhy24tgSWBYs9k9Jjb4J4jXZeQkcG/Aq9WNz0e
W6p+meOlY7lxAWh8lqYx93U+Z7TRjpz4xm3GO9bOK9iKcnkiNB2IdwlKEAw2HGpWAiygJJnE8LG0
2nEOQ5HN1UktV/8+piC8Ihb6vAyq/qG2i+mrinK60Osep95qhqT4rP0AhFk14FTDp0d59Gae5nMD
P0U9s480A1t1JoEpd/WTU7h1d9RZvqD8upOj+SIkwqZtKrX66hnlDLtxFJdkFPvIy5sXW87qGzpM
hzFU5fFbQCiqOJYSTx/7hJIXEXXVbUp7yCegbqAheJD978avW73NR5MFu6rpW71rFAcqtIt7iZ11
PXtw4Qs08QxMffQwLT1VUHOoqVy9WtA3ZggyxuEt1M9VGVD6tMoTywRb/AgVfphOFNaO4khgWI7N
Z7+3QZ+tU3ZVOhpoJs5IHKTMdN1Fh9EO9yGgoHZIgEZaY+XDv8mc8B3nKtbvqu5rsbGF9l9TkgWG
5gWEA/xlDIKRQ8LgAT81exuWcwC0RZ5V69DoLESVLq5vatM0v3BChPWuS0qkmqKF8a98cz0mZdWh
Naa9S5sM6tQcwXBEmbXf4A3X3LNM3iYnCEzdfQWXsd4XZdpyiqMipEVJNru0DLryHHBTS25K8pxs
/EqE9jdmeXl/NclZ57rIwoPpTHonKaJEkmAs+NJm+UybdabNQ506+lMSxVoLeIq/VNubXcWIdxUl
ud3ytFCss6ml8C61TQnObnL6DsahEwlkoTwr7+zJ68fHYPRB+zvB4q3EEiCkE2OAJasLmCnnIZlJ
tFjs0hTa5IqYNz1M3I7wvrblrooDt98GqQZMM/Tz8AY3Tj5SsYr8AOitoPKVReBbl0AiPLbc7BTn
ejz/m9xVvqT5zz1H1uI/+pU51pld7R3BqQYb1OTem0TAWZ3B7ZM4CDgV0PdUg4NrE9p4ncXT9sZB
eHwrFz01x8QUdMUq9AoOvfkMurZesuxEipFL0CgnDwvueC1HBViF/yKu545GtJ6R6cXD9kwfkTOG
oA+NHU0HJidCn0noh929ykq4olZSuvKIVa78kbVyBD6X2+mOcy5bmRqF/p74wHpWerDCWxLB7pYc
CscaSVnhA15axS4VWyE74fyI9ZOKidjGMOWDDSvLwr9z6Q6+YRKj7mWN64chdbeqsUN8i3DGnjiC
xDfEBrwnSTrivYaUx6EBMPHK45LOXuqRhOOBMz28tk5THhC700h4qHFPRjg2x5ym29KZrY52Mi+X
wudzyKcCdrdNuMCSfOQsBxtUxDmn7Kb09cElUTI/1aL2f+XeVHq3VW/q5pCUVnXIij7KGVThnufO
1SYSVYimkvtYF0tSrYl0UDkB22Bqk0/LG3Gvs6721bsZG3GSoIvDSySsoDkQxEmSYWW3A05K6tW8
McXJLp9K0T3ZMR8t8AKQqPbbWEe8k07/PHWCAY4l79uAv8quH0Y7OzQAbLnwlfOFhLJ+Ehy1cWkF
51Q0B9LiFtjE7FVX7HttgIe/+eTQ+mGV/UOixKN0nZ9YV0/uAJiansstWawrobXY+BE873R5TAhb
rLSqP2Ckzhsyvm+Wx9tI/eM9HquH2Gm+B9J/KmzrMtZ+cOoyIqshrso5zLtLM6kLk5vbkWTBSjrL
R9B137scqiK2pmBHcbdaTSzVJCyCH31YuV9QorkV6ISqGpl9YGnedm1FJyaVUjXMCi7K0zoYMhSY
RFEUbKMjxJaeVxVX6pVDawB87fLQiOKZbqqeOQynTp72nxjLidkZ9zEvu1f6FY50UhBHDcXA7Rzr
X1ZUSt5YgnvOwS7tDhs7qtgYvCBqL/22FTOI9FUESzp7qRav31Kdd2KDvktnyR7nzXhOl+kS9MmB
VuVHhjrnzmlv6A2Cks7cow5YtxzuFMHcbdKlOojeVjejZSgycAkF2NOtpdo7uF+blLQPJEQDunyB
z1HnoI2t5owfyeZk0F1sU3MuCfV3SKLww2Qx7Kq+SG7cErE8mcSFA5daW8wE8qAdt2BSaAnT+iXB
OiydpLsILzt13KRs1qcVZ4Kpf+l18MutQ+/kEC07ElvrcZyO/a2F0+vOCac7zlruqosi3GbUAwTa
Jiyc/sxaH4ZCunx4ofPdAZO2Hevqhsa84qS67N5M3X6c3DtDdeCjV4cj1w+a4fAAkmbjab5RndUe
/Ja9KRRMqKIh9lbce8Stq/rixi/nb7hyd0LwDbL7rzi4HnOOq+sUyWvtQJGc6vpOou/d0Cny2AUq
2nCJTHn4+uLUIfzjoLt+5il3VDz6nykFUCvX5yJIYsQmNLCIDZ7oFBv2pG8iv70QHnhaoOcNKxKM
l6Qy86fy4xvaKF8Hb3kvuuHYYNzYe9V8YZrQr7zOe7zWZduLKA6zKYt903LlE05wKB3fOeWOr4g9
U74GWmDgOTPLJZhccRgjqtE7lB22IR4nVm9oiY164suIbbzwelwv1IdIOh94W2lLwFUGzB4dsiUT
cyAMJ5k1u+fWHYdLfK0NgCn7LIEKB2X6fYhzgerf/OK0wWDATn+SUllXCaGbhpNpWhSa3ysqWDkg
SMayPXa533IaqXOZELIY1HYEfke9kYcdeLanHROQiwbk66X9LTGl9y4y4zaCG3I9Fw0UWGYYElvv
u7Iauc6K5S6OsBLNjjplYaXfkxxKou8XN9RfH20aZ1f5TAjw0mRkcXfct+nEKHo/R+IbSI0dmPMz
KG2DMGt/eK3b11+ShMx+yavkVAhneVId3du9yN0HmcfeM8zB5WSoallLYb8lXLO2eQCXeijpbsuA
sOXrUc3jYaxr9TYFfPqtAYAQFTLaDa6eHyl0W46eSBtez8naDYQ2VrYrr1klBhpoJlsjOBblpWCn
MVP/VKYO9So+Jny8DVizweJmtFfvorJsV1owfCuLI3CY57hZHrzIe8auTVph6KNbI5v5AK3/UHMg
xbqz5zR3br2Jajheqw1dTmYVJHO4o8WdPJEXPTuV7tfMmUhYFq5z23NIOcSN2DKRvOXFpfyLyRz2
zf6NKGN5U5E5PTT6CiokbbAxIqKCplgOXqPP6JU1AZ7iMpT2CxWCB1sJQVYEAifk2v6ntXAKyAYC
O5rL0yaW/qloCZLN+UQZ2nAzRtNRNU36lIlhPtF65cgNFTI3WcgNMvUqhdW6ZWS4lHdQnQ5l3lRn
rx71VrqmOgEUD78Xff3Dp7WJkKNrg4fQL4sz5s9IQfYm70VFelIeIdyQtMvVs4yw++fSPcqr6bEw
PXPypn2Dy0GObug+Myv7JPxEcwU3+iagNiOpx18VLwkpcsdZWcQrdoXPSrtwa+Q66THf4ErK31q5
hleJKOKuxtaxGkfcQdyKv8rReo9mfV/TFRGwjtzg34Gziu+mhkroghDWcf5tIjgbOPNL1mCtZ1r+
EsIxpSw083Y8e3zzscrw4ZvqDP3mc4nH4GsMlj0kyfe0aN+waN5gE+R7JvtJtaug5DSkDyA9m3T5
6dp0FzT92MSbsfAiugRwVt0giDWkxICF2AzN/V3RV92OMr8CYb8FVoi6lh4BPA+vBDy/lZruWRAt
r1D/vnM7+eUtwwVy4bLrXQwnXoNdxwuY6AzeGlRJumnBF635O5/ikLylIdJ+lnL58H0WoKHso3vC
Uru+88/GIxaMHuW7H3VJ5H6V2vTh7bJYAyft+oxDH7TMdtUMkdr4kvsttaqahaXqsGo3OrqMORVK
Iua24Ko8OF2tb9tJW3smMNGW6ujuWx134TnhU/7Cn6Q+HCv4Zi9qVMlKRnPMW03D2iVAh7IQHAO6
G9H2kjtOXC32JpOm7k3qSzImYuRXsE6rVL5OfcYMoyx3HTjho6Hfl2q3mKan2LNJRo316ADuziy4
pRS4iaRh46tNdzFMFWiDCIKlSanP7TpdPpoFIOZ2cORQ7rhJjfljY7nBtXIMuWYOTHyULB2/Kkb4
Z3sYy59uSKRzhe2tmF6CqjY2K0LUgqH31LGirwdrkjNOQXXmp4vyS977RXCsmdDuGmZbdFpX2tsz
NcPsg0EJcm0R0NcQv5O0P9PMyaiVLAm+B6o4iICs8QUT64Pv4rZVvBsLm6m76ZW4s+Lg3KSt9YOK
2PTeUTPDLOY70p3NLhlTRs1EprrFPiIRpzsns75Ybu5I7G3rSAcbeAOwJvJ+2hgcv22alrTR1km1
LY12vwLcPxteHX9DxJXiXW42yEDjBb4pofKOZrUVbbh7ARKD8zdPmKZdJHGzAMlEBhbzpV95aOPI
P2muzm7IZdPrRs4UXraryrQmjyDMojgNtMrDpAVp1V4HESTVgbFothPgYr/hLK8+8W77MHXoaAHn
3HbhFkT/OvbTzW/i/f+6GP7d/efW1mfJwO3r4+s3c+tz9/mRdX/2M/z2X//uaLAwLvg8fJie7Shx
gKPgrP7d0oCE/h/JFTcYsVR43hXw9A9Pg+MAo/Sv5EFolVCmrkbpP1wNgAexads4zyEW/maS+H+x
tv4VcEJmHfPNFbYDPQawT2Jf//xP6BE7ijIWBgQHehuGvYEksMWepn9/UP5b70SMo+NPzomAWw8G
tzi03cC7NifZV3/tn76MHAvHCnnlGKmV6TNFzwAPamUwQ6L6YpMgh0bOr7D6cMNiNDlbvIfU/Th6
mi4znoCZ9gJcWbziNg3p4dKROJ+LgVGRR1nzWjGSn07C8wcgtD31TEscT58+Wc/jaHlWRWq90a+L
8vOIJcGzA0LIxF5hxznq+xIIBlizD5xAhQteMziB3gPFylejFjI5/c2okxIF3UIvUXZWBhhidTzc
lFFv7kvOFCw2Rkx3Ju6TcMuVl46Xq16G+TH1W1B4GZd7slpDjZ02BR2d+Px4a3tMll9jNPYZdZVZ
d6kIl74WtoMB1FXh8NpTVj1eUzgFghU1cKehjkqPPIf0ufFUy3HGenUVM1yzbBnhMLxrqBgl01Qw
Cl53VU6yNaAYxF/TTgJs3vHb52aJF2vTBX6IVkBNA1mfIH8QyAB0CS148j1AVdkqxeEcUzoM0WDF
poipkWIH986i8P6zylAAqOua4q8/mYH+Cz/W3x7GkHeBDmxO8yF0MAhdWHn+/JRUxEXcaOaw7i0q
OahpAQbl5cO/sP7/LYTAw3j9MmEcB/D3wHv+Heozt2msE6wyqNzteFMV0aMyjrshaaZuY08ouuLS
9NYpu2HNa1ueJk6z/+J74KX/6/vAt8C1MQgcsF3QL//mJ8+ABk9JI6w1Kpg616SHD4VCLl/8XGwH
6CP/4gW8/ub+r3Pp9x+ZRYavyqvIovK3r6d9j8y9zdxZNBM16kugN7XmSNe2kfMviHXuf/EpRr7N
13EB7+It/1u0gntJWqgYO8sMf9za926hvlmzCZm1g4pgf/XoHd9YXUn6LgzUPXhl++dIDLjColp6
J2rh85hmgs5cesP3vU+pswSE4zHg0jhSSEd6WV9sBK8PbQwhvQzTuHS3wqUTi7FUdGZ+J+/+v211
5qfUg/z5b+cPof5tN7RfH7ro2t/gzz86McsCuNLvLOh//CM+tD823SsB+S//sP2Nhvww/JTz4081
1Pynvy+713/zf/qHfzCVn2cBU/lHN7T6+rcRT/+LDS+40tD+iXmv1R/yhy5+/CXD8dt/9EeII4Zw
+sfe5lz//x8GveseCHSNPRC2FSkPHo5/7GYcuP7Dhv7q+gEuUt4J/uz//IR/rBj/1KR33Uz+8qyz
k+ER9Gk48UL0GuyE1z//014jyCi74sp+vIaoa+YEzbGqnKRgYHfMPJm6zhRjjRYjU36jf4lIFZpS
WdpLLUoD+7KK+hWBDIo11ykrn+8iOGWess4QagSdGTVRSPSviMi1n94h3viTptiTdlCmEgCivL2k
j9efnpQf+KW1JWc6TIYxOB1I+V0Ww27GO9JKgs7SH3rISoTC/QvZYmc6YwN2iKYmdu5wfZSz/LKV
NjjMGj+Zf2jfsB5nqMUNR85FslZgQXb3YoI10R1bDBslClaqMArhPolj+0C4tnEY+vhpUlFNQMq2
B8iUX8fohqR9tRuSgCKBzPTVndAQETCH1ALDCBeBvvuBv6fRbwvBu0c+vGTT0fUb5XhlRjc/p6pL
xrdKBTSU0lxKjcBID6zJIJ7QIWsJ8UBOTrzwFdqPBDHsbrLyWMKVQINaM/UIu0OQRvMRSAWmjzYJ
3XyPZGW+6sTr9S2Ke3iv2Pg7+GHwh8sTPhxqfkiGmm86qfubhFPSdlGh/1ExM12PNJvmLDNeEa4Z
FBF/njLLXpNrcV6NMXLeFqxcc7SW1ZjNB35ZxBMnjRe9tesxX1dGEnsZja9QUWX3NsKv2OhhtnAf
L010OyUwvdYMCRaFi6NhaF0BoIPNkOLKhPfNYCPAP7+fqIz33SeZ8/xgR+RE/0sNuOimNdA0j8YB
MHkXi0LuK8Sbqo+1xJzs3oAWGK6FRV6W3MrY7atPG8PfPtZsTnbRNIcZlfbWuDBjsilMngzlj8mq
zOcYJa0twAUQ+rkMY1BslBtzVJnhz8Qz5oscvOz9Mo+SMSTNDO9xb3JKr1x6iZwMc98CUkSsbSuw
c9jkLvdWBjKgVFOazKto9m4mzkFvTCa7dr2Es8TsBn38pYnVeA/hEysaw+PieZET9kbsTHr61Tok
kLcBFxjz0HJJWVMjPqpLj07eNVvLnfsu3XpYFvJtm6v5oAjuA/f3JrrdHUqBT44kmZIT9y/OpqlD
HhjcPvYtEZvZoxolkuGWdoTMQpnKVQKVgMBTrMW2KQa+S1mY7jXsmF99gJPwdnZuL4eUOj3qeKzc
IQ7ljqn7kze42WIgSo8NH511ytPOVwfqSYzPM6G48BKnla8N7igoDXk1beDheVvFIGmnanKZ255b
10/S3t5bsjB4cgNNnfcwcNR1aSykS8R0GFrcpX5KhL+sUxZnZ5Mm1MlzzaQmZhhcmW2iZFGXKnd9
PvmcXq61O3ByXFHroPFf9Khwm3H0KWlJhhFqSJS2JLqginaM5wrO7MOwxAeao8QW1wraVDp4VXz2
hZPZDzY3cESDADTPj9Dz5FvtlbW4jbs+ZtiFB66CaBBZ1XbIC9QgLJnLgc5n2nqgebnpiX6m+mzi
uAClMXVvwJC6F5o9xjegksmGoyFhDBYJgBwSmMAaWETuAHLqrh6rtgvk1sHjcVzMRKV4WDEar3Hm
AyVTIVaWGCYUhAaMdwMK4akTU3l2MYADtigTeVYmMW/x2PG/FXIbLVswhKpN5DUeZqdyju7ALqVm
BZFlwjhrorPKVUwPImA1Ovlcr8dfTSqI5Poi0UsGcjltWmd3MCOaelN1vrvTwmrdd5oyDWC3ubfE
1ulYO9ZGWeJizKL9tWqjhawRTLUVFgoq+QK2RawtpozOY2+C1xT9DdNfuxjMIvPsYvjtXXVuLYdx
1TTR5PodfF55v4gsGZA5QocgSjeBmPFqbdKTlU7NUxfO6gQna3rqoqTa1eAEMZfXgfOYMxK+UHae
vrZp01u/FizLFbpdR+5o7htEONbbednm7lyn2K2r1F03yxxoLhxNwfBs0xpuHq+KBlY6HOfE7u97
rK89SXWpOswBrh4fcGbCNnEpJNwrolzvC43SYs3XGCEfZphdd/im+kObT+AIAF3xibdOvsH5DRdz
XfkIJVcgk5woaQui4jHUk3VLi2tbfU9Zn46gYyRZCzJo05oKpu4hDEAlrmHow323Z/uhA/Ecr6m+
8h+SyGIlj3Fbfo+Qcl761HOxw7d9vfzE2B18o/Tzakh0J5uPmdZv+/oyETGKm53i9WQkA6UQgInm
IVmVWpUX1Hhhb1PKts7Z4A/MT0IzJltDuIVYS7AwOkso+bMPqotwd8aFzJFptdLdZ0+pDl9CE7Oj
jBYngltJ4RyUsaeCNq1rHO6afxQMXNsgv3ocHdAP2CV9bpgrIAdFkzwnPdAJJ89Qt6WMfGy3rr6a
DVQMl4RvTabNntq9bjlGMPMu5FKAyaQ1xqTdxDmZ72hgjYdvo3M08dZuAMvnkB03Tq6pjaK+aTdo
lggi2EziG79vhnVkl52z8yu83LFSk8vvygqzm2wA5rPSrm7sz7FzbJpDW/pwBHXTMF127PHO/dTY
Vs2+i0hx4cw0s/yV9X5cNL+trC4485Tc4D5MI3zIfN2Aw35xmgQo6NSWzsFrmaGsTVLxu6H5vMdC
3E5W/ZLUTTJte8uGRaQhj6z90hXJjnxOdWeNJGrVmoRgyA8FgomMGN3ON05eMkrj+KjGPVsucn3v
dfScWr6/ZU/iY0rqLEtXqQ7ijsF2ruSxD5nl3YhgwZDWB5P/o3UWmR2yKJECutGszeNQNSOUTzup
7tuEZQ/GdiumQ2t7XbCCZuE+uLkQAaIryd01JvHyzeU9d3CCsNO+pNVsP9sCMBbzYT/BVLPw9EYQ
ZR7znNnkaGrre+kViTgjmQfykrNUrWtfYwkn11fGK43hu9i6rmvu+3Fp2Iyr0YvWMem74o2Wq+yz
KVKfXmNNu+V6rtLMP5GwomuJOzzSsZEyYJ/q7RB/YmZ5X/xNdLMFU9E+xl3QA2GJMk4lcMX9b90o
bdusKgSocsMAsq1BLtjLtIm1N99QgBi020JBNVjnDHFQonELASJMFtz7HrvcuxiiEolJZUhEI5yD
5tF4Gttd2MTT+LRQ+Pe1FMX8bXZaVkioWhp11ukXDCw1TP+VhDj3YCzmDXtwbGJ6mUudiq0KloTH
F5Mt9ldoV/WuHHHS8xHrYTXSLHSQvFQPiyXcDxB8ZAvIHqMYVgNNHWuf1lu+P2uo6k1ARbG1koPf
X0llEUt44fsGFTqndoJzLi6+oyR9026BSSbdrbR7z+r33rIs9FsPzH+7PUbtkXahMhyfIYBUX4rA
HLf0qbbIkyiDnbvN44VZqis4go86fjKuthw0Xb+C22rbLV1vbSkqRAWC63fzknI0qVVOcjJBbDx3
NZBQzromVWft+N3HIKuQMwg/fk7Y0s0+TSUzfR+0eZ4edSDs/Vzr9FHy9AT7Lmgi8dHrpliyDfI2
CdiQxfyR0fiCk2wJFxbJBXKIAxjqOo1apSAWXvplVAyZArC3inh6vDZhPTd7j9o5m9xCU9C2FMXj
J5PxwDlOZGTbtehb4gdDZ5IXnRNR3dGc6p4Cjlww7PDeYddZuMRvHZpA1QZbxX9ydF7LdetYEP0i
VjGABPl6clIOlvzCsn1tghEMYAC/ftaZl6mamyRLhwR27+7VUQdHYc7iDcpXXR4y4IZYrnBDshuu
kuWCojYf0yBsWTRJ1ivNtqNQ8NUsw1Kw2F1h+7IEgxUo3IoLZeTm7gFfX0d3WjGFt7QqvJCPhT+z
hpny9l9OGxWcWRuF7/p+om4Sirwei3GkBi1yVi9g3U0h2D4O2ZQ+l+0qBUuauVMX2fjx75qu3m6z
gOa5yKpGyO96QxEYpzK99oKl6U+UsNm5cuwGLcd+L4dnhLUAtFNRNhsuz+NDBxi1P8vOyPGKcI9r
Q7fquk599ILJz8kPoFIwIwCvzB8YO2E98l83G2IVPo+F1QwC52rNE3Ej+NN4JA3rNtiNeAP+a301
Bpd4xB31W9BeRrl7luL6K9o+6Nkm5DM3zjmqf9titkeIZhWr1QCmXqUUF7Us+y3LsOswsNThD4oZ
jdgXrqM+HYm/gv+KrqmBy+Unf2a3v3sQcMDnbdLRR1EPExXndQnVkRpS8zG5VOc+VKFJ5J63Evuh
zIGD+kAQNLzzt5aq+5xZo+Tv5RhMahdRAVW+LvRn95fajYDk0SXGzIcDNi6r85LNrvswL3we9u2C
NXBTp+SEsaYF6isoNF3WgCDsu2hW1923HrH+TQQAcXr04R78HH1+yPtpUj7ZpXrEvXtccz9cUJRk
sfydXdOGH+zA/eFY04q5YxE4HXPbZa/jKt1PIvH+Rz1F47l28Wp/is5Zd33km++A8yl+KXpKa6EX
QK11iigmO4TSyoXaizs4c0bn/VHPXhafM3LLzqaJW7GldaB+wqVaYllo4mNO8nufojUfCTulD96S
0muXlt6n4xJnYeeXhi2lZd3AS2ec8EJOXOF2oazxREWMb89Ey0i79Tlmt00cimA9diQB1n0ZLey1
uhINeh8VMnngrjt+cw2FW8CGR5/cztqbAbcYg2+l0zHj7PLlgdtzTo9y3Edym44GGgGHIE80JTG6
+qH4LDQPtJAwUoCXwKCc1CuXixjW1Xud1gPFva0g+DHC0dqytiiOaTMs59qJyz+aO/8uTbP6jbAg
mYxiiQacBUn0tMxe9yA80zBALLVkIAc9iPefcvJfsVcxufhNNjzpiGiLIljQXEItlsfZ08v4rQNc
1iEVGxe/slJd43iYrmSL1v/WoJJybzAUPbK3no7gpnCUV8VU4M3GKBTvVjZir42fxBM2oJxcUZQs
5q1cipacG/ZzhPBm1f7WKDX8t4aq/0ixKEeXoccHsm2JFiK65zL5iAihv40qqLds2+AIraugbTF1
esp7RtFYCgCt9+bMwvvMrZOBgFqddV9pRcAr9ieIsbO6Vxp1Ppcyv1gfh6XhN7rGxgJbLYeU22UE
CS2q7rkdONzjhs7nYjqSX5qfLKnWYzL1ebIDuewc+IJDfDZqCfZ02KuFOuAxTLc5+wGyB6Ffqi1D
BD2gRT8FMIHzaovpGx/KoFKn/ML7xi/Ojds+pgWXu/+L13GLfWaohiXVTEX2lc0hM+fCp/TCRku/
Fn46zozkXdvsuAea5kl7GaCHYqkSCn6N617WOnD7I3eB9o8Hxkh+GWeKMNxhvBI3J8OEy6jqP5RM
rcsrJ1r4s8PndY7tFOQbYeA4NImOLfYGIiwQ0ZOXmJwEMFfoHG8xUXmguXbR4SkbHBixaz6P15DS
YX7YMwTpcyob/bUie2Od7fP0GZ/JIjd4kJl4Eg4Sbsic+Kc1meKPJeHh2g+zsBVuD2mmc2OlI3eF
70y/wiUMHoLISY+e7oJHkc8AtYVoq6NGU9pnJsmOMp+yH1mb0gZIqsCS6PKy5ZZN+J1MrzXFOosN
3+oZ0ljOWg3a3Ji3AyF8LQ+c94l31BQMg3KWGaaMtMbP2oVi6V/cNp+BU0Luzt8qIgh37LYz3+FX
9K5zNndEruiJa0AajqgJI5lD9ZZ7Sbv1+IgFvxCcwaxMeQwovgAad/EaG78FEB33PC3F0Q+z8iwy
mb6EThw/u4HMZnbUY01hKRSSnQm95JKEBSSVdPT1YbG6/HBWhY+mHjEN46jl0B1nGdzd07L7iROg
8j6xYc/+FfvJvfqVD8y9AXg255FXFUi66i5HbFvQYHypPkmPnJXJmypWGi3dotI4usZqfUmNKn46
acj79i43PPRpxfCfCF2Zg2PuCSo3cqaTU1YFP645dr65UjX1mbVp81/LYbarGoLZG5IpTOuO0xNu
8u/hNYsKyc0h0emFlBVwa+RE7wGOIY7zLtQtngMQBE3/IUnnYQ1ZnWX9p/W8PMecSvaxWEn1bqIG
eW6ug+ZxTfEV/igKF4ZEq2axs9J1wMuFVV4WuxV+fU/qlXfUI0s6U+0gFFYPrQnr5iNQueg2UQBG
CG9l04KIltVg4y2O9wjN14fE3OLg+KmSPlaY39x6OSgxeMSmq7L0k5eVXAxpPjpw5bNuhSEYaVNz
yOii8DeCZOynzSNwvz7xV7wExD02Ue7g1wZX3dxANdNZ4YHb2YIitP+RNS1KfKjMvwcSGcAudJEk
Ny757Snys8YeYGraJx5l+1Gn6fxq0gwloM9nJZjJ5bTLXWUroshaHG0DRRQprsxr3o1Tti+aQHwt
MipvZT7e34LRMC5b3JU6388JteGntr0j0gHMQwslMjjz31Nz9dVlPvDkyYnNc+Bb86GqGXwgSx5R
nuPAAibuoAa/1woG0waYLaXBPWzvZdf3dTRh428MBgnwf9VQ5mJvmqYYT5Ys9vxhgQP+nNoYbgwm
922tAjwXonK5rPaBvTjuEqIndfP4oeCMMNC5nWv3QRfHpxzMcLPT6ZDYI6/TRr/g+E4G0LFKltTa
JshvDlkS0rdJF/+imYI/m84MIaBcVnjcCIEfYXI0PyHaZje42ZZ0FEzqxLTBFgxggr40RTMOFdfC
KVYetjqLFl4yMcnyv7Gr/QNimjpWRecAkzTOjfTAcpqaMTyTkgyfJnKqP8t+nm78udonFfjOaVJr
eL0jYuWxUZ4zHiPrhH8bnL2AVnClnnD5tUcbpNlftnXiA7drox6wpi7k+Gc6u4q6al6yxilIeBso
UmnSDxdvCNISfrIz642brIIu8WGWPdf3HEEhqHyy3f2i4j9BtYrfAJiGc4A8e+4iyWU7x3p6wD5a
fGJ3XBt/m8yTKQ4kf/RPaLiGx0hq74XkhcovSJpaXOhnJ4EA14jUU0KdMXFUWB1Y0CbSQ0lswZz7
KlmDgyHiXB0rAXMHHYBY365ylODw1+y/cfkLlVxTG0Q/mohICQnxdUb68wvnNhZBJ/8iNBJhTZc4
ybeEp9MJY9OI9NzzNtsoPSfYebnzBs7SPlLxEIoNcmxG5peAC3oCyB9WB4IEAzChjkdujLKXqRgN
HJuowS66ruTNGSMMrr81ps5C23H8Sq2fveedinJeW4pFBLmtONqFnvXHZwHqYBdPXPqIhreiRl2r
8Ec+T+DS4etyXjwKgnVUOAxw8f/x3ku/1nCM9CWSRfwALdZ/RmHnVxDUzqnPtOh2Puw1GF6p8C9h
3hbtt1RV/GsMZfUAnljuw7LsvpK2LYctXiVuqOs9QuwFNUmonotnfZjmu2zpDvPcnHjRODdbDmSd
vCrFiz7A5H2KKAZ5qRZlmwuUT7qW8qiNf0Gi9r19FQbpPRjtLjv6ZcoDtLWY7mu9coAPDslznHPe
ACani8hMlmXM2dIIHW+1nSGjD/zjy5shC3qs/Ti8WIo1fq2r5eEVVHdvMj9y4MQrJziFiZNMuzhy
8iu1FLrescMYfioT73Q37yeIVYdp8HtvdweW03SyWoq9557kYRw4f8fAIqdMDS/SNe8RZRizxw4s
uIFezn0fVD2XnBvOMget12mXJ2+qwFz6oz6tnTO+8l5ZdiRs6vSQTk56C32nqPaS5Y06DkUnyBs3
CAX7sB0pc6hsW7yucwO4fQrmwT90/Z1AtlYLMIPYrT56rBo7+jaSf25h3NdMh/pHBTziUBQEZn4A
Rp3QrOBrlHt3qUN8zQ6OZkRK918vIkuk1gT6giOce3fUWLPwNqyEPnVJRvcNgw7p6cSivL0gjSyY
XQqVPRMYKodrZZNhuaphUoo0ijZPAa0n8XuDp6l7DknupJz7iRM904SVHJE7gvhoc9kx2utwvhJk
86dNFqcyO8YZKIFCUKOBezWEr0MDSDgyVvVpdjQxDwsv4ZR1V1SG4cGdMMV/K0z6co8/HLRnsfoT
oFkP6PumrLzC26F4GhycSBXRtc/det2i8NGAjpk7NVwxbRuKh5k78p90jbv8seon6K+CTgR3xzwc
651s+CDyyivVj0R0AwsYZxrfAuoMvE1DGGfHQMnUlQtH8/kG7EFUrCzeFMXo3q4jtc+dt4inXRRA
MGcmNBMUVTS5dRfXOkSTBk4XAkIYK0qCdtiC4OCGTjLf4XMV6u42Ut18nHn630D9uwRC+PoTwN57
5kwaYuAhIupvELekD3rVyS/+3fFVlUF7XmDlHNktkTL0jf/DhQX4Hhf3NZVIsbluyiDDn+63wSru
xu2luRSQu6vPaiZaeotlo7qXUGRsPX0MQhGLuki/O2Ubkb4nJnGheZ6o6roO8manDrgHd0jdvjRJ
7MhTm/qDc0zrlpJ6qLVy/E4HQn0/RTas9V/IEKvlRSQZ/wX8+OYADaWsXoJkjmcqZhIv59Qvzfxf
35D42pIdEzHes7EAgc4Gj21myKpjaymD+YNOhVzGhWX+1RpQkSfNj3PjCQlTJCyNerTkRLYzRw2q
FDgITvhgaLx9DFu6+ibnHP3C585wltBeftJO2v/Wlh0KaJGxHVrc3iXO8R6ZPDszhweXsfDHHCav
z5IDBk2xW0jZPFQRcd1tbUdywF2MN5Z9g+sdgxZV5J2DRvaoPJGstnyTOVcUVI3xA+dBul7cSdfH
0E5L9JgZqhD2VN+EpO2D1bTTg0+gLDl7KIzDIS6Hu7aO7vGRlz6f0jWbxn9L66/+hXoIrS78UsWV
ZYNHrrHunXE3lGYVOL/D2ntfokkvQAo6sAyNY/V3ymYenfT/gvv9O6X5Az63OSwY/ua3RtdwiRLP
frV1yWBk82BQVHeYYDovUGe8M0hMdY46x0Zs69ApwBnO5W/EdShgmG2XXaJbXxyjUZcPK/FgMCp+
SwoNRvb9t8AsT8tAenWqxHu1UUUsu1Q81bEMpxN4S7EfXXc559w6NWF/RoS07eTwHsrUxvuxwkL0
ACp4rs4eDUXbcJk8kjaee2Uj2/6wpoSctlkmm1DwXnbegzf33mspIm/C0JUU3IMtPHC4cJTGu72Y
sd0tTfVhFtdxV5LHKZAvtkOY36g5+Vo0BEeu4izOFtEXYOVi6JsffmzXX+5ISqKIcCx8cu6lWI3Z
UNT5bdHQZrwTlxt3xqEo0KK/MlJQ+aGugi56WpmumOzloO2h0P2YvzGpSh/EDle/U5qh6cC8TOB6
/hyGNQjJJ+akuG7kEOoR5y5BxGhPRIMpjuJnoDEksft2cmjh8Zo+So6FjpL0WxJKgXFHD4ERv5de
O8GGCwsajEHtnF5cxTkBJmikvAijvc6VRK007XoRPTkd3v6ZCMcriEsTa2B9eFabs+LJnL/KMM/8
ZwLRMv+KAN1T3bUOjKBwCvoiakia+a7zCLtI2N0QdZM5Wh1CSanzonSPq+d2CN7saZJvH/u+NluM
Doy8W+u77bx3xmTAwZIPEnM7vS30R4mxxYJDBmJ461jAYHXm0VTFuxeUGST1uhzQ7EnttE65bHUI
lMmS8wBU5W6ntcqhBfg99z2wgojSCp0VcCJMR4cb3mNTBFL/bvjUcMu3kMv3OVcEw6VY+mhJfFxE
ON+qlNsCCyaWZYwIaNjdc72EanmeSlXU9xqVKs12CjaUkLtFuGIaN/hAs6KAdYDMdnKYXfUGgkk1
4j7NK49L8oI475GYsWY8KSTrZTuKqcyvhDk78FFeZLhPs9plHUiDRuG1VMEPVPVu+THe24wIzGt/
489zNbQHqqVmXV7SamkhgZBpmuRfyD29/KAN6p5ym5eu3hPCU9kO0oUUEIJ6uV67dLzjYd009kh7
VujLn9oparISQ0A0hGU/L7cmxDpyJu3jlY8IaRCOEtODf1oBk6ZHXaVJ8pdMY1ATcBgZpvWJtkYd
7IQNid9v1UJkINvpTDHW71lezfISLSX8Stw1Dpoga+Is4SJBjIxJfbGQXIKTkqCcrhjIjH8XpH0m
0Q3+kfy/vmA3dr+sQwKFoBhDhQiPdB6ocH4dyjbzCOC7fRAesdKwi+emZIR7VKgxsIMsFhOKj5Iu
AAsgKW1wt1o2QLtNLMx4XZyOpimVYt+SZ7YXRp9kki32aCLtBvuerAI1An1WIkdpQ0fj0b1HxNMj
74bZHU69y0O0GxwKsk5VaZ35LysY0KCHAO4GoevYCfuzWvGSvMxzvrj/ijh10LZ5KtrfXUYO1vkX
5oDMWAw2jWCJxWV5TbZZ4Oea3KZs3YyTyKW7sXGohCIi8rdfukHv4pkk/bHCXwI7SFl3RhJGCmYp
h663aTNbjY+Q5fmOld+r5QIqKnIei8GWerusXpk8J0FytySrtnRCvNDtDCa+k4VO7oVzNIqpvnX1
rcprbqhkvYkOGghn/q8iImiS7yLULO9KfYXjs0oNe/lvqKUtsXG7De0miMtDuStX36dPoKJ09GHS
+I/v7BQKD7SXVL+LxTX6YKn8CCnBQHcnMM36WJWZp8/rghPhfQwMLu59qRwKhkrEev8wAWVRe+BI
uXsE09Ame7xhY/ZFpNEH8aCcxfl53xFE54EDW37zemzxcM9VW0IDwF/8OHStdOp7t1M2beOqzdYr
jJaBkhqfHGB7IEQ0SU4L2kym+zAR+4d4zXKKTEHBqPWQDJkrdlVfWYejclXLrziCN/ttEEPDG0IU
l+d7H49CzhORA/eC4cFZjp7XDiusq/Veg3NPprFIZiuYJGxRXfw+FRzN0W0jxPy6rmCX0TZomoNc
vazqiNtgsLig5WhzXrkfr1+tYK69dE4KFAUvVU9NUTvZdjnj0/G7h2kUYfyP/7UMWq6YtSGYyBaq
PiONMJwtGkzFvvYtn0hGnzQuzjPJMOeQo4UBZxcsVV9d7WZbaBxMCbwTnUgj9TnLxFRBsI1AC2bq
NXtsWF8lP6JGdzbZjtFkCd/LLKgvNE6EFMN4vKufl4j/c5KuS1/KHTNhC9hunY65YyUKB8Gz6Tgw
t6vosx5Rx/p9eoZAQ4KNbFJVv7VN2wSvvD8wVRzZs6/1a1HWqtrZKTe8zoeqrknlOfFEyLomLWa3
Xi2b8VNUxtF/p1q52d+opQ3glTeyZhPVgunZ9bxr/FvvmE4cECpL88kIFmcnUm1T8kv2KVeVQ+mj
TT3xIZ+7jzuNrTpkdiZi9QqV1Ihb5c1gLrhisj+z0UqRxybypK2/YFSzRbW6sNl6WceWbKswfun9
E3JpKdBwDcVcbAKilh3LE6VdPtlsvwj5Jp8KW9OdCnbWoyn1XMtpXA7QNNy+2SMHdtMvQv4Gixl3
mBGw9jR6bcni1FqqVpBB4ALg4IrC5Mni+UfBWXGa5OpPGefrND1No16qPzSSMhQiQ+XaALCcuPeT
hI7LkNRrhWpFIq4b+61futA2vFFGzr6cMjrjS98rPWcPyFmYV6GIE/vH+b6ef/NLDcAGpJyFVjgQ
U6ZQEVhAU3xHlD+0JHzzGbcmRCQ1rSBOXPY8C+guFvkPWeiNAhRBR0keXhmMG88aX5+H7QPrVnnC
ftICiuYMz75S37dzuW9NbSHBlNMQcVkFIUax8SBGvmiCoe6loLgIMkbuu+xYIpx1tNfWH1SEW29D
YRj1a/S1fE/5IF5qB0j2JlCOuY1dG4kdIQmK5ZreLaifDVSAYbcWvNhxRZi1PqYk49Z9H9cBo3aN
Amj2kdu7Gpp5OanX1A9675DQflb/NROy3xNeLn/+9kdgTJw/XSbomxokcx4B+jSqj1gmKcED4+15
OSOtK+zNW3rxuNQ6P/RpZ6GzGHpoNhDQQch46cRc6eQOyrAnYCMMKWXmcccOvTedOtE01z8u+MJo
o/WM2SIf6p0BqpKBYZrXV1Fk4kkNd+CcwBTyDVYrOuZTEF3CIMqhNiV9cPYAnn5HEaSqIr3TBkjI
ZJ/tmEg6ZpT7i+umOA5l6F09fhtbd2pDu104iQ6jZukXNaGgmy6sdg4hZfY6Qx48N8B0nhQ0Q0rk
1tFNYEtSyxdweXjMlp60Z7AGD4mljXHXokGfdTzVb+6y+NtoaeSrD6UBykgCvAapFg4JawkMfrwh
Phsm470s1vFLYiPeUo7THGXdZru2i/PtnM7DxaE22WBn69s3hib4oQwXiqVs0qS32ruX8bR+K7cI
jtUXaWbWyrJZ/rkyi+wTqx1o2mtfiZMqU/XfMMyV2YZ8xu9vS+X/qcTaw2yGS3EEVW/6A/885s5M
SZ6KMH+Mx6D4WWcjzhavH8IPDLP4MoSNuB1MY3Duoybe1qlKbz59TGLjZBhT/DmntMzphbfl/dpi
toQQCnnKZFR/Yt+jhgV8xRhW/qn4vzcXWT1B+IclDmyndx+DhbFzM4PRfgYyxBpNl3P/7poQ3y7f
sHoIymUmapPzQcz6ikRliS5z9nCTbOMgbQKWonJtNyDn/Hkbk4oFHmLtY3RHjrB7q49+Rg8orZxY
cThUfD4a3RJsFCCZLUafGDz13EVHamYytm0SO3cyoCeyFUbqLir28luIUzmT+oIdPlSTwHeLaHLs
IyW+kbJIhgzFcgximmXYkiEWjoTntstc5OcFT8aTlU1zsYnitl5MEelqFxerufkrjynDXf1WOSzt
UQxiuNsSTuPV2Jxpt4OqpRQj43ZmuYtQqWo8XvTL3jmmJctZOKYLRgLILOsh9dGNtmHmD3s2hWHz
iCIZXGdf3EuObBfvHL8lm8swX+1wEwbnnET4Cc4/JUMd4uw55d1zHk3fnuRamrOCQ8v2qh6vOX/x
C/Ns85aPDKfxSmJ7MqjCzAyxOuV1QIp0LvNbGqvkwV3TGdtXkpSP3jSjQbtRJF8VuMF4E1AifdKT
pi1JLuK3i8IDtzCJZEv3vE8u9hBgcPjQ9PS+u6XRH/RgJhd/6X3yeB6LUc+u2YlbK1uNdFKhupmR
DHUFm5UneCMyEIa3FunkRqx30KxvPO8256ql3EEvXzHV4D5o3TLYN3UUe9t7wCE+CVD+5UZVYXkh
PsBT6I11/dTTwXcLYw4ZJfi4b+gUVLceO0t+MATzdssUj+NF4HjZcvEjUR33C43QbPS+mgAz/yJD
fWIwbg69XTUL1MTv/O1kmm8+z+U1T4fMbsEein3vJOVDW6XS2bA+iB4NhxPeTvacnBLspE5RTFYD
YdSk70jR621kQv8yrqgubLX7vcZMmhEMRh3MfNzEKq2m56SN1x2BpZAY4VIc4M7KR8EV9QaI0ezE
Wq3FNve4OD8Ps+l6IgRd8Ub/wvws+T3A0QnJ7Hq8c/5avKztHq5Veuywyv3i/pXYU+M37k6T8X5t
CHac4lgy3EJ3H4rt2i1Qcjhnv/PK5orzxmm5N7ls2xKZzAzVFXVSu2k2E6v8KPzT9mn6ptpeoJVw
cUFpGbrEPwVsPaqtbYdp2SOFiAaagZM8MzhRB9uG9ceAV/gatEHyPsa+Cc8DWtZxlOusn8B0IH3P
iVg+srRxHzNiLiwo2uTFQ0M6u8Dqz1B7AFii3MfewQK4PmbozX8xYIbh87IM5g0FcnAOgIXGZDdy
d515RjPky5W62WyXDtW068Hv/A29dTqrKHQunP9F/94XdQCyOnc7fS4GjLr7Vrbxu8SHCaulWjzG
iFwpvuoU3usk3C56rHxxr4jzveH3JBLv4+6IiAnGrOqsU0U3YVY29dHtEmWPmZ+66xcBbVnc87D8
+xRtDFWwQz8T43/ZonzWalXOHpDNPm4fd/FJhhTSzc/G4pXeOyKphpl9hxZcBlUyFM2TSe8duRFO
xPIlBbDx/wnfSyO5CUfLGJm6WRJcOe5mGmVyWWM0AIMFSdt38KsMmLurfOeK1seGXK95NvpbnWB/
58a4GDSzwIb5Leabw4rAnhAaEj/z9gdG8prbSgmF98oNLEk37RgFzyG17LBBE5rJDo6M+/iskbgE
AyTvwgun4LJdwhEHCFUSmbvrsjjh9uTMC/5lmotdSLphX30qx6PDPouxzx8MLx1q6g2d2BvJ/IcX
MUmGb+iiDIqxDkCeF3lr/psYCsGmQG268O5yfrlcNbqdDUf+9I7m8jNg/OTh6niJbCBQlSMmzszK
AxWzUp1S8n4XxP78JQMPDL4VaKb4bk3XdT9iClrL3To7sBZUT3v9UDoxC1nOKa7AEpE2v4JmLilh
K8Tdebj4addd82we5LsS/BiOob8m3b96muic6xp+/txVO177p8QMnfyJVjsfEDMwvdYS5BpHSVuV
n4OtMNwmM1vancma8EDVaNH9IVPT0guX2sh7bXtEwhvLl7FBZVgG6e3qRUt9tkYRatq7oyHVuQUU
FIZnVMj+naHUV4Q+yubiJUCG8Ka73vCsForFvU1L8RiWqo7z/9MUtQx2rSWp8Cf0AFe4paz5haxs
0C0KWiZMu+n9PDlxB3FablADb6idC5YapZjWEwFpVqJH0j+4S8m7Ub2+AOZ6YjvqHELTl3/6IKuw
q7tu/StbJ2bWlaZe9hVlmPbkqJpXOdFHYk1RRdu5bIjwQvbWh3F0y+XmIL6m7C/KKt8TNhvmP0Bj
aZ0hD15f20UU8iXFfvMXA/JcnCNTA1lYKg7oezyO8IXOsj/1IAb+cGuJjLe41LCGUfGXrrj5wnIt
ik4mce0N9+9fd5AxL6pC5kHzvS49GTrkr7Ceocp0nDeUVUq+Z8nWixdf5yiX5jEHpIPiB5j96Siu
obbXkUMw7mCJCgJvRO6GU2BVCkmh06GD/5yRDj70COJ/2EZkG4BV1PRCYYPxp4U5mAgV1iyaE6v8
uQG26R/rZAXL75jWsoXr+mQtD/Sf3OniLqHlTcm1vd3W5LlJa/kdMexSavN3lUkHkbeGRU7qb8aQ
g3a+YthRlv6yKRjRYpZwGJj2evpIWtdTyxVftCTfkWQmdD7IelC7zGVmnpL/WpaP60NbGuw+BPPx
sFgsYOWDgpoNlxRAeoFkuZpBH12BCrN3+duUfWYDdOuV4ul6OeV9nSSGAHXY/O5Wg5h3mRc8melu
jiA5USBXJ+m6HcCJSRdjwFqKOnyrMkup6DWSTo+KwrVrXClvT1G+MafMVbM8KjoGIRexIBSdxMJj
BG2Udx28oVPAww2M0unSIZWv9kc0DO3wBiivKvY0dnl8jO8UxJymaGfqq3NZGvFn5SdV8aVcN1v2
YRc7/XfTYzvYhCsrelof2WICupaxxbikZND2B7h+d8wl1cczj0QtLGgsLWa+7OiHhfdgxnZxXlza
8iLxgVhVwBiLe5Ucc4G4zoQkTI872oYaClusCJTdMlzKJt3RwprV/wxl7v4fL1HsMfdNh+HXnUL2
KvjZX7qqzoILg68H614i7Lz4Q4sfFYK0O1+XnB/PW48YvuwFztdxQw+xOANU4XPm6rs+1c2Le/B6
BFLc8dDVeSu1GrxhJa+8k+A1TeymLvj0cRG22fSnZKu4K/EiBTufCxOZprm4UEI1u4c+acQh6KR3
09jap199a3gH7SlZTAH1q3H2ksMiBIwwjG4zVck2smo+t62iNcnn+yvJRTjRf2uhieOsYV/8lOS/
j9MM1/7oB7UMkYoQMviQWnbrVa+ie1LV8WjTtDG9L8U8HoAY9wtqD7+AfShG89BXxB55KejmBQts
evHbUL9ZrLEp02S/PEZkR7/MwGpgp30tNtOYkeRlUdvOTwHMcX2yfeRhf8IBO57xW6zXMggIleDF
rRRBMY5JJGIUgmkz1Ykujp3b9/ylcjXnvlLFU5kMDGFm8fNn1P1IXwVMRD757py/QNwA/B5K1z74
HZ4UhmjWpgEr0WmL+De4T83IIvW++sSxXjIFv7beFBN2rfpgu+LJ8zdZRds7D/ZQuudAaT/eg4is
ukMTsZ/fyhS8WSv9/EfgFdV2TkaAkArstdhXmM2dx2ithmM14mIDzA/Tc0dvE++MDsV1m8doLZsh
HrKWagO6NB6AYjDFEXUbVuwKJasogkQLf1zubsn3opz2XSqqPbcj6Rzeg106rOc6CCfvyGEy/7Ka
rAEZHFw6bTWpDz+xrt66xmlwlZFB6q8TDi6CoGtCIduUA0uvFnFG7A3+R9J5bUeqbEv0ixgDn8lr
eaOSVPLSC0NmN94kCSTw9XfWua/bdEtVmJUrImaku1jPNX1aKXJbjgz+FoLqkYSLh/m/NCCxe1Yi
Gp+q1IChEsEyvgDrFCxZLDpAghtce0eDlWh2lej9g85yd+L4TP/Zg2aT8lgXmTop36jgXom+O0G7
475Pmap7GqCPFPdFR9Pr8AjoNfgVkaDBHKBts/b9on3kdMzXBQtiqLptSLLjVwwJfEXSmAdulXTL
acUwgGmWbiea7SZ1dIiFENQEaBRd2g6T4EHRp5XubG9mfqtSC53UwtmKXSaGD7ypojTYC5V2Wztj
TuWlOar/+mTiaMsZPmTzt5hl46isPefs5bmb2976jFJkm2enwuu0iUfNwsMn0kZ+I0U25j0NySKv
+33bi8xszKiRevukZWqC3ZFv3QALAdsCaGbN4ATFJmIceIaLzFbHUwDcuS8Hxsu2Ukzurh09NEbH
jNcELVdj5oXX2cmJ8U0T9Wtlndjzqhms4TG2QEsthVWd5jGmztkf8R0N/XytCD+urS7BZViPXX8P
zJVcC7ed4sRZCrNxxpzKD8XggV4s1G4O3OpBcc2tPRacG+naWXGi0D3eOPh6LXz+kHYRTBNkLKRy
73XgwaTZpAp/n0JbhRacjeFNfk8GNsBeiauIRU9jH2mpz61NaAF4nuMhhluN/HWysOYwew8EgHe4
YTA4LyLn9oXX1VCsB9WGxLqLKTC1e/RkdwiD+ZBhECdvbQbJlOH60cZBQTj0tnF2hVewJ0sBXP8R
FAcKXobpVwDAjTJ5UGFHd9AYYmpN78XKZZvIjsWLv3xyRW9+UQ3WusM1dSJh1uzSYICP6NdR/tnD
A3oO3ACAmSxQKd4U5ddHrXzH29WoRZwMMxd6FVcHWIAgS0sQqkP4qABGloeKCLC9rj0LM3BLIVql
yA36hB6v9UyRb4WbGc6cBp6pWkob1gqF9qgQcx/zYu4e+94r46cMVfShHdBfsDOEnKUKDEcs8mv4
8tR5J8G25vjXrDK4WvfabjgAmrryfkNTz/F3XTfxHWoCdxmt5QLo8JCEhLFZcR36HNdataLfwH4Y
KghjhN6xQljzhGTI0yB/SZVd5weYsPSCoAkx/AzuBjF5Yl2GOTq3RfzsBw4H4J5oFkawasr+mU73
NNek7PpXpZfwUCW8Ym3kQMgwVbfSaxffwDOsYcy1LNTsfac7mfDYbGCOdQQtfqW1EAezR7lWjtIP
du5k1Fo2PDbWCsoWWxBGjgsJYxoj2GDG9xOzy5tRNr9gSHsOH1BseuzSbLhuxRNe15c0VITF+MSh
N5UX0ffJsWo670663ZSfoBxXEZw5tPtVOLakk2y/ctU7MgktdDeVrjtOXjfVO4JDFTZe5FWZb7Ct
YlYgEWBfqCSq1QHnwfCNj6A8azEHtzzIOJDtpghtQ8NhAyhcZYI9Qe7f4/UoQaz5im1aMjX6QCtQ
/d14VWFWrM3nI//au/eaGs8s36LlngQLaOfSEle7N5GTnixPVwerF+0HZ9e6v5tVNM1H044BG+6W
tyhpEuEb0lpCJWzJ4Tuc+tthtWpodMRDao/5UU+mZ/NsF/8yXXO6aKego//bi6ldcrhgyThSel+B
PRtdusAZK16M6G0GBT9KYJxVbZyRCyhQtoBA4YXAOpkfKD0sHi2/8ZN9Bflx6xrHEKNySNapVw0x
GqoUFYh0za8oiQzaP0JT6gzhQ89rYphYJrW2Q1gIWFbLLR5uphHbHXu1J8EGkRTkQMEwWA36gH4X
kakBFrLhrW0eGF677oPMCMlzDGpec5TMTvKw+LSDLbM1fYWadfHc2hUuoSj+KGcSP9fbEtl80Ck5
k0ZD5QXkGbvFZz6zv4BDmy2vDo4armg0XtyLMeexezet4EcWxBkwyYVedugq4cqdDxX6zK8IfYET
QvePqrT41V0czT5Z4fjLy8z1EXocmASYMAuqMgu3F3t6XvHhgxZoE3IaWGcSYoj4i8b4ZldLzfLJ
wzFDw+FUDpyugx+aIrijeB6SicT0PgpiWHhePWK+kws4x50ufU/7GzUQhNgvbtb9uOHQXns8CcCI
KWwFBshP05GVtKtrIZ3wqS51vCYoSBVTPdMp346g8BnINrMr8er2OMmml2DEjhEseb/HSxepJ1nb
SXpORZq2e48XQM7WtZiXowlAeGyB8MP1RF5y7/StZsEiG3NsvJTmG19Qt9gsFEIMEetfT/OLQZcY
HqgU8U500Ja/FgiZD6DObc9La4wJKktcNhVZo5092rfHZgrLgQOH36D4QLMPdaDDw5T745a0FE8d
Y7ldtZnnhTgJCBjyMdrOBny/A59dQ1xi5s/lvg/4pRvkhQ3lcJLOtFhOVHxMvGgkDCdyfP0ev8b8
LWBeHzo1AhVgnIVv499yUA2mh/+4EWto3WHS33OsdKkdkn75BGU+/jPOFHA9sWhddXU57pdm7C84
WhB3tYmXLYmA9gHcpHUMZnfcq2kpMeYODQu+xEW83PK5WM99H5CZThfcqrlE8We10zfbsQ/5XEtO
AlubdMKHnXBv/pvtVttf1oxl0u0XjN7OnDGVk0uuNqMY1QOhI3nDuLNEKsY+4hSV2AFCVxJp3LHL
xM6mNuseL/dzx5nmoFU6cppJ63yfsRHGzA+0DahP11nWoRQOc4UKyOvvLGJw/WZR7MSJV4d8s4GW
AeNTsXCV8Y9Jt2jqldsS4mVH2SwtZbQh4xsiYAZpP+C66wgUp3NFOE0lRE2E7KsTx03aauDZ/Okh
IJHaad9b48KhksFoG5UU4EZEClAbDJwkDV6CKvDat7xNfSQlKcyqYLNSHgLREsQtUl3yXJAE5RGL
67ADuA1sfNc6PgABjjXQ2QQCQPnidH0gEVT59pDiURkOoye03FLh4pTrgTaf6FCxSm62JXgWrC8C
VZ0s7BhGysHObVLyQS4kFcTmoEz2raVs55Gc6TBeqK+WD1VacO6VhiX/oy00Dn5Mkj6uBnS1vWMl
Gcs+vnlrJYmvKvgfPaUbeb48JJPR/BEhQR4C1e8TYtkLcyZmRt9Pw+qMrTkzdzYMTwx6ZnDzfdX2
kr47GVj6LnPayLnrFhuQZ00rwoKLv1GHgOXNO2bV/GuKirHFWygxx/Iual87i3OUzbs7w8eHL0/v
TW3RQlc5wZ6MLMvHAIWU7Gs7YUx083MxxMVnBlP+z5N+eC0pNHUvi1OZ7Mx5ACMjb/ep2qTsEli8
snu+r2HN/EqvzB40X+cVC3tPyFuAfUUTc6eZ+pTBd+Ij6BfXuwq8yFC33b6Dz8BOvIcyQ4hhHRo8
L4gXJbKQzYlMrUZGbxeadU/xygoEin2cuthiWI+mXcwf+F9Zwa9BNbeiZCuSjCrxqKNEYJ2nfSQh
HzLxkXrBYvImJuzqexljeNkKO4qO85DLvQdH7oGGi2zgowEusuGnoWvOx5x31LWZu7WZl+HdFEv7
L5SKsuxyDoky1yETGvVmw/xAn1xcrifg3s26wQF1J0LWTvdTshg+HSCp/kY0HYqyTAWL7DjGwn5Z
ZFJeLdGW4mItHk6WgItW7C2T6pO7WPO2mZ0QsKuMf+0JswNP4VCLc3BjnF5gXlXLZrZtJTbYd6k0
Scvefihp39ggWcbXBrr7S4GlGJZ8jOXr3DBfSIhJi49EV2D1C5eOvNQ6qiz6hJeiYm+WsNM2X8PA
B1TegpwxFvdA2bQQuJF5SPI4HkgCUZQwJ0V7CIY6vzSTax+gLs3uB2K9xFddMDmkOb5khrpe9U8W
J3p/zalfyuOcB8sBVQtEJFwl/3n2hzh6wBzBia5tiPleIvIXC2Y+y9tUI3kEGn3Qwl2qTj34lLZP
OYaLqWpN05EbfpbO5OUvXa3rCV20BkBEHItqCrI2/L6o5Y7vEeRSqfNy4/SjY42D656dIZL3RTxO
1DDrgWIydiv8uH4TPmPxj4Yr7nzBId1JeQxItngoFfDP1DXyg0WdyYsWo88Zh3AA30pX/LMZ7fxX
YLVWhB8vDAxtCKMtz8Yk8H2atMFRQSS/1zxpZcwRMQPA8Of4o94JWdrBxVI9LhWyUDogIzBUCzLW
ih0R1MAVJCkKP9zIs+GCi2G+cKPQKAIK9zcE+b4p3Qj7e2YPw36x2ChCtvT/1yUSFfEOt0Zwymfm
cfC54V1FsINQxewlV3K7Lf4ChyGBHungUsZu+G1kTlE18wI5lUfXIlRyABhFYgD0AUFgynKw9ZeE
KaumHC+FiGp3K8hB0QHHnh3kgzObDPiml6T7yutZeecj668ViO1s3HuNRR4475WgUr6xzRcxmcB7
VeSvvlXAD5p2YPF37cBDkBA0/csnZaiV4x6By5uHg9ixx7WXo8++CGh8X/YnJ7RJOxqYdJQqUaQI
TcWhbnWppzn4GiYKTQ5JD2x9h9cJhSPVIe8NyquG+W+WRfvcIXDN4KOMxky4rsuCxf1cF4X4V/Z1
k78jQNCfgbMhr/4nfOMVUeHkY9QP8m4nW4/TbhG0vr/R5VBJ5HWhjj4TBYq02+pq2XUYurj1fZIt
0jZVdOYQvIz8rnL5DjnK3jVD1r3HqFLZI7V94p7l0FJsurGTHTwe1C/q0VRm/VeZrnPw54juhIjJ
kwxt0LqjSQlALM5oAqMCh7OT94dOU+UBTKiB/YGBPcdF2vjuqzVUeL9GvxLfAApuBzeT50n+qSNn
QpSc8bYN08RAHXJr0BKPjgNfhkeI65JjfsNTi/MLTBeP5h3cJ1yiivWt2Ea0sg6HKXDhSJUslt89
SjlRcrh+WBAFJsbiVC13BZsfsF4KF9WGX74hhxtH7GWGHPG767j5iFw8FRHtCHpMKlpMePeRIHWM
1RxHze+5ClQyRnBwiKQ+DDTX9lfLETEmyTDMcI1q/pMwc27Gl15fuZWnKywm55SPVfkYGAMCtrHj
4JcNv7zgFQftOcllJoXCZAm6DXv3DeWlww9XDbeNCOV0mDMWImsn9sLZp9dGNIgQqffuW9oBPFYn
U1UEPwj8mKRitLVV3vjFg1dRfIBr25++oJBEl6TAP7mllmCySWna837ymRr2U2XFPpCWVgXbcs7t
N42fnoWi70PsS/AB9wduNAEcrk2zCm8SponqtARG36m8HF86iX2YREliShj4JI/pg61ocoXcVD8t
nJfXgUnpvkD4nlaRA+k2xhgCLgJvmsA0uO8x62xh6Q7/cfuTirK0y/TlkAYFWDXI+NhOwyQPQ6FQ
2Ql+La/tMpppH1a+5T8VXY52l2BeLddhBMNlhZsrZB0vwSh8Ei9fuGF1EkZXnbPFWnMwb98pwBwn
YBc2T7iKkeIUhmlMNjalEeLsT9qholbq5RNTff/NIaFY2aqfocPFEwQpEbBCTLCr7RYOgM9OCoh3
fRMW7F1PwCzfVsioN7IRdnIAvY6NOS53MJUirKR4xnlxBrueB1R7bRNB+4Jrh/mulrW6TA6vvysR
ptG9RA79E37lVzancbSyI1b3zjtbTghvKfKk+5VDqZAOee26JZJgBVW7S4WS6X2JTzr/iLwmPKoA
4ycEq0ELCAyZY55G6sheZcPMRxPGQEFYV7Tnom5oyBXU2cJQrCvffjdpM/3EVWMd6C900/Vi5vmp
tALRIzbr5l9ws92uTdl17iPBAq/cMZRaeAJLAeHJT7N03iax1d7RQtZfICegGUSef+vCGbFIHmU1
xFto/8RYdpxBGbl6aap23/UcJjHkLz7bWiuyr5Sr3tK5s0dF6l6byT84RD1PFS77DfyyNuPwMS3H
MQ5DbxfjSMQmVXGt49GNhoamiyk6eE2UPQYgqT2wXE790mDJ/o08mMku3idqOnT3Hzx7z8FrO8LY
SGz7wot0RL5U0btN1HJapQo7EleXby4jxvVTw8ZyDXJEE+Bs2Dg/otWQEHQMmtwpStlPvszAoHE3
uXBPqq95gY8fTyQiGdFjm78adjbKldsib3AewtDJ0N60d1Niwy3NDPkexY7D3cowWt7LYqj+itlY
J7u2ETiUorOaLD8jKaVTs4cSY6LnDHHijm624pXqagzEfPhQzgJuiDGM7Y7SGccWL7m2EEFbE97K
lwOsjLf8BcaBvhfHGjVaXRVueXyyoiv/YCMQl0j9iWWoZ4vbg3JGHYNW1/4sUddcl2xeftJR+K9W
ZFniDlZjbV1Ym2TcLKiBHmuP2jPbwMZj82oyX/JyYrdyw6KN0xnhXtCWXfBSPFY03R4TNoDhbs4V
5Gv6RYc9L9Y04QmfDw+8itWtcTyqdrKsHOqUWiffi6Gk2iBXuX0XjAXvB4s5CKQjV5QFYjGqf1gR
QxyNCF5ghNC3HVja68OyRKwS7RF6BHnL8siN2eMb89SRBlq4R2U0x+42rjEkga7qeBXCNyMqk5R9
E240pI0UXYa2Mds26RbLvTh7+ACYo/0Ib2/nJvjhuj7cNBRnWGsuBoFYFke3SndAqacW/DE4G2BH
NYFbQjUMbmhpyERUlIodaZFpXfuS7aWZsvE5r1VKiq0lnXMt057RPJ7nfGcPpNzDwR7cBzAMi7t3
ukqnx8UhnAFHK0xfWrbRoHGook8vzBrJ5db6fgBHyhDB436xV34bRfUjkvHSPcBXxHkFEU/Lu6kT
6Hv1XCnv1KCqc+2CXsTCZSVU6vr92KgzZadVhh/Hqsm2eRGB+Rita14noUeSuleAb8lT4Szc4B3u
vTXIDBySkZ249T+1yPo+5PX15eVaPk2WPx6Am/NcKlKMzI7tUhUVLA0yvY+x/z5vStXuMMvIhz5w
6rclyAuzbUdlKBTLRPoUkWUR1BrXmT1ScEKLFHAxSUsXfmPFZqMfiKyPPnuHfzJLKv/L56jxz5Qz
sdQun8SnaNxsnWAgkUTSO4G8VA7e1auDLuC3NtPywpzs3d5YbGzKTRLqRRxKDljtazjGTfdXjhRw
/HDCyIg36CUpTnLpCJ0jDPHmFeh9C0bZUvq7UlLDwzxdyX+tCaK3IEkBaKB089rHbcF1gcqqxxeW
gdyZ254UxH1gjU78gOUQI+KqsmdE4zmTwXsoS/86WU7RHEbqE4+eX2OAcOfm2c9GjFW2HxFf1AZ6
lIritl/ZWTef8jaQX60CQPVbk8T4qTseo4iZYd39mqCK2vsYn4V3hGUY1DjLoLQDqOHNRNgWj3n7
xbFOzX9EqBqqfUPp/qccN6gexY3yQSHA4OGHrOO+3ne4hYiISw6UK0/E8pTz5L0EZtYhHBDhfo/u
GB68yMNkItpabr045CrXQ1uvbSEMnZy+120BDHAAa6aI0AwQjOWY44qaPtTgh+oT3oabM+fMyfil
XWUMb+UsfMdrYPQTV4rTvQERVLAjpqjvgZazBSTA3RSPPCMAwHQmxfqhWdmrsEu2WkTRWTGHU/0Z
U+nHAZL9waEqqLI9prmb/MPSTt0NT2r3kcF1OEXNIm5776j/KVTVfrT5ROgiTxJ1IOHRP2lAAftW
du33CPTpXuGb0M/STjLcK5YbXcLepb+en8JGbMYPCayKqSf/YRdvHLobc4wqBGk9WfPHZHOwRR0N
YrCtWP5u3W5VYP7iJfOAFjfYBIdNlIPX/uTJzV+5MDDF7H5i/16lnJxmJieainxEFcxPi43qYmwn
szcBvOm3AsZHwfItB11B2ESINR+j88mwJyCxpKXKYYkRKeaKnixqzSk+XcwuT/CpfBBiyDEBWqM/
Xim34+qntswP27uBEGC7qfUMkyboU72PcjGyMGvwDFGrXWQZtC5NEMuXY+08BtlYMpD3bASbLuDY
sGSlpFAYC2EAuFW3bnO0vaUO8L62019fM47f5alkATx2FB5P5CC+switPdkmSHd41GwXDdUDZzoB
n4gBp+lySa+c03FC6a5ADaPF+hp7wLMNbZvgRVmgoqDURAG+G9klyzMNyRXcV3wde08hPaHh8eCB
5BbbG+OqWR1SXroYl7miq/6rLurwkhNFqRENmyz4b1R5ZfNCjQuObZhKuWZuUEgVXwlhNeVrlUFx
3HZMafludotkW7rwiXdJ3M75tu7yqAZBUcTVr014z3n3wsXBwkCZjH4dyC0U7xIPArIontk4PcGs
dJ8R/ejeIAyKS8wWUbtqeHTRcRajSzht2uxrj4dty5m+uhNmImKd4XS9Vo4Wei2MFTyy/Y6zbeHA
sP3t3XTgAoEkGvZ7RhvyJhAXOfSO9Bgx2LgbZCcce3LqUmvjRQMxBdxGBC+DTKxsUp77uqzbI1Ol
tRwWV1rWS92D8d7LIU2ym2bvJHeLR8nW2asmX521Yb9/6bl61L7QOmIO9FnPbpIk6++4fpc3QFu6
5B3UYkZWPY6TJrQdJBEnUz/p1A3FSnl1Thsh+UFuC+l7494OgFdt58ExMNDymXCFx0kdclE9H5vJ
zic4ZW65jTB+szwj1HF0vABiupADWkrlEqFclU7cbDuvSe4QRfLnKmhxhOSeX71FJRATTjhN+o2a
lfxA9bShkJgRazYeTr5bWCRrXJEekCkrSKoKD9sSlPqraOdwPOQTp/0iZPe5FeB2dgmaBRnYUkA3
iALwfm83zFnO7MzdvO2YdSjrpSS14ZpqXCqxzTJuyHxBISNnAXeJBdNNjIcYCeSrqRdKJkNZP7CI
J+CflTXraInzC19QYGdsUVzSWTW7goDgJ2xNWkwXRcZBj2xU4nC29XZx2VtyXXWzE29kvhj52fJA
Atvasst4hihoZU9hxvLiGSGRiSBywLMfmDrm9HXhOZhs3SQlGMWh6VihJ0Kficd9kDZo6YU/0zWV
An6DMnqYyfy2K+XniBqlMwqCM7c72bah1e95GWaBvUrwHygW7x1MFowjk/mRfIbzHUvYBWSb45Bo
w21fa1TWnqvhmfo4SiB7/Aik4HrSsvhlQ/kqy8x8w0fx2neLQAVhhpofI2Gpc6pDIe5yNjT/OFnG
uBQ7XaLH97X3lsdu7B3Ybud3KUdlzqeF1yWPmFNcnBKzQZxOTHJhX4RelicIuwE5MJovJXVucvT9
a19boCIDZyJt5LMX3/LECj5wzFhPTeHiDPW1D2kX7MhlGiCfpOBc0chN23w3ILrOuu70jmMXaSXf
rtzDiL/hJU1B418k+eYN6AiLIsLQz/w1HpeS3q7OXchgkx9eF45B+kf78raovHOz5Rccn2cOty8Y
4UN7HxJ55GMyRctafCpA/weiOOlACWvXtLF4CMdeIGrOCR5E7AVu/5ZGVfNrHDbQZIy7BnueTXVf
JmZwKsgP7quHkF4fp2ox3Y3io7MDxIP4kmhefqThbvsz6lNJEd3uNu18NAKy4TdTqB899FhGu+cp
GQpxlvAqlxcZdZn+7ECG7uo2AkobOU3hb9yFuephYeO7kU43f7gu2c6b+PUPxiHGJFsBpqUat93F
Q9d++dXMnNHWgw7WWZsXd1CSw+HqTR4bk4bhBuRVYOOptIPuQLA2cY9dx6gxyADdXDX8h5QCz91X
ay3Th2URPAdppUgj9eMeqEgQcjWo+jhabs06L+BHRIWbpboXcsRvs6gyvzgSCs0TJAw3xgkWugfe
GUuVYHjFw7Jl4RB+2iAtruQ1C2AnTcQqadEu50Us1puKeQFujpUNe3AFnOvBPRf/0d49ISmPRXJv
+rqavlUuMdlNYXhrl8TmsvedoRx3YwkSeD1gyvfWzLvVpwpdGKttQ2KcdljprdjV+Q+8IcRzyekV
44mXkvmoZfEDoFZdAHpPtOphx32EYpxvqozn9JZJYnn2RVRs5k5Y9d4jzb+t/ZhQaezMBRkTSCw8
mOy9zbD9mhri6qskHP3Pfib/zUGYr2niXL9xLM57nB2t7M2mmeCZZEP7SBrmG0+q+YFmnx4maDMs
74vyVGKVOXjABFnB+xTjDtoERyEEoJ/sFmFeSbu3uzW8dXN2dBZ5254abVY9VWJffV+G31rxsMb5
k3aHsqoF8IvBfXdZJrAkGpTL46GPw0PoBgjb/g3jg02Bn5JVcfpvyfzihZTq/ANm0oJuEcQeGh/h
FdfGTo1nMoseJmPXz5of+xN2bffIhMoo5oMLIpVmZ9dyNMF3nrvtrS55jC6RPYbzOfFSyl0J2hJb
mawp3JuMsx8OJThZglTOve9QqdszKWx92nXjta3A78JcxTk6zsvFxXLPpAnxGSkdi9kYpRWylZ0s
G9/2xnCDpyh7b1KVvpWc+nnI6+g+bUv93LYZ2CzmmeJ9EP1H1pUBH1eBoUFrr744cex/NoBcXlNv
IgEp+jw7hBOa/uLPf20qzT5PluBatl1eHCQ33tbjrdevusAVD6rusN2EhO7uBpuD+Nb04UByK1TH
WXl8qqLtP5g/5m1HMmbnNkk0/QRdZYc7C+bKroEZQEeyypBHsX3jkrUwyWm+LYpMojE+WFMduRur
t59l5Jt7+3bIwjfC9ZsaMJQYjKOzW+Xxk80mYcVLqtz4qF5oGzSYnHTrZUe29NvZL2jDTAVzFhHz
Lkfqa+VpHNUA0sS/jlMKAM6fm5M1ZMnbPIbPRK2snQuf72Ljej7UtSMfBWHy/VI283h0GiABPIta
zgtYpeuN43nuKeP7gWCEeuCsfM/4KDGDw5jhl/XbzGP4BO6O7xalKUXj6TL53qBjLgcfm8bV52V1
yNPYfsf+QHUFpmdEVQH2I+yWodgYz5cUImb9N9ZM/RLlDVagMszfMWK6FNrCIC4Hd/Rw4YOGxOKd
/qIUpduMvqJVBiZzFWp+rnqCZZUPt/pcDlWbxvOgYBXChAB4DetgeqeKB4INw2ZMZfSUIjZxpB+z
BFuYFaLY536Z0tMDvQtDBV2oeLLM3zi107eXOxXjbP+F33DauqWZ8KpWcfRmyRi3WmJdl9tvigmy
manC4B65EWCIXVQiRFgAwQ2olxPsgB+g78ZDQcXOGlyde8ZOwUFUimm4aZ507JZTk50EQRt+1AVa
bpVh47BdRh2wp2s9stH2AVOvHBo0HhGogEWz98lpv2LNU3g8DpOORgTdHkEfaHpehl4/Rsly4LOO
tq1asAOKW2sbkdpvF2vApnNG6zRl5kSkmm1lG/b5P+mkemX1Li8/zae6QFcunpc5knIzhIbeE4gH
miiTWnP8LHmhAeT6SDjv3ga2oetukhDjIS6pR3o05Kelg0saqPEMLiBxT1Hi8FB1QFjf2wM2/h7q
05p0PARTXDUXhqXyEky38HmI1eInbh0+74DW6TYqZLijKaRzoG9wRVuO9V+uwIO52QxokZzBjr3L
iOSIFaxUnqjXAER5EUtRPRcNrbtAYUr3KNk2f0qhmvMkBiLojMM/TO71b1U1D+UtYcmtGwv+Z8qO
VrZjOV+mLR8arZIPCcd81aOIPsQyrHaQ0Z10ZRKwrus8iEabgE3DSz3zf2rLKa+8sKYTpavQmw1Y
ntXQ0e1zUB7zM8MtJDlPgAuhduf2Ci15Y715CUWfbPYoKFii/sCWwmYByY+5KHYXas7mE84e3NZp
TnoBU4japNR8Po7MtitG+uhdTQlRgqGhfbwqAXDkJRHbvFQvmvpEPPNBojEfBTdk6mKybRMGGQ+Z
/78jqrH8Q5yK6q0/J869GpfEJdDAzqhPemjzyoPNZbL6B+JK7624/G6GV9WnrwUNsvf0uORPPrL5
ptSThDzO/D+tFe4QsfX0kuabshpSjqwJVfYVzIYVCn93myzS3yl2+2fO+p9t7MV7nYM9JlHPhIBE
SgVBpb4Q4k3G4Neq86hz6a9TVGzYACzovmYoO+k6DNp6PNuaI78auj+2wzEFrJ4BZjUN7VMW2hLq
VJTdjOcVDiCR39CiA8h30uHuS+AZSnaCri2/VO6k+wX3/TrvfBbbsM2a/QzJ7DGht/GJUwrPknBs
xz8aPcZVOyxYCca6YtXSBgHt2QnU9PUC4GerlzDtdze7wppTpVmPFrCgZlbxxqos/B1TQhTRLTj7
4GWtUTNC++TG7HY7wlobzMR624yZItBQEVW187Fbh9NAI0TeSNVvs6VllG1wV9HI1W4GgJU8TuY3
YHP4Hz1j9WttIqKt5r1NkwAd/wbqwO0E+yb5GA25Uih6ESFfnMrpNI3wzNHZQx5nZCoc68WdkW08
jzZqW3juBzua9HMUdnukYi8c905Z7CFE3uxHBd8P8XA3fYxrlmE7Qb0enliSO9QDL1hjYrqvPUMA
O8/UEaybdcwQHpu91bMe9EcRPpeksp+FF6SbiPwbvVwRDDSh3fdSafvDAtdm7cvMzn+G0cdyw1ur
+i0CbS4ZbqwIuDs1XWuXff8tL86wTwNHxZNjyO7rPizPvpE0bI6SVT/cBwIdwHfinp5BsKcDxv1R
+zcfO6TSbGgPWS4JCmRIXZVIfJx+03/JhDGKtOQptwmW0ylKQ1Cdf7B44S8bomvVo5xGRXUiJBCt
Wmn0ew6NnozKNLNaX4pEv47F/JLEtxkh507bG7zcGIH9YDPDFNqGvSyPBM+SR4Xk8JnH3q11oxKs
tW9agzulPD7JODFyAV3fIzKw1ZB2Rb+O3d53EvJnPhfqxcCnWBfF6HVrjAnOzaeYvty8fm9EHubq
FLP0YJpK0oZCIBCvdwsY9S1FKPqHAHY0ImYlNQ+4KMMJFghv5uzmWt62pWD1t1E52uXAb/EbmIwr
K6soam0dQP8OWZ2vdizMuWI74+0ZgSR4bpRwsmhc4Bhus8pio4uvBC73L/SJ6Z39ib2XZRQoiq60
d/0/js5ruVlkjaJPRBVNaOBWQig6ydk3lO35Tc5NE57+LJ3bqXNmZAm6v7D32qPf9OmxEKyzo2F1
HIw8GOH0RmDT+rOEw1U0IyYNx9RU//H4inpfsbF/tfJsqr9MreuHtV/bRw/mw+OE7ITergsEzn5/
Km6YfhA2R9RsDqlSARHYGEh0OYUDNHasPNLqZXWlcXR6ph0tNzgi19w6eHZ9o+jF1XTW8zQHXyN9
nodQasC9gWrJeF6R3S7/dRmvwOp5kGaZNiETGdcUsOGq8/qcLT43Lz8giepP3jRqIBxrW5wyy0th
5jXZz2KlglsVbbUbAaRxy0c8ANa0m8CJvZNGR61FELSOUlnXB7pDNNL5WHsPYgK95ysnp7EtV/85
TQoXoJxG7PdsMvrNODbg2VBNjLYed8ge6l2shBFcUMBYcqvKyt1luWvupo6+G70g/MIiI/IvonFN
GdUhkbGDFsqmK4lQc7gOUeE3wWVN69rcKz07/9ibNqfCVhkdIMEeAgW1NV14C2/IY0IIIqglw2+G
XPOBKQ5ZPlXgOOiFYxttJkQHFpA+xiId6l4zATJhFTDWwea/HR2G6pHre+snmhtXbzxnla96KJc6
TMxadg+TwjxKSF2PGldtSuWCC3T7LL+R4Sw6vTTE6tqRVrjgQb2zAePVLyyyjAV1zs39+2XSxDYf
qYO6AIlByzIFXwV9P//z1sJ26s5GRclFgtOwtQamUh1K3mRYjvQKfEzMUfkzNBPmUVt2HYJPxz4U
l1dKUj0cKVCrW/w+dfxkJ0Wa5CHiqnTuKG0ZQGcHjgYjEUxI7cS+BmgqsAyjj0xf4Sjm8VtcjTr4
nDDJq5OekPPjX2mMWyiwhkbXTNxG5BRae9QBajqkvKt5xY4n1QZwjiY2szsrjm0TODVcJ2huPhkQ
xbFIMm8m0WpdTUXGUtfPFZFZKisp4fhHOapzKbCzU24kMTYw2hCd/bGNNOW/qYSDMgFayHKnRc9R
yqm7pmXcxegr6I8LFxwe7Jc+YrQMBpyLZ70iCwlu/hWSMK9BbhrDoYtBBxGicktspQkTWO5aMwgr
2ZGKlKBz2GCUZS6WzgkDZETSw2eRzLe9VGnpOzrcGKQ65AsqMBwmzkb1blccxmpaVaQDp/okTMOs
jkZBUoHADzSGVm4W+YFumuxEuUxrfg/nLvf2S+fZ/nGGsxYj6aypOQHKWCdtj/QoUHpYPLl0r8+g
eSA/bgynVepcqZgJDtr8poax5WfzFV8TyuFaS1poi5t9vC/U7LmHqq+DKfKNbO0w2DX607JG+Lwb
CqbZudC9TAQY396GvOy9/rm/0ToacYtqRPMqaJxvSmCCF+MMkzyqhmGLzyNRkYDl9dVkI+IQB7w1
d03lWo9e6i43ZpZC3jRIklOOiMP85di3tkwjYU1ldeE/KTsiRTsEuRwHkkhTQ731xuI9IYDS0wsZ
RcOD9LTDH0UMDaAS2+729VDZQO0CJjLC6mj4XeRlFLSlOXG2p80rxUI9/o4wf34JqMMNZbEc97GT
YeC/Q6LQv7dl2oK2Zdj+VBuj+gsc/CEHPK9IWkskpffMEe38weksCh/bn3c8duk37gpvOBpMVzey
TfKHnOOg3OupTIuoJvruR0pycsIMDyIxF4wuk0MB1y3FBprxOeEPV2eAYZKoKsPKnHAtWmv5Yx4/
Xvuka8Y9od3+D8Q4E081CYqMGW1FDS2Ba5hhmsjm2Dh5898AXIS5kmmQTTesk3k22bJ94Sedr8vc
Gm+8tqQ/oRYi4cwf89E7Dm4s7ie6FieqhS7OqYL9S3XWctTzy+dO5JABnlJnomzeNNj+WWB0eXBX
QmIzwgRbBq0iJ5A4T+XavOHQkQz9aZRQVQsrw9Eye4K+zZI2TRIJbf09SQi5R4RTi3CklFb3HRPC
cXFdGZ9GFys5F/ZUwL0RDXZCObC3DL3akC9rgq2DfwcuEKJCkwa80ii8C3kKeKWkATnw5tBJNSO8
UlYh6ja3eKvgok+HahyrH6OcEaeNzGZ5ZrNZYB8CUPTj5HhU8dGL2HuBYV4884vW7AT6cjgR++F9
CJce7sAQ0EKDNGjEx1ntj1Fft64R+fTAzX61GbKHOFPoPm3TceaoRwKn8bmaGPwGPN+f2TrF7bl0
oQOfEMGmyX99n1b5ziAIOtkZU9eVxxg4YwYplhA2rBazeAZ0Dntbsuu75XlSqI2YAJ+8fuwYiIhY
FNuypCTcTHyZoEJbMOPccpN6ytFvnU2Im9lecCt+E6FIz8z+Vl6pSgCa6vL2idVoMq+ojZo4HDcv
ccVPY8D2wjepHOwyn9EWV4JzW6+t5e3xuUBu5qTEXTxw8j7hJKg+ROOSecvTi6Eg0TCSQpLCILFx
JRIP0XEQHXWSZclLvzB63o3gs8Yt4wP7MQMc1oQdf8NLoqFzhbPtJFvQseLOUJmJNyVZi0ujakqv
gaFr9dm7Rt+/Mk6tL4ZapwT/1tRmJ9o+Z9fh1FB7Jms8e6zD6hkEKJxIBzn+hYmceRIJp4ZIY/0t
Kr/ESFOuzD4FHjq2QQv8y9szl9THjn0h6hnizQQSSty9eVhPVv8KMEwu/1lxRSDIphKM8L5zWyNT
oPS05YGCUMvN0JsCzTQs5vSqippvo1jERPqRI+cAGk/AJGmem2DYLROO/o2AejptS6PSy96cjDjf
68z37b0yGIdZHc/Opp069eML9tuRLNvpIhDltN8t8+QCQUPSqyPTcSO5tASKyr2tcympoEogMhPD
hWs52z7qpp6SG2tpDpVP4hoi2IStG6wTZrKCr1rqZDIPrAVU9sWGd+zuHInf/GBZTuNec4bN5sbs
x3Y9lM1AxpjdTLV7WMw+94/cFhMD8ewGNVUJ/TAsGot9qW2CVN+abeu91NgiyZsCCpV8Kz3W7Snh
9v8jqIU9DT92/2z0qDfDAUrIeu8ktfmHMnl+GJMJqHSbQXbB+CDMx6WDZhDOE9SYU99Y3h86BrZ0
0jEzb+she/RPpI2s3lcHPTQcfSRQCooh1UNVZvde72hzp7mJDfoizHACWe92KVPvtPoBWciUVkzg
8j4F6gfzPayIl+QwICJZRLnJvvPZBrh2LEHiUD5M9e/sIYre6F6hIdEuPOedSGpGA8oZASTWZace
erghVJSVpiTOusx94W+Kn2fXBAvHnR2YYOZiwpxy32/Gpwyp4DFf2fLfIGrmPfb39NJ04sPsWPWG
Cn7jwzrNcFfIwus2LhCXXdeYK3Z8wz75QAYTDmqJ0r32Y/GOH1XlT8tougCqmINvLc5d1iCG9eBB
FzJxPleSQVhjPAo06JeceWqxrRj0Ra2RE0h4y33oa0Rbu5Ix+RG5RAppZK6CPbIx9vp2kFcfa6Xx
t1Y2kVH7Sc9GcekXG6GSFhDDVBfwXeg4XsUOWlrXsueK17JAGbtiR2py61/R4YlKq5kbqWnqWzXl
f95YMfd8hu4eRBu7VJtNa4vUqSysTTY1sMzqavmSdtUD3l1xqpiYU06OZb8kjLp3ceXfqFVanFBO
QW1oquADfsx/sI4cMKx6ekRvyPufjysvAXNb92GmibqCDZ458JioRogekzdlKGdf+DyGxbSk5FxU
mYChn9IGuK1d3kExQOu0BOpf66riVLemZO1aINXcBVlRXQIrLg5Dmcu3xi+5A1lk4zvqIQVvpg7H
OGpBP8033AneLnORJQMeioNNpwILaBoGon06kkiNEhzfnFp7YsCLqfHuMoHHGaQG4jWNWYZNCpQS
21l3buxwkwIzuM+KVD6kCN8uviBqiOk09CKPkSlay7b7Gak2xpC6bXnRqw0GiUo8cL4bxqs2JS9/
2Ha2LUZTDZcFg7J2X/IImBHK9bjh2+u4O5ahg8BTt8Xc75Q1ZvORda4Zh7qsFOBZKgt8MLwbz7zW
xC0yWi7aSHvpaIae07XFd7Fo9giuMXPk5oC3AApURBS+ZCij0Nu0GjYZ2miZAu8g8A0EAeqxI5Be
lyH1bDZOFwnB6xfSfFTLx2C2ab0V6+D3D7ORqOnCrAVjh8Sx5/DsBygbNkmMJXWfGDfOJScB1KqW
QYq9La0JRQBDnwAZpekEe6fV5Y1hS8oP10vi3kOnuK3RVPovSHCUwQ5ol1sAECcIKYiI5sF+WDFp
JBHrc4Ju0UtUgMoCctDouUeOZLs2NWl5DM1IsxsqNDJ6kR5/vKD7vM2RkStts7TqFm6jSoyMryCe
oTBHMB3WVuI9Q9Nik8Z/Pn/v6objbPGD9suOWfNt4R4F3CB4eNvrgM+Wn3cmmnM3o93F74UdGVsq
flnQIb43jBFyS+cZGlnAag7lRoLOL2+zfVpQ8uw4s1lR5ioNfIi5Mcp6j/uI15w8ZqieqZ5gMaag
g0KntpzlgDdo0tu+npW9x6NqBXsbxNGxCQC8IOxItWZ00nX5BXdE1+1VwY5lJ4aWNIpADi2YFN8Y
Hpzxlo/hkz7/VhktSj6FbeTaOQVsWZCCyIJz7WcLJ0lrmntiZJgk8iSROZuRSGyfe7IVLaxcdZ/+
guoAw1z7S/xlgjFDbqK6rAvzoCzZPtlx/2ISSvi7LgMAbXKduO8R7DY0+J4jbp9N+97bmii8P1Sd
JY66HgruqVuGjBRBAvjsqFlW8oJoRRw6JovKjdeVPLoI0KRaQxSxtIjIkykDSffVawi324LPZ+fT
fGgBW/xZ/LBfNWNf/65ecmM+c2hijyYVzsFwR4P1xOuNn9Wbe5+dVUDcCxVBkBkE1cgbHwDlwlOA
1hn6XMxeh+fJLI5TBw5rq4cl+DRiy7C2Xn7zDKFkrV3YpktvsWoY2k/kpYDaqBDMaKSlIAjHQo1A
tHUfqMhB44Tg0/aXBgXGOPjMm+hndqpx4DVZJaiozeiXMDR0Z6XFeWA44jL4btzswMbNMI+uJVHw
6bitgBpq7fu7uVU8QvBI5LhlxdXY7G2q4ermSORv7tHJBJbH4ceZYiMqrvOa9lZQ4/sh6yxOnFII
QnQSfI4S/jR5uDu+h6aATBO3zhHxip08Oz7SugdW7QMBG27jzp+usJsuAvZpjfui9K1gi3hEuuxl
kWMRvuUP3ykXyRCCCvBuI1eC9rYpuuPnOSsJhsTDp9x9Io3J3VGE9/ZrBp7ffBG0XAaEaC8LMC/w
fIYIUcriMiIDBIdEIXwqpNH/zra6ocyrud5TCCbPo4dhZNc2Al85ZJrZv5hSZH4Fk1qXcBpcXS87
OTfwZj30gCzn1U2lSkUq/2AOs8yjcnD901JZ8d/sjjmZVKWd/S6paC8V4dWMUqC88LuvThmTH4qc
EklQgBaoZ6vKkgXO2CcyvGZgjGvBPMLqilwtTQwDUoaXfTMz0JpJbYtOKe7kqUqQZmGoaJdn/pn3
FCC8bXerjZIuShlEW1tM9cMPi9jZCClVOjccjXQYHxjbFimbdFUDYRWTSzc5oEq6sxK/cj+MGBPP
cSlyBjxOrwl4hwY5Fts5zseLnnD4hwuyk3rHiKnttglOvyuaCLrfvIfQZ6Su81Yu7nLu0egPYGRb
7xFSM9E0ZG906rhQm3LQ9ixbQGkhK4Q6OaYH0gqGP3Ns8h9jyKiFpwEZ5dHCYCwOLrf1ywK68g9M
Udw91hZG2U1rVev9SBHz0A+5e18nLeuImMMUmM3UGE/J0jbGpRq68jslGf6foxICwLoWcSyDgZZY
BvI/nRB+v0SSpwcCJYPegKqmTfvnJh7kdTWy/F6yUPwPrpH4RaNeP/rJgjgtx+y3R+0EtdZMbBLE
WFhBguvJGsH7l93AWoEnR9ZodkG95ghBMYsL1H4nuEXlW0pn56nsAJzvilqiWGsNh9Vm34L4eoad
abVhj9jwpzXpywmiMNs3QeiYtyUcIxui3h9Y5uQ9U6Cb5iy44sMmrcsVeYJVHL8qFJIMbR1mYW16
obekKWtV3AiqrYLvuMt6ZihwlVZ7oaTr+IQdq5ooa6W8l8bgvMLIvBbN8gKI8bHM8vnRmBfCG/pZ
XNCWwfrp0+QBv+xy3/NIZaCt5+JYIsQ9SksjuUCtnB4HPciIW6Y4IMbunkn4Wa5s89cdHR4xlbNn
fCFgNM+E9HI+W6PctQOZXTngqUj4w/KeSPUy1c6EbiHPt3Zqe+cZ69CdrAd0z4VvnGp/NkNzcD9X
HpRd7KrnDmBNWAPeQ5tAsh1KnprlLJNH9rEdJprAS/UHRoV3Fvb+b4nV6clQkAqo77NDipKS3Ocy
+GolqKREaBZnLcPbTdyUJafqOERL4MgvF6jSu5HWN3rVaFWPtfDMO3tK4y1yrq/YJ5wGXKTXIllt
IUAwCuku2J1eVm78jcIdAF3L6EPMGjmphnP225jQ5ZZlNE4FcSlPVQ6hwSz75RHxIOkYvUGikO/3
Z3TY1bkoxvynbRPgH3mVH3oyAR8MPa7vkpcypI31cAi56xct+3Lk/sTakIIdfZ8znIvM9d1/Xmuq
M0ylG+yyj39zKvkw8df+HHR+d7FwI2GYH+oDIq7xbUQixmJ36B6CzqO77qFFGqanXnqi4sBo4DgB
rbPwd9U/eeoFW9VX1quJaHLru9I6wuC2D45W9lucJ/LfiMdt31ukAyFBEI+WGIpX1827D9v16e+t
BvexxRK77Y3ymZywbr92JoYGXNI7AySKbLt8L6r2H+Er9Q6MBEO8kpHEWWu44HGDMtrVtsO0FwnX
PoabgP3FGYjnId5ov5SIYylV0IbZyNBCXRTirux09gYTqEQsTeGIpmSMRiHVwZX1dAfSFabvKBkA
kEXEIDFguoi7j90FY5Mj9IMF4Us++ax4Zn9DuRw8crPICq714t1Pjv884iy5K9K1k5zKw3S0TKP8
Ro97xT/SftojPpwgHZHJNvORfKb4rSmCyGCI9unSDp2XobL2DYIIDKZMa/HPDQceoEfcwh/ZwOUs
SmP8wwaIZ5WesXTm4ZEz7tOr1+y9cJ0pBE7LKMqCAVUTsQileWC6zozrbc4g16c17h+qf3dvOR3n
AoRB3Kr24NnbmPSkawlGSgPSqHaiCcoD6ODukewxnKDV5B1XvEFRKdQRs52JaqQN8pDUb5o2Nbiv
C5qQT36KicQF47nFmvdpFLQMiCfqC8FwpNQ4aGqA+I2YiWqing+tlToHFxQb8d6QClky14xtkmn9
rUS6IP1XOlpFh41qGt+FYaIaJ01Wso1NICPE08ickkaA623KlmdJNDgRuEbyLvsu3i5E9r0UOiUQ
dHU77wcKyvRQ2GwhN3W/YlHAE8dEHp2o9ZMMgxtKeE5i47Yqh/af2O3X2lZPaeuCFRjkpQM2itSm
IiGDf0eBZ6wztwS0qvc8rfUzv4nccF97e4HrnQGzq/8zHTP48CaEkOkM7b7r3MrZrQli/gSKGNxf
RDNhvSbixV46TByuhcnTqok9JQj7KvIGFXYOQ25FyOnlr/Qg7d63qjks1xI2HkLz9igTgOVli1rB
aZjASlQMHXDMh9I1WYcOzfppzuSAzDGCfJaF1pn1rNo5E6mEwkJw4UFbP3Zx8DG5QP0V3dM1S/zs
j6En+ok2o/83iyaPvEx6IQ4DvB7UhDEz11b9WB5Daype8m2YzJPg03mg/hobqdFAoYo5QGAUJV8I
EUS7wu/tupOforspZEDvx+R728dBd0im6v8NKZ4MeqL3bDT1BzY/ancWVs2J0zj9KhNpnfte/zM1
6gT4aF+ZI+xzZxGNPREMEMVA57ZCWRrCR53cs8LCCmqzMw9Ra+HrL80lMpWq7/GqgJ8oehYpQ4pf
tMll3WGVZjUHXq/7Vnnu3OW+jh+EO+dIBI10a47uGyjY5I0BDCtoFG8PhlFmnxOjhadZ9DgJKxjx
HSzKO2IHHkgtsB9L7Yl9v8zZo20I/W6ViHFVIdQNS3pDvRqtf+78vN8HAdBeCkEbvxdIiXuMJTh/
5ai3zHial8YxUcMWU7drgtjawnXSEfM2+ZjxTlAtp8QgItnGPbd6w18RAwFD5jPZV7YzMUZyLQ4d
g8HQKlV8XUsfVENCOh46xfhOe8QL006TjoTQy/7GA4atZp4HykRn5LTCnXmGsgL1BpXG/AZKrUlC
GdBxblyTVZtKbOeyLFl7h3uRXb5IrHBl6H5vJK24QJkczvPsdye8FN2719NASuF1OybBy1efpE9A
IlHSJv4jeNwv03FbdKgM6zaVhUVHprV1jcFeRMpdhrNttdw+XIORlKN9FEt5vZmDdwRZQagvLIPd
iZr2S8AXMnnl2G3bKaEz890h2GgUYA8ZdsqTRt/w7LlKvCrVS6jxJojDXYzbU21qSQN8lrkrD/5Q
m0dKd3GYl74jJ4P2/kjPZFJ2NNanXO34WOD0P3UrrU/AmiHsY6l3I4IOgUy575+WplKHOpvndxz7
9cFXNVA3vlgPwiAL0ee5a9e7oGelbs5Geu6Dxn7JLZ9P6w95wFiJH/gG1BgfjL4wtoWRvswZrENi
AwCDSnhJznYyCYjQGsbsjGEL2aufsNR3GEWCZnXS726Im1BMcfyhTXUPPsx9srIbx6zy4vhsDzJ9
KJuxesW1hgy2BGYajOTPsrIdm686Z0jDttH8LSzCVWrVjGHvdSVE6IacC2OMr0R6sFGEevxD7Lbz
DdFlP9G44uKBt3ERolr2NZwSGkUk0jWzx9EOh4UYt1M+sKe6IffDLM7sNGR/RHQjUk0EjEazIMOO
LSdjC12tO7NUyT6eGYTy5OTbOhf2gu6SWyXuqAvsVTa/aarV3p2V96Zmnf0iD0ZfAdIrdDGS/y21
QAbAmdFvFHHB+8yz39WEuXUTLO40hbjNyytjkgJeuGsazxZOlM+x1hqFhGvEkWzc+D6bZIrOmzZh
R7jxW6o6RWSGdB7RN0Ee4wQvqPjmmpQABy9GTsQGthw2NB8xQQovtKRo4WyVhKgT/aivXGOfVEL8
BfkE5uMGXCcJIKU2j90Xh3h3TEBW94x8uYcuGC8ALUjkzqpZkQZMRg9rw3Kkcp36K2aZ9QmYmkF3
v3hM9spSHzPIQ1R0i0eWQ+uHJAvGKDiT8du1KzNq7La+NpkMMm4QMw0TIVj8Jj5xB03cUB70WQqV
OZBHYq6D+y5X/bfiKrpMpee9YsEawyVRLAVovF0SnmwehK5fi2DDMLnZxkyvv4uW9HhWUfNFMEw+
ZPhLrnlKRmJo22b9mbNW/cVVmUYEYLJmK0z1OLRgGKwizX5by0YFZYy38KzYOSPXy+/XYCa0cjGc
txrta9ioaoySQHg3+V/rvyPo6F9ZTcZH267it6Ub75tmVSeVA/GvCb35SWicdzg9ODaWwdqkQDNu
oBQBascnBVoUhjohjRz+eYMeI/5/8Yvhm7TDnUvs3Ahb/wRj2Y0sen3cXd5ykbGYj3XCvT1VrG0Y
QVrqPqMuagmPvdG4dPXftNTjfQ3B7851cY8h9oSqbs5YDMsq/2Xjz+mepcaNo6u773EmRJaB3mkG
lrUB+Zz8Y5JVPNAGtJ/LrEmm6bSoX1dtvWGmY3oxkD24bRXFdtB640MA7bi4OcNrhkOO+64NdHaY
8r2JqAVXnvqV2aaOuWfrsUquVqu7+7xTGkD93FUb8temJxCKOuIVNQleMPwTk/VA7T0mTYgZ/u9n
66x1uM5+ok8K5MhwIiVxPJAvU931cEA3cqLN2gDGVVDIytrg3M2Sz8IdCUTGiCY3ZTKXUTYldJiM
hN/coa8x0ObsaaG0XgvQnXsix3zIUCb5o5hCZsSncI80dgs8IxsL9Nz/sydwctiaHFykrfjJqBxo
ytEPVWkcH1AZBvOVvJNRXpAQFSGpEvEzlA1BpQ8xqQHDf8sl67clUOmol3ZPLIR/C2Txc/KghTX8
B4QzeyAny82+9OLzuM30Cbz/r4OV8ZF6W32wDinCki+r3DqrL3e5y7WYMGZ+9wGbEhA6J81mMiSl
rkLWzVhpclpmCsI+zLJu93Mghp+US/3/uxP/C42gQ4A68EiOkHG3YnKpjqvR9RnT2oClFfsZ4h+p
b9pi17NvfIpxGv3GPSzUooslTLzK+UvcsWcgw0j8wqkTGBuXNwfHytAdPTz2Mupn7wtsKaT5ZrEJ
GwIpc7CJ1+OJSinb2DVgjmsX01hBq0KalMCQ/wFPacVd3mKe2AIA6s8rWTnPkwILgd8sPQfZ3P1L
+364xkFdYMnt+s+MU+mEm1aHCUGtz8R/5McAU++FFaraG5J6KKtchJiLY9Q731LZoTT7vtoFTttf
hSHXN6NK5HkpDNdHmIdyEHFDhTqPUYrkJxnMCE58GqrZzU62VaEvm2d1RRVqHgMm0R9Fl1s7zHQF
k+16cO/L3FAIO6nM5GNrG91HxqKSQ4sRShs7C3aStc0OM9LLzyFJlh9pletj56viYWlXlzOBXAu/
M8WDGCQ50bqq3x3iVEMVO//BtxrIpQBpOlSD8W1MhN/Mts4OHiyxm2i//hxmi/n9LaMirlLJ6MpN
fwqEH2wCaussCXTcTNrO8OLjOIPXkXggzcBXPMYpiqkN2Eh5TLS0wfnU+dMNwLXRKbFScuLJzkUL
XgOb1UCtaZX+I/5p9YJdub+r6fHI8yyidkLGO9oHsDD2fkXrwNDIWe5IoNTf65AbsCNWpv15oLFc
oDet64FSiiFjgtF89uujyWWG3z+IU/tubJFEmQz/kXGW8k3TNQUbcGrvmCJwUxu4TT7juNX3+JWn
pzVN1LHmaqtxwxIa4khc5TYsDRS+YB1Yukz+jnyGNRorWe6zIJ5egaioM6HX1VXc8kdAcThIXlnu
skkEJMVMbRDB1XBRd8BtRpqY4xK4uhVuZSJm6LyxW+tcRUSeul8UUtMc1aMiKxA9sjhL9N4isgzW
7fANKKV7Fnn7sYWSzJ3tfDCqzTFAZ3oCCeovhE44ln9ZptkDpDFnLtP3IRt/AWgIC2mYTPne0eLt
+iZDxRPMkgCMm4ckclBJvdc32v0TA2chd+DhrBN6M3ZAjKErl9g/1zWDXUaJ9MKukcmTqjy2f1lO
WNsPpsXpiQl4IqK0mbp2O6E+mc92OqDpJbIuyR9R3lgkKNHf/NpSmPa2Klmk3KH5HxrAw2n+ySQS
zRNhpOm6we6DoFkUs1ttq5Yvg4GbLB911mO5WPLKxrRWTPAQGYwjwec9RpdMxBA65YDmUK2zcafL
G14GlSwCs56bjRwmr3guAkcxzRJZxW6m0HlKJk+KjqEK+uRpQo10haGEQCItDKzQ8Fl2kAMp+j3b
rg8t0g4qlLL2B/R5ome9F4BJOlaGuPEzvWD9h3EB35C/qunU61WsJ1iW7QsgZoBwPctq4AnNrRLL
PRH7j0Be2fziouK2dFJYQ0DKCoNf253wTwZ0V8y+aryMZwujKy9DpioijPxElQcNFAz8/QwUDAdo
C/YNQru5n+SAQSWvi48JkSplIaY5edMkkwmnmzY4r1nPr5KZ1gqkD+7vFhKfxeiM7T0KWlpgrwrY
eWonhfTRGbAtdvPim/+KwSAKBa+Uec5AAtBrNi1wSv5InDZDtgj4eJXrnqZp9Lx7nDot730rCFI2
Dc84L0JX8c6Soq7CHjRKe65E4B2IZDO741SUUPC8ORPfN7op1a/umz/bnbyokkRhbHL2Cy+sXoeV
KBqoCVFHhNp0zoTp/Jl6pHUpU7+9AwLhPJDR4r0nHOa0sMxBX4aYJmknkB4T6wusbO9WDTCbgNsV
cqfxCezUPMKn1QxararxI0SXwt95FQvVkLEXigxyjvZTV07PFvPWX0MVr8QEg29JAmapeNlxNDiQ
U/TyDVr4hOgWTXZcWAuy2m5+hrTin2lpKDwSWvN3xPMEOBCPylQNzHxc6F0AjHNTWvY7nSMDBl0Z
eyrt4C3r57/FzrOI7BSaPTkyW3eq4NAhs6eUwObA9FulT+guiF5FgZD+s0d0HbwMgKvlz8Jx/Q7U
6eRiI93MRG039vRIosO2dnGIA4d7xCR59W92xYAiEt/tuxxctIvz1JNpDhd3V6GzCsUose3BPCRu
MbEiFFSYXGWbH6xhKJGE+OPeIhQRLKXs7vG0eI+tYgS/jUnlAl2wTBE+kw8EjtMdc2vznCetdzRd
X3w4SsUnOHkkXPlG0HyubRfcFfqmlYqdl3JE2D6aQfbfQmO/N/FY46sFNdIgsCkDFtKO3liFf/Fn
a74TEAe3ZWNKyKE42NA0pC8dCzN34yj0oTAQr4yXxRsDQf+OeV3zm8RCP/rNrUiJ78AOAbBEweGf
vVK0D1QAfn8rpdaDuin1C6rS2RL+Uwr9FUwU3IRKeEhX+rbCVr860CpKYFdAot8rv/8L2KtHgG3i
rwWM0r+YLG46Y+08ukANoyJu543tGwe2YYy9K58L28SccxmlwHImBy6erG5eE8N9GikxjwK2StST
E3kP1KFgncoRxZ7rkBS4SoYgNqLaSttNzsC6D2eg8ne1dqszzSwzOP/KjjBDW9HJM5TgGDNsaqbU
hdOzWMvF2fg9/OJyIsi05sTZMVFm54BSb4/AhHaR3RXzjhFF4uJ+9rgiNmq033x2SzvWOtUG+/qD
1wbxvTFbdzmmuc2I5zoClMRXNZQqXFZPR8sctCGT4Hq3GnBER3dof0D4qQg5q4oGx3lPF+yQhLJv
qeMBS4IvpoJlsRCYnn9BWypPrkZ+3AsitPoYvZ3ucT1bOngpE5hxxAhDhJE/K/ZHoI66ts8eQupj
nabynZX42V0Rios+y0hIdpmpjuJzWfR/VlfcDf+j6LyW20YWLfpFqEJqNPBKEswiJSpYoxeUJdvI
oREa4etn4eWeW3XqeDwSCXTvsDYMhE5p20FCNdXFicrs4EjvRFrV3Xm+qNF0ouRINLkI4zZBRazF
vK/71n5G8vcvIp0vQPXQmqPxDaCOy1loCXXizhdyll+JNUhqNy1wbNLKezJPv4FAYrDF7EkS4wQX
wcjXGi+MKYYudjw+DyZaSsHkO08J88waB6meqZG7dnItOnbO7KqNTCr1n0XmeD+qGjqwGkkNX5jp
lN5WS94NfDOAslrWZvKJ8GLwiANMJPtFrdkGjq8cZ+fCDTsNeGJcOXk8nkhRt7V3U2Q/yaNbyc5k
DxdZjZ1yTqs7ixY0aXi7P1IWI5o2WnqT6OJv6fDx6f3FeLScAs++2XZHYC7jtvXT+ho5/XuA9/ga
tw5SU0bEUbM72kXOoZHO9G2ZguuE618lChh3MJBBIC7aPcw1oFqU9Y5Qj/JbBzXm0PTGtwZevGFW
qyckTNfC97yOpQweRUeZtvKbeUFSInkx1kzRU3s1Nf5TEVj6RoDsicIyO+PCxMXx56oOHXeOToU0
uO1yck7PSTUgbwAIOIzStLAwKDGUjABAjswU+7UsFbj0bJnOzizmDg3vP1rdfU8wrRDwNKQ1cBkn
jrmB7dVTILXSm4I4tAcspXYqaNL3xDK+gbUP49lPDdCZtKP/ETc2wcnArT6Q+a/JTaeMfBvVJPZL
y3gtwuk4nThX8x6sneECzcY4ZnJontliyf7jQk8+KlUuP0v0trSZ62emIOTVdvQ+mH/cOnXRiFr6
sStgDBDFQvewpqboebZ30gG6RWYO+bNfOGIT+Lbx4HVDcGX8rQjeZIcJgfA/1+m9P3rwyc5Y8Txv
dRZ39gn7l2t9+t/QudHd4610QVfcEybwn2g5XIUj2VrNKjcedngGvypNEJ83LHiqnmtCyuZPORXE
sOuBCimffUyyP2knSZQHKt/x/wRnM1ma+WItVfwrNdit9iNbbhHofHaBvN+zM/9Vo9YvKmHG3AVG
gmRQfJt+RO4jWa4+CwZ31ZD1MuPyqkrV4oraOeHl3AxL5nq2C8mPYiOE3+zncfDfsYVpcxQDV8qB
BZNDZre8lZQMrv5qsg8p6iPrSkA54ti0Ls3U8gJsRPmGv8LmLF/ryTVruB1J/s71igcSjhtVNh7/
bo0ckAk8JrCjXinvePj3eD02gocrnvJlUGen6u09ofz6lWnuiKFrZpl2tsl4uxdTsCw5rn2Rp2Kt
fOjfW4NQXFn5Htt+NbykRnKWMnGZVbDSRnCfH5Olz+Yw/fJVvA96IlYV5Zplcia461WDC22Xf2Jn
bhq2PQyIK5IjISr2U59m8iNfGG6Z5uxuCo9XlmrFuRqjfdHm351RgLiB8h+AEvRmfpm0zCg2xX86
YxkuNHrgLo08r+G66JsbBA4yfdoe5qRf/w5dfPfsZH35eY64Gn7cHWIr7d54lc6hOdaAQNyyLz6l
53k/5mRlP+TLIKokaR2yUVf/i2T0nKaUYcJh6D87Z7lrL0NcmHCxtj3DAMnidQ/Pbg5DD7dEtt8x
WeQtVlVGYWoyj6Oo9BVzbB2QXoEuOXbNmOhQEGXc8gr55gR3Bkk6neqFB41LLftktzOdkamP003X
MsI26KYMkWCrgxhMnx7ZsPodzTsu0KvX5hGNkLi75GaVv3cLPswgNQOeqKQa57DO32uH56o0Yqqu
kH+Pgx8cwLH/ReteQFl3YQFz7JLm5CtT4N4nvibuU20kh2mm/TU6VZTtOkTwXVvZEK3TYTSwgfE1
RPPeksXZ4JuDVbE49E5mCaRTsNuTu+uWerGIGw270eTaDBU66v4LGn0Ew1HirpQ1qJngOc+oY8mI
BAZlHna55JyeWM7LLhy/4sNEaOKqq0+iPMSwhzeDqTIPukhD64iIAir6AtvkEMva5+BddZqlNgij
BsS9wzASN6zG/Gh2ytor6ZYvmr5gWKerVpiVLEB1BYfh0rvHbna0KPBRLZ263+T31cFxjXnP2h+H
b1vC6huG5kkvycOHTsORBKJzCc+5WWVw2xL1Nx3l9KfLu1e+QBarncX0VrkE3nFZxQ/XdBYaHGrV
j7wp2iebLiIro0jHtj98tUJQdtloK30ko02K2gviVd3kEJUD3ISujVDjpc016PWdDOFLYxF6nlkt
3MAs+Q50VV/A0NRhPyecFvW6Op5jHF9ao1Gn3kuD3RTTQJQV57Y0/p7LlpejO7l7ghpviVXdm6bl
VYo0OgHhiOVx5Dj0GHAz6QlNpJDxoYox9Q+dlsYrdcdVvMWntgnort9968NZ8XRZwDGHiGZxNETy
smDvkMTJ611MdvrFiPrnIoeyy6HCDNFqzLDxVfbHJEfAY4Yvbi+C/DAhYIU8QVqITUSUQmYuBQv0
xvCSDoNm5ofWxobQbxaTJFpH+1Iv/WwEnRUmvNZRb3WJZ6xMMAB7zd+zaVy5p1DCTS8Gw8sFGPj2
rk3d6thmCQSnCMaM5/+LuuTqkqWGfIo/k/u/uQ54pwX6yMEeHfEkebQfjIwG8MTnoop4OUIwsUIy
u1xpEUv7cd9E/vjmi7jepcLP3tg+OCvcnCdHKucvvRqsuiGLPh2quitqDwZcM/ghntpH7JsDLVsu
RT7dm3kirVMvKOrBOI/YX6SBd+Z66NgZEadWivlMacdBfAZBfAsMd0RlhwWTO0wlnBd60U8F/Pyz
XEAn8slt5FdQyu7RGs6tgWaAxYU0fyLxTz4xCfr0kvgQ+W0OHBsy7dl9yfFNhoFVgYxvx3vUlul2
aqzuc8GiQ/5ggBsqTXpOhzj2TqUgpVqjh3CWRxMDHw2oD3YP1027SJwDzapix3etPgA6aGm0wPVz
mZoDzywJK3PuZDEJCCk/lGky7jDs+MmIwvjkFAoMn+rYlpjkbaVG4sTa5bkhE0m7ZObVeLHlVL66
U9y/ayXUrc5jc98ly/hmsQaAfodcdO48dApRzpdCM6hT2yVnQ/aB/wGxDjhOjmunSjLstCMWCACr
jNOh2LOz1NxU0zn7obN+50F1Fn4//mjucBcKgBbPXsovE26X0/1L+EEXh7x0PXKFSsEFSLMl6g+s
O4y4q1H0THx7uMQ69rJHgVjj7keBGnTyrI7HfsOVmYInKsQmabrOwpqp5YeiPRG6zEU/yxRB2lh6
kt4EHiuXd0DevUjp/1hDmqBVtc6hgKcVTt5MJjm3AwGX2ZtCl6vXfuEgcah9vjflICEoTZSIYrZ/
yK+r1a8zJ2A4tG4JrLv58kf3qfo9l/LPXHXeodBtHuJ/Jzk5wpLvMmrbcQEd85KJ0vjymzpiQmrt
rxMfpmLq2+zxQjtWXEyLYQNc9g/sXvqVNm+bla62zVngPHBx6reqZ0yGvzw0jGS913OXr89dHTd0
6ymWuzEbbUSoe3u7BNlJVClhOdVqIrGzuvLIhEVAWpwotjnMv7rBrgEM0aLiYcnMZfE2OFiVZzmO
GbGNtuJjCt2KsGKf4AkiMLAPk/IT2RPY8eQBckB3KioiQluPANmB5FqLrZmW7QerMFR7Ycq44lxC
PqjHmySehedrDDpZz2MEJzSV1zoliGcO14X4MuAVT4pwKaP/OG0vD5cetbmhpG4fkaj0aQCv8EZp
WQIXIRT4oaSG008UsXyYehwPeRIQuez5n5tmF/+DPzmEAVOYZyrxXzQ3quNCgH0N07EIW6677MYM
TXQPQUVVoSNr98Hpvb/kE+QxwlcIeIG24nvktV6YBnwuiboT0GhGtFo7+2QnpjsnGgOfC24LtlRi
h1GyH84mvFHMdHRIjH/sBZzyhBgic3ysZWBhf9MhoyvrJL69ATXFXBbbjT4tFsQ1FJMNmkN+wHhw
srCwCG4Q5k+sdzvXH9lcIUPOM4wbav8OoT2h/nVJCeYTSCmqux2Ocr7n7OxuhoSYEd+f3VQN/o2s
jffUktQFYgykUbkYv7NgU4n3wZ/UGax9VM4JDtj4EdsOKFc4c5BkuMOd1LIMRECaPEKV03I8s02/
bNJFFyvtx7Iug5nIp46D8JFqiMM2D2RScPVM6SgAYITXxvNkpfS0MIPCgmH2xakXVISjqXABqiBJ
jr2vaFunEL7dogt2LToMMVOevF+crgizR737HiX2L36qqwJONncTG9l1ieTyq3LhF9bdSKSttZnT
XNLq2cpNHfp6Jk+dqQc7pJj2EVjndfHC+hejf8ACXO0c9D2LYjwkCv4hq8GAaM6bCqgnTBbJ05dP
z9zu/JYIT2PWnJQy9spYfAtY51PVhRWSgVHKyMdY6vIwW0+iEbRCpjEmH6WFmP2OZuymdjJOkcHI
ahSk8HuTyX/z4v/tKfJTqIFM0htsXpFQKkhb9i4h0IV59rAX0ubuJMh+wieExZlm9d72qzU5s1T8
gYt4p4PGjLsnvfQ/XiQvlDzZV7AosQMr58DPqNeCj8H6dPSYYYLQWJj76cb7V71MNDPnE5VzhyoV
/zGTMZh5aqAB9kzGuM+ZbZ17kq9HRNXymGU9EyE2I304eMEOf6DG5rSI6tpxdpmIZzz8YNolcIUP
0nSwvwvze4mNg1YtK5YFlEU1FuhbiR28zCO7CnJidKSYm5PfsEVFCMz4jBnzBfnYmhHfJm+BHKis
r6obkmbPuijYkBFSaOWJ/sAhtD2XC1EvpjGbu9/O9rFNx5XiwFhcYGtqBE6Ax5NlF9yp4DkLjMfo
2PXOhYJLPtZAwy1Ge2IASBFzb8cOfEzPoqa/4lbnr4bdNZD7DNhf+hLaylqJ8L9qR4s5nLJ5KS8m
zPNXiVRbnwkLoFfotjvpsh6BmbZ+dNM9X9s7hm5dhFOdQ3pI5nIY98JbqMXu8P2qjtpNaV+mdn14
K61ep3x6ZLYpdrbS35SKpmY7a9KW6EOc/JqFHUig55Ri2xjmDhmpmCCbAD2wm7gZHss04Bc4meLP
1AfNOUKnI9aI9Nf6xbth0DyMZ3R0kzhYAjp901J4j6nkTjja0xSjTRaEe3IzJ25hFrCJIurAqDWt
VVz8hX1XMRfjNXcLqG+WjNW2aPySt202mvaWsAJj3PNof/BYr/9yClh+NVwup7Bd5PSK1qpf3QX6
eEYN+2ihSJ4Lw/xYCdkh8xJdGJt28Eb8uafqk4yEw52+w6I0m7NnKv/EYQLkRT7JkLg5gp3NSMsz
RIW5oJOsMvrQcXQVvJXyu+Foa7zgAc9nyCoe0S2/6Y/ELMYAq4MAU8Y99Sj1GD1Z1gJVupf551wW
3u+GMaGHuxTOB8uuuAKq1P7GBg3Nt0gzHbTFrIrpiETsYJdIAgGAA2CTjdu+Z/zBv1RRN/tBuyFq
BWuJC0XdPX9Fm2OZFpSgeYpHy9mTUfpIgbE9jT4QMzQxSFogIrNpn84ThZVyFPl2lrr749e48p1U
yE88qfa+xyW75rNrlOmchOAmAL8r+mhHEHaKzyBXPHZrSTQzK5ulO+BRRKFTf96Z1ESOaRnIW73k
/0EXj8OFOjHVOKnOidfeym55q0FV2RrLCCgT8zTG0v7tY9TDQNZksb0R2rfnSvzFsjA2nlcqkBCJ
GNZ/1ltUpcVPSRQkDNSgyGGlwUKJ1cj3Qxu5RxO+M5nNov61eNnBTctnL0n/5R4PAQr4tLH7jHIC
NgTvr2ZU6yyGkEyEp0a2jROYSdkAdjeGBxpWHQIaBb+u/NC9l+OVgd9Gh+UB25Jl2htc+0+mdvKn
RdO271CfUW4wipooOHZEyI45twRJw21+HVh7f2Y2ueZDM6MCD0rv06AXF+Qbrs6yHA41beZrDGDo
bwpTAJgw0Cfk5IDrR2HXdznPwRFX2iaBRQl9mZTcd9L/Kxn8vjACxJEDwvqBRw6EVpHxQ+BrvJcT
ZwQSrQstMK/+bHASfGZIF+Znei22oh2sY+3b71YwFTWdlkL9NxHPob8LSSrZF6m0X0iWvzDi4Jy7
FZcQ2f7NbwxxIyOIm4mxzE6tlQOtT6KXBJdyx7ClLXck6XuWQAYnCGFBzu9q6K3v2CMEbPv0o4as
tu7NYHG+UVCdzWMVtN5OtHV5L4Ns2jk0mx4ADUWwn/mvq03nOBpONiGnCyZn8+EIqdq91sn4muvC
vi1ZxMfVSbMjzcjizFkQh8SzKYgDr1x9dQ63WEfsO48GmQRPFb1+jFI0v/s2dv/jHNOf83g2Do22
skuQ9L2H3mG4ByBb1g8ifvLXnC0C74jkxdxVT3IqnkZX32uMJKr0AZXxsUiLx1IN+Z49j3VrhdLT
Nhg9BxavwXg1Y1Wnkhsv/8etwE6zJI2rwDBHrf6mKTggu+WxjhDLC4+6PC5hhZyzWaoKSOxoPVo1
8YfwnWW9vfi0sk7tR24r2dY02boXroz241QxI8aCB2yOgGVDnM9TomCBol7VywzLCEP6WE1WHFHp
6B3jZPA0pwNWq/HR2cqY0GCs6KpUZQ/HrOd38boALgLLmXvcjF2A0wz2MJqpYW3s2B4loRJJHHcX
msxBAI88WF1EbHcRPBfUCL9MMEqGKq5phrIa7Fk/Ca7lHUACY98NP4p/iVyK01CM0sDb4XFXmeyD
hCNNuLtPiuwCrSrY8wksnudS/NG0/sLIgoWcCDCGtArazci3LRspT8+eZlEd/ETxNxCUyeiMYMP3
aEj/siZGEO+tYjx0wjjaoiyo71UvDncLkvBUGhB0GGyIm4TMC6gwLAELE8TyDPvgNIofCs2pV1Dr
dHbZDEIdbSZQVBibeyJ7gDSmioS3p73paaGvixakRISAi+RHKBHF1PEDSFmVVx/jGvuA3LQTLG+i
7xIvbFvZfenGLAu2Gso53UUTIdgtjTi+dIQjBv0BTImwjVsP5lWyon0OstwIXllj80JpKXCsFfiU
kL1o+59FGfjFc+NIbyaiSztNsOAz6WDubfLEdZ5UNPcsrxH63mdBukQHEu5ViwZU6nVzEJc+n3r0
k8nu+vSVC+DkhGAxkbMr5Ze7zpiyT5HY+d7hFuF9cR8fh5OhmzHbu2bHFCk8LRJqHk/tiz2n6qVu
wVNBP47kF/x7WT4nCJjuaydcfCUgD3XyonkZ1GEQBU11B7YtuPaxIz00Z035c9prkRliFdGSa5cy
5diMaea84mtSbXHM2O82kFDYINxyD4n3aURhGZmGIWmEMZuB6GYprvREHcasK8PnjD+JWY+IGQz8
4lQhYJxKV+YoHqQiiffWGopWyiaz37iaSnbBHWwjm2VqL7NnW8XrBLrFOPSpHM1oY2lVo4eQ0mIn
a/ndlqzTXVzgRb+pqNr7ohLxcid3mbVhG3Xx/M5RjQI/Onta/fhuJ1449JXyULh+RLVxQEDqStHd
jMLMLZbe89H7pNdcN3enscRywA4g3bJZLLTB7ZzAWmk2iE0D5MMc9GdkRJTBUtvljVezAtZsjckt
Jr5+PVI11y2TsxeB3YB189o5UVUUv103Y9acGJvY8Ypg9zXKrOGWYiQW1xhcLUkagmGnJWtL92bV
4Hif2EqoHlz+cnHkAjTy2M0nesORBWZ0kyT83Te5D7cKcswA+3HkdTEjJ/C2DIKy4Nvq2swMDLJu
rB1PnfST46HDpKLZlO9zmw/qF4A7mfEbJB4PlkAf2ijDeFeMz0ZnNsRM61QmfTxdMdpnwd4v160t
cP3kV122tdyN0UCFRfODv5apcMczmbOqgyTn+EciYJ39Qb2XTVOX6dCDx9n4J2Oh4wMzRImfdHLT
6yh6TqgCDzUE3pKfYdj092K0qqO5lklqkzWqjdEgsSNoeGu0H0jOB4pazhBlJePoq+bEOr54pI95
hrEu7ZSGy5RL3VXrdbcc6DB5XZSO/yYKz/WuEolUewI4U/9dGDqIvzNWzsezaY92fi16OZy0h2LK
klBbrF30sSWTbMTRuSFxZD6IZk8PConAANtOs4/tlQtQe4ZwEm4/N8JLNvG3lMfF5KTEvxbhDum1
ogOX3czSZr8xnu3s7BAZb6DTJC4uGXdlXSAgsuFwrMyMoK+l4pyUjBM/Yh2wTCCKlr79UBasRPbZ
fDUIcfcYziL9ZSwVSrtbsY58V05kEIB1gGh5rH3Lp2xa/F/DQHZ4Y0yMxkdI8B+qacSumiLz4ddN
dRKp1/+O7cCT8E1sYRGupBd2CRYos2kK3xbq3ayrgUVXFA/04qxOD4hizPONOjaTg+1QcODBTt2A
Jw7LLn0bkdkmz1x/OV48OJwUMk3pb8KrPzWxOf4wEDV8LjmKZkLlrRimEHI4emgbw71ZYxdW1Jyi
TtlEuopuIRFuKrM+Z2A5AKzm8YDYxtBLOWG7wJQGGURV3lns5dsaRD9+sD4Rd/tsqrM15pGkbHio
KfWzQzua7lPLVXx5OBYxuBzCkaw29G4EvX92eZg20o16Tma2GMiRMdq3sQaD5Z+qQgQKNV4tGiza
fn/pjH5wETRj6d9MqPwRYInU/q/mMgNpEZ6ddUhY1jorNO2JjKltvANVg0XAWMfgw3tdecrJtrWw
q7nGdTYQ2bOfE9JXSEgZg9pFFhMrMKN6Hbe2Kjh4DsxgYgq8uqe+VW+5gq8g1oDvRzO0TvBPUw4e
7vRNa3jyQlN2MTA3icLcrLkzkTNrUxbi7LPluq8jUpPbdoBedU3HwdZsKjhVcmp8TgjHAZ8/JLHY
vzttChitiWsur2vQ5iRdiA0kdgH8MGQlfzj+dyHbb4SKYuCaz4GNdXlpLKJ7j95bE4b9XNtwSVus
TbJ9LAHdBqvw6VynNMBZy2Jqig2BqbSdmvadDkgvF5U6aWsNBpprkmafNUHyj4UMy78hV3rljbil
Swo0sHxFGdhCeUeKzISkzJWNvHpkYvbW3sHzlHcniBOcFeyKnbPAWt1xSM3n69Tzgn026xbVi6CR
ushyrD/od0wclSqj+1WYtgrztGysT85t5SnldILzLGIP6Ath7e69oVqeYLw43s5scSQPdhxB4fIS
/5SVbfRHgupHQx+aC5js6Mxo83iVqVVCyuFv4LJo3Dkt8c6e2keGvwcpVBAn6LiIYXbxH0DxnKSA
FyA18XiujsmeMH037dxEAAYkQ+USH3NcDFjaikkYWxSFL1UZJOviRT8s/sVzbRhc40B3peezQPmt
FkNx6KAPYBJV0nz3qxXcDAQLadFe0jLMcSnLbaBmcPk0LrnHFTxVtplWsmCtrnW2CWfnj3SQwZ1/
TXw9krvDGjOdk7vE3LI39uD0yYGDd0eImNENcW/J6Z4MH2OWovlE5hDkKVm3WAkTy8KZPxzL9T7s
RFsv+ZBjm4/rIsGT3zpt/2SydVI99Ugw0U+Jw8eTw5Y8T+HRMWx15IqJ4ojWxEpTLNPCSHcBNcq4
4DXB5/dojKnDK4dQyls8lfIqZT8a2YbxGqN4mk3uPNCpEsDwE8/9ZtOVhvzkZGoZL6aJTfppQhQ9
EHUqPgYKdeMPoVzIZ7zPneRT9hxPDuTYm/FRZXPC/MskyfJ4czPv2oYxEFZvpUtHR9YvDqDamWY1
d9edx4IOv7aaesVlKTNN/mtltv4ajDYLuRQ3Dz4Tkb7S1LPf2B5hgdzk0nBKcVclnraIP6lN9fOO
hFzAV4tfeXSJ4EjS5GxUCAZkYBhpNOTW6abKxWWyReLdhOaCdAbDWIplA05lJg+l4nQFSDh0/98R
NmLi2g56/BwFFGDNpPzjWT5/rE0IMsTPGh0yXxyhj9FsByfQ9z0WP1+T0JwHFV+cifv0NidnX94z
5cF+QMri7FuMygN32NvYeLaZw/mopdcZJLyEkHTqfJsOruzI5EK/DLyQHQdv+grAk94Mi9+evUM5
Hj+GqjecasfyVfcJK5vNcNVwEHHoVHSXuFfyjECQZFuSEKtY4Ll84NzMbWkkWjAn/Y3lu3Z6Eq5n
BacqS2W+tQ3eGBs0WOKIifTGkHrXckUCXj7jzjLbwzArD+mlnRkDGhamrOimjVvCe+61ApgH508k
VbbL2Q1dKPBGnfFB2jM6+bKVPAzBVjmP2q7U9JLS96yzbQGdiJ5YrmJf7K3eatqXMplHrAtIqJQI
BBFUPgRKgyFx9Ak9Vl8JZNlMJs+wRQwhrhL+S7AjqiwgVGR1Z30p0PLebmg5NW8z2CQzcRUrDQoQ
VLIaz1awelR1YotG7WroIgHXaDmKedhlI59J3C92pwtWuPk6cP/aUwqMd/E0iO+M1v2Tz6f0yDC3
7Bn2W+rp4RomerAaI0DoPQ0UgMJF5lKvbxHkPSeY2p2Y4coVrSJTS6p6/MYkSpIfv2Fv+ImWdEHx
1GYdcG8jZEakMLMu718Sd8BMd3q/Kg6wfyzxQCOHXj9KpzokKjLQBFRUUo1jwq7RlOWPnkm7NMzq
rL4QIChCrUx5jCdip7uyRn8aJgFzSlaJXJmTMT/mpX1iiJizdCzGrgsJ1jl7pPSRzBVOoIKLkw3l
Wz/5eX7NTX+sCbgv5p8gUdYfhBqIvrXhBBb/c+CDX4ovjNgtLSCbeOrBhW9Sr8Ra7gv3nSanu6My
MYATq4yLSeGZQx3aYG3smsK3KphwRQEJJAK5QI7HrqLfy9SNoYbSMbjgyOIFcmdfGfZZxa659hTx
twfqaO9eYTTeb7NL2icC4QvQpaY+EE9g/QQbKXPI/czDHsrYhNlfD+g20ALdhJ9HZg8hiMGWW03T
9XuhiKijWvrjgxNcVr/DbiN1wFtWS7qDPaeaRsy8BZT2PX9buWQ353oiVw7xP97WrGeSYW6MOX9h
OHrxD3rgqHbqejcSR7+OreatWJtFSO8gZH5Pep5gAlaQprI1Od005wVEGXVwadoDd4IlTl9Ihbfu
CwCtkT6Yq30u40FiwKph0LoZxzNcxaRlna/i2PMGO4571M72VhBmHRgiFF464LUuvB07rjVNljz7
PSOEm0GTJcyJWOc1vTkTC4qpECYpu7CRY//XLVYfPEOeObfSh3PDlZTZK7tX73UaB4dUWI7ax7aV
+AS5hPtWTl3w2g95/2a1QfJ3AqpgfgngDCvq3bf+EDscSZnnQj9zaE9AkiQTgYRcqJEXeQLep+VP
6YIa4dTo4+TNGGbjP0Si+RHEmRsxNOHDtwXbB/nrGsGTe4m4rP9VZoBYxLPAewOHzRpSkY/DfC8A
oz81Qc+/PNAEh8VVV5dx6DbKtdlCVew/DV5St2FpUQzdulYxX4wMe5EVUku/TUmb/A5IYFl7Mu5J
+ew3JoWSKKCVFaId81QzJ84RMenjN/CUhjjPrj9MnHsKwNxwrURdgfrOGUjB+cCrM4cgeKLr0jQM
uypGg0oPqexSEsEtmFZlZpPWSeJa4cBux8VuMKABuLGxjZfHey8kDhhNz5SCgk+aIMU7lvSowxb3
+iRLD8Y/QKDHYmO9nLmSeuU5xvn8TsxWf/im9p9oNBgzEoY/s4VtAwkNYmvsv1i1VGNzWRSaUE2I
infVLdU4f6wFG43+j5EbAiqEeBYsMzCDEZXLwCQ8BuZ2QSDjsQ7h3CcQ49aGukys59ZbjHmsoGTo
RnxBhqqY8xW+10IbJp833bQV6LtWvbzZaV2+erAMo7sx5ezT2pGeWE1uZB9Yu8pqOs59URPUoQ31
MgG1r9JjOjTiI3HZqjth0svureP0Qum8sBNrF7AhI7lKN9BzN/QgRxAzBqh+i2nBY9S66bdILPUu
3BbATabNnyIrgjMxGPWvT83+mqW+e2mKOC4OdqAZSAooRyDXjWX6p5y7FdvqLLFmcMfwbjLC3Lp1
SZQE3A05El9mYbb2lcxzp46O5t+YxBZkoyCpKGnVk58qaMi253y5ujdOlOy78YNOWmAiu3MhBeLe
0jr+W/u8/O+lW6L14kosdfBHuJ2bPRXjkKEw2eC9GBLglULQLnIm3i8W7/5dxXywtQkAjx21XlL9
xLWDNDX9eK4IU5aBMGTItFkYDl44aZ48LyMTO85NwM75rONHS9FsCIfZykGJL4nj3Am7GAORVI78
54nJDP4Zc0ZZJnL88aZ5PbzYcpnvzAd7zTN7Q8V/VRUjqY5B7EF8SJuUAtr6uwNQS1Kposm866i/
GA/XBnhRHa2Y4RDQ7nMbNC+GG4BBNjIBOG+jeebY9ToLnIGfF0kA0kNGoiaVKkduCRuM09GA3tGI
CbYXf99zBOmU+QbRDKX+ZeAIJs5W9A31MOSodIqPaM3gom1nWZ1fl5HTq6l4+hBhRJBDRpqTjxio
XEO7vF7aHb46HXCklEm+u0yiQQQnOpJd3aCTfQovEOhMs+GVFbRXgeX0y4smUB49jIgCpaSOueSX
MzOpGUwHsBGTW9NxBgDPzVKInLWQnjqm9ass2x5sy6yT2HziGtkT3Stoa2KiO7Wb05GgOEJUzncX
AzWeZiy+FdrQifPuxA+vq71jaVU0NeJ2MhjE88XJ8WTegQ/hVAINFvCJ97rWjpu/oHLLQzyK5uAo
rtx/pVg/JAMDHScZ2DiTuknLnylz7IzLvbXsNFPncseON5/GcVAIrcnA/Nr3MtJgPRY1149basim
vtu2Mah9SzQs3lq6couT0U2mR/3arcRTHucEJlnjo3jCZs9x4vMPFtMZPfOvSyS/ONBk47GZcbW/
eGMMRTfNC3UHW82rPMqb6anGMTCDTdvHynsrKFy6r7QXyiLeEH4yQqJtxAgbSFYE/oLxF04gLIY0
MInJ/8/ZmS3JiWTr+lXa+vpgB3DAYdvucxFzkJnKVA5KSTeYSlIxzzNPfz5q3yiIsAjL3V1W3dZV
1R6A+/I1/AMdIx8sR6HoDwmp95tGDpJ+nqIsfLHo2FK70Tf+iVEHqZ1t+NVnra6ifIO3gn2Xca6/
QXec0EyGv7ulIKNZxCxTG+KVSekxoKSep9ZdmPv8BVTu0RbEdcFGqLNWquIT47UQ7dNgEqX1xdLk
eECawIAtm2FSSDNPrFoZofCbxeWxFkWsPNbUQEA4NGEOjznxlIkoI4V02gy19C1QL454DZECBBEV
OlnihszO1w7A5LbY9GmkVw+gacP0WxaAnv1uWFbXYmII6H1teXXTr+NQVbynQIEgxGTdIEOAD5vr
1tccSQ+prHz0x/R3SEAMyQB1OfER8FHxoA8GojbMGswfDg5xHpQknI8x+SEaWXtlonmRUuXQvH9Q
NC/2fjs5fSu0ygjKyOp+L/ii1oFjVTU4F6SqVj6IGifkL51JA3wXtXqhQcJUpdwyjoI55zf9tIWF
gPewZA6F3EtjTPLeHlE+QJ5ikg8ZHiuSMdBI68PZJvRzmN8gbPlKvysAv8YclCTEhpIPE0pQROWQ
IGTcupENZOhIQJusZ+y8Sx9xFMWryZkL5ogJtn3iMZlEti48DUgjCWOQ2W81XSoq9SKVwy/a58BY
qTxHUAu0G4uYNiSWWEP3Wzg84VozQnoUztDWr3ESZMY6pRv0dSQWMw5VrCAlAxuH15rk+imZOoWT
FZTv6OgYh7LQ2um+NDvK0hC5152F7IL/ZmjqQDNj0mLrFzWGAXmN8Zb+kgSl/T5hEeH7O12fEPEY
iP7IfkgtRhfL8KLXLM9977GFo7/DMgPB9DqeXloN9b3Zo7nz2zdjSLRg63Qj2qlYlpVZ85lrJwLw
nKZZ/q6XPscTFkzwjRBjf63HXtJwSSasaPEhN540xXRUyAhl19FRSyYAE6lhfB6pD9RjgzXG99xu
7fAdgBEKZoNZxThI25547nJPhydUxpREQW981TGqd+Ehw6klXzX91wa9Lvsz5qRUW5wc58fYDd3e
ERok5aFI7ypthtzTJE3eSWDHA+1fWJS2sJotZs1IJSLs36AEBmxgfEjNsXqHKBEOL7Gd9GO1yjud
v3PukNJ0JLX92TDLnpH7Fq5XaNSgnNQWEOuytJLbiYoZwotPLbieGkeEvz0EJ++HEadGV4ucnFld
3FjFXm8nElBU+Yp9ELYRQ5mqRN9FJ2mFRsvUCx/fwTLWWV/bn7CHJuWGAcJkN85T+xsj5+Jza+gd
Chtm2tXdltevqPeZI/vqm4a+j/LWQxJX1hOMr3VBkDaOmtQq9L9yqXT4MYgu+CXJT5Nj1aEXoeOH
Ie9pZnfVQUBQ7jaIzKVgo5w6Lh5tx+5hw1FpKebf9J9MiN0KSgvFcwJmOt9qUsJHRBYThWzoxT3j
VVNJ/CehoO6mhgNeD1tlqkv72Y8qKKXkMN6aESfCH0h3IVsVwplTtvw+WTwUvZqDP7aJzPgpoE6Y
e5T1G28y7Z8TIyWsmjkFbz6yG+AsYnSX4VMoGGeSFerJup7S3tlQE+niLyeDwLtGO5kpMbo/6kgy
DDafWRMKBogLwQSkXcCI7EU0CjYVJVNQdB8txpS9nm5NZLpaZkqSOgAxLjAnejBr1Eq1gYpCZ9ff
9QKSdoeAqVgLpnGvYOTVeBeRncwTcnW0f2QIziJrFehltmMo7UFgxQrWHfo8e0ubqmLgEbWjD7Jy
lu2kugXRtwtIUGH4toiqIKnnJ99bItjwaMeOHt9pURs29U4dC6m8F8huyW9F66DL2PjcOy6qW6Dz
So3/ThOP9ukrCgcJiTHJ86M+tGo8rQwBjOu3qloR743A4iBIjC7bdADO39gIsfCJvxYIYE/vsAUs
HyWdKA3alxzXwBdmt4OPhYLt/43Adht/LkvbQN4bpMI+UXiHZMUSvBNmnqbzHb8nDQ8CEY4/xgZ/
4yDxmbJCCxUre/TBYEvVp4RgQDHrJvl+9FC0fv478WyHBoBm8mfoBtbOsjt6TfP4e3SBd5vVexUO
3m9GeHb+o+eiwDQSXDfpkeJV1WuGNAPK8fQAnz2zpDUQIxDE/aHb049YCQpIcSR2EPvwJMezpiDo
mC2w1AdrUPtDMqnFXRX0XvMK2GcQz7NIQLVv9AbJgk3RliNuIq1HHDECGPMv2BWlwQsjJp011RjO
qVBwq9ljVmH9xpmIQjSym4DRUtTuSseWj6XRxUddxuW21CL1LwmtDy49yHzgaPjalPfWpONTRVsM
gNbEkdzBU1BVQFThtNfyjCKo5WzYg1Bo7xgeLRUaTghqqOb0uVKAWW2M1Oy/Zn46OPsY48oR7SbP
wTNBRHQj1kiyZ1gREjyQZ0DF39OH6WvGEAygqJZN0QgNgrt9zUzKmsUvyTBWnW7axSsDOns6+hBA
Y4qe0UZyjbhYHgKzqxgdjcUD48isgpJjZuJnG1jFm620moFwz9ibE8AbhX+wycbuycqq9h4Qjzzg
mKPA3Yl1ABdZjxTB6EhnbvlnSLw6WTe9i6YIEbFSh/5dhQ9t0mGCHqp2KVs45L0aB5IlH1PCzHlh
wMQ7ThU7Ughkjgm9E18uE05uGmn5i+8UKYZ7hDigkm1Ofu2hjeKCQKW76KOQnWxJtyZwGI5RiHUM
Cjfb5y1TUB8MsoE+OvjCQ2oNZsy57yrzG+jKPGroNkQlfYFpAjgpDgZ0A1aIRjWwP4OADR+mOk1y
hA3sTnnqJrvH0Kx0LPVxKLVGdYllkAipwqrvFd43T7GqFN4XWbSKOUtO6NUx8HR9V0LEcLHYHT8Z
xshMVgmth5HSqv7aWcxg13Ti9F90WfLwDTeG6a1UJFkbtaBc5zav9TPuiOFbzRRnDQ62MH8xe5gK
F+9M5y5t8dVZo3nqMIeKMCKCSoyzwR2S+/ET9wLUJEoCoWxDWTpMr6MUXuOuTuUEhaUPOaKDWyKZ
hwiwQecX5zs8UXGS1izMHZBCdfporSVkDzpAlw4G5SFuVEtGG5/zSaqbmq18iXoqy03dTj3VvRiV
p8IeFXjG6dzQvp+Ak/v7PoKpg42SY3bfNWQX49exHmIfCTq1pi1h9g40GYhWdJN9tKaGndLhtamu
BXYGqbJqjYI5TGnjBYKYfaF7Y/cMGcCfyr+lWrUdtMWuGKFRQotqBvqWObi1bNx0ZZA16gt6uRH+
357CaL9+DQVSeV8aO++GB4A6SuH/cki2I2/H/IwDBuZ7AC6/t1vwxjispVB6P1HrTdhwGFJ1/AQh
C4QgDviJQH0wR6rPT/T07WnT5nr+Pay0vNtHhlIyQNJKYbT7iIusha43QBDK1jIFwikOjIuC4FvQ
GUSsw4h36FjstAx8nNn8/e9//d//998/h//yf+dPeTJiZfQv5K+eAIE09X/+rWn//hdhff6fj7/+
82/KEFQqTYmiC1mbY9Lh4q///PEc4vHG3/1/ROynDeyr4odnNWW5ofLp94maaO+WTj0B2w+eNsR5
TLlr1RmpXiqbyf0QM9cKgSdd/zXy9MfokiY3XhEOnE7LmSeopz+G6d1o9dz732INuMdGMwrnqwan
pdnqXTqme4xUoAOXcUBK8cGVIeWbpq5KYQlU+4VxurJuMANSAqV/J1eM91U6YstiAY6T0vLvIUf+
1DwErq6vqTmnjysQnBO2ZtAzRwNOYu5+uiiwKVpJErw3BiB9/WCL1kI4sjHMdMU8ltHTqufYEJqL
2tSeTB3eKUL4ppNwOwtJW6hgmrrB9TVXDxZt2ogmVtWSFGCwOeMTFeyu4yEqupdeaz3b9VMKm/vr
D7H4ZEJ1BJLCtukYugHSyrFPn0HnBU2m36nPo9Q64EnF8B31vG5b6ypSXYKk5uuo6/7x+qrz/+sf
u1ZouqphsEIXk41iasa8q//YtflUx4HpWfkLUo+YWBSZnd53McxCaMRTs6YdLJkv4zh7DGzcOW5s
U/PC6sKQBrtV5z9U/XT1FqxsVddq/uLlffMcp8J88esZpos+4o2l5h2/fFBhm7oAmGc5hjFvoT8e
tNaFwkDAyF/qhsoyA/ixhkxU7drYGXaVVO236y92+Tk13WBDgje0Tfalri4+p4lgTzlAf3jGdRLe
QuDMYxb6GAjLhdmBhj9zI4v0+Pqq5y+UVU0a+Iamk4Sb6ulT0uPgQRm+PecxKfpqUqy/gpoONlMz
Zfr54bXYpnTGbFND93QZY9ibpUqLzXtmdC7eSBTRLYGOFs7dKNh01xe78DoNYWjS1jWDQatc7BQD
ErhF63o2Bprp/KjX/RhnNg5SQDr8NYp1bCWTUBu319fVzveNwcK2xVckjjpi/mF/7BtTATyqO4n3
DPrKLRRRJbtKoMXr02vBYrtGoj7sp+pHamnvxuzRs47rBp8BD8WKimhrQXzoqecc9F+ekCx5dZzO
uHGIL/xGi4KTLrRF01FVF7+xDAq/rxGveB4NnElWQWrRloMvbdxlNb6PYZKX79dfyzLgsrulTpxi
n/FKCCGnbyWgWp7sQDGedc42wED4Aw1NAfDRFgrOAhWpg2EpTO+hnzS7EIPc9fUfcGGjEy81fgfd
Lc0Si40edxo0kdaXz1Y76MfEqOkkFYkHGLdrbyy1vNmJkcYMCSLOAmhDLkOcPqwfDV5rp4X1jKCd
syng1e6A31MTMs7fZ1FxV5D5reC/io2meahs5DnggGpKD9ef+TxWm47mmPwYlSdXzcUt12DmAo5/
MJ+V3tHRux1s7VgkyVfY9GT6OVKsXaKOGziy4Y2Vzz8315LNorbNlc5rOH0DztRXjlkYxjOQDyag
ijnIzUD/aWdPsXnPUOoxAWu081prBofYxd31Bz//2CbXE1ejppFSgLY4XZ4byoYzUGvPekQmq0V9
PiD6FEwbEdbdX9fXOj9LlpQqRnWGzrFn1Ha6FobT+G7UtvesAmfcqbUzF3SBuQci3awzdYj219fT
zr6qBFspJEEGRrKKlNTpgimIi85WU6Z8vqIVd5gbRuLQMfGkNRx6ZrWzml49ptjcICI1+tjcyckS
xxFTu+mpRnLyrxywvVhlRi3uzSnuv4YmtziSRhXE86IIok9OYDqP13/24jVZFqB2DoS0VP4sNGex
F7t6bFGN1bI7fcqmA6Jh1SFXUm3DRC559gP11iE8X0+ousV3QbvXoW27WE8Fd4QnelwyonSwqc16
2OsoiXqI/TO1QGLc3l1/wH9C2B8JA08IaEm1JZJeNiHAWQTVDtBEDoqpvGOY3Lw5hpLuDUPP1lag
DsdQTOKr0hsxZnADmJAibeL9xPh6o1LEbE1dH27c7Mso9D+/R5I2sCsRN3QWZ1BLEFVpdTSVAM1k
aYCxZyV+9VHhBX97BXO4YxUMs9CPmkT7DNQMSsPIo74YuBTZrsDy9O3GC1oUPP/8IHBIthDEREYr
i1PJvE4DM9nwSfw06daoQoNUMDBrYoeakfqIhyRIYrqzKBph1ziKndkq6t9JoYfBpksNxo3Xf9GF
PaJJx3FMW9XtebucniRHVXoy/6EBEWAlOyfSxhcEpsY9zQfxW9XoGl1fb3Fy5xfApaA5lgXcWVf1
xZ6MWzxwWnoddyWy0WgHI+XUP+ixxYS7FADzD3ZZWcOnivb2KxabXXVji+pzaFhsUZJZrn7ev0Yi
tkje6zbBNqYO6rtgSMZjg08d6qDq8MUJq09k/AZaWsHjbF77K50HNtTAgsuppGdu4Z56wC8JhXGG
O8NKAoRCGViz//Y7VJZ8q49WXmCFL6OQ8hCKBDhISpsR3OyP6y9x+dFs6mY+GIqQBncM/dXTj1Yb
CBpSuifHgp+O5Y1lomAjw0fuQLnW8Cx4vr7e4i6xbNsyHBN+tKozEXe0xbEO9CqQCIIrR9t2OhWm
Jx3ogWFj6UN4WyXpyA1+Y1/O/5d/fibbpiTl3hY8p6Zq1uLkWhAUaPjbjWs0anGQtL3x/RgRLWqM
em2Z5bBFcDG/sTkWVzbPaUuTYkCzdHOWc1xsTizzxhTMJ6YEtrQZH6ZQ1MxHK2FmcijVohp3qH4p
ynGotaJhag+4YR21jH9uPLw4/yGOiu6IzoVq2qQOiw+cqeB7KohfLvY+an/PsC1onlMw5SnXt9XW
X41Ws+D2tnT9NsJHqSdFbK0ZxlfZhWZ93zB1Vb/Q3jXpkiAlrIbfejFb5oDoRXbzUwTSL34ukeXw
NirDNednbaC+udXA7RN4grZSnwuUWwPK2BK8HKoWKNmDjW4C0rRiDHGLDvtCU481+kC4+6TGwOB0
jHJlLkRDNXT7Nm07TBxDIPZryFKK/yp61JnfIgD2yRP5NZqEQz8Mrb7CRAJt7ut79uyMUKA7phDo
1VDT6db8iv+oQXQwe3gigFOy6owJaez11ooRI5I4+lT8orFi3/ho8+Y43bEsyAnR+MPmy82B548F
4xr+Nn5kqav2Q/MZwdziBWNU/8YqZ1caR4xlqK11DgU37eK5CiRcIkDnqQtgAy9nOofHyhC4tRid
wPK50I9KitAiJuAB3Cc8S5IirdcyGOMbCeYykvNDqCtNMDIaLRjHWASFIRaIXmIR4PqO0b8ZZRLu
Mryp3Qw3vg6V+VkHMswLl5K3vPESLhwPndaURbtAUlwsX7WGOl9ehBq+IdAL11aWhY8pWkbbft6F
A8SOI5gfiVkkJsQJLZmn61vrwpemqBHsK9J6Q/xzxfzxpYO01qcxBU3pZxqwVzCh6S8lTMOP72Ad
YJvKNQmOV7UWuULX563EjZwvPUFPRN50sB6E7Y3mzo96/x04Pw4A15/swqHhi0q0EsmZEI9ZbK6o
DoYiSIPArQ1scYyuvoNBCKy+BV1m6nhiXF/u0mZGg1lTQYHzB9v59MxUajw2jMQCt7cSrtEhrohv
HsFjGOIdUg9YpSQFOhtjVNz7HiOC0W60R7Uqf17/IWdZAZuZFjl9J2nNbeBlWtIZAwiCyk9dZFR1
/NUHOdguZJ0h/mpgWDqtSnyrxPehBrm3poLSw42V0zFeTbap+L9iOajFo9fqSK4i11JNlrJivGGK
TaU5vi5WOblk5Ebh1BefJmBJ3WOpSej+jorQUb1OvdYRhzwzKlA4wGoR6Lz+gGc3OJepoNVO6kkq
LIxF6Y9SJCbSOt0YG8T671kxdt90HRKvgIcwALy+2LL/wz3K2+QPExwxnZVl4QGyIbNDLgmU8xKR
7QK0hX7C80QqO7ZH60BQk5SkmHBOOx3sQDm7c3WvBZY8yT3/aPaiA4jx1tKuwwdcs7Vih5Gv/jMi
h9VubMELO56ajL675IRZtAEXO3DMVYi9deiihzkJwNr41Rq+rN/MSbfzh4bJxt/X386FuGnxVngt
lIBCX+75wYp0+u1K7Paj023wFjKBxcrQjQhju0Lo9X0tfLwOCz96u77y2SbAFFygpUrY5oJi8nL6
rHWi4cxUhuxDC6tZqDy6n4L+bMO7FKj3w/XFLgRJEnyT4guan6C9erqYMGEEaEWJlZ6wh2MDyXKt
jfH/4hIiTjE+koZuUVgtsvkel4cuhPXs1lNMSxOUMwBSVVMw8kRYCTWFFtehETCcl6Tb6w946TuS
mqmWSrycO9anDzgBznEaI49cHIUSenh6vm/QHd4ENsunNcxVOFLG2tenfn995fPcmLnDHKfZsNwP
2uIwA2QXfevEsdvYRi4fA4Ue0BZnlOBF93UmuwN2jfhb5IP38a0751LzfU+VD3nn9JGrwhBjpXiR
W+Dxso37QlmNQNrvhyGyfg/40GGH4ecQW2i4Fjfu/LPNO3fL6dCrTAvpqon5c/xx6YIf90O7nXTX
gkm3zvm7Pk+6hx5gpKY3yquz90uFw0hSYxbIQ3JET5cyAXZkNIl0F09nHRoexk4S3PnKt+phO6K/
x9xXTT8aiHip86rcQoD8yVtPF60SMPujKqSbIOBxR5mFlBXGQKtsasJ9wwDkxvs8v3u5Eih0LJsm
mmpxNZwuqMsUA504Nbny4A9Aj8RBPIr+Li28CLAwGVdZmPL0RYaCewDdA7qjvssHhGs+uJvnq0mT
9B6YFLCtFpvKsKLY8HzPcOumdPZ1A7wTbYpsY1RSrIDrqq8ZJLUbT392eOdFuafm88OSzuJthx66
mIPqCTepIysAwdtOIGZ68vWVQ+ruonKIJLU0U3mowK9+NLNjdeaVZBo66Q+x+PTVG6pWEd0jE9kl
pvHvlcRBAAmQPP8EMCtGKMOvIRx8/DUzBLKIkUzy6M+drjkp+Dimfkcyh3UYrJQy2npK7jzaOJ7s
/VnvDVRsGt3Y1RdOrTNnkoy7DF3j6y5W1Zhy9H5juKOaChVJqrpG3cn36MhqAWDa6884b5WTEmx+
r2hCcoS4zLl+TldLE9lGipIZrlEQGZpAZmsm99ouDMYfAkVD9/pylx6OOoB0kcSDC32xc1vobCEK
UALViDFdN3qIWZ4KqCVDouBGyXFpv869VaGTLpMpLxLzUiv7yWDK4iYtVhGqaJ2DgmT3LpOZODbg
3t+aUNM2tC9RR7z+lNrFx7SJTtRcFJzLQUaF/gEisoHjCtTXUxuI81Tka+RxhmpVwi3xtk4IFm2L
34aKwS4GvgZWEb4zOvS/GmEh1O9B21/xz0YIZaK1N6q7KUN44g2IhaffwARc2gQSMQWiGz1Wwvjp
JvAaz/OrEEbwZINE7ECAIpch00MWUdKMQazceD9niQ6bboZPsOEomxy5qGEmkPhFOfoojKdN8wtT
x2oPKzX9dP0rXPoItqVqtgVWkZ2w2NpGYw+lqlaG2+Rl84LLUnrXNEg8hfVk3IiN50vRvdAETUpS
eBKcxQNhT2AqSFNIEtROXXtBo2/b0kDwOezEjUA4b9vTAzs3SlSox7ZmnQNfYt+sKyiBEvy+DebK
RwtZ6mHzBZR4t/PIwLfA6b3NKApIMirKLNdf6vlFz/KSATnYI6DJ/+z8P3IKgeISwhOZ446BPd0n
hfEQF6jd0mLzsKMHe6gHyAhcX/P8JLMm8CLJHiUzthdpI4qMmAKOs2gFrbpndRrQMpO9wKRRZp/M
HK/luu9gYefKz+sLn+/TOXdi58wTyRlsdHouarsvyhJIkGtFqWU8FEaNSjqayWX85fpCl/bPXM3P
RRVthCWeolPMrhwF8SJAJMLFv7u4D63grVJ5tddXurR9eI3G3LXlAy7rzDho1HDUfdstgkoBxmY1
WFKGVXSn9T26cXFWdp/jRKbf+laNfpvcjZ+v/4BL73ROImjQWDpFwOIGoHYtFCUdLRf5qOnRQyMQ
NyPq/Y/HGOo10kObk8K0Zok46iJpKBLhBNcMoqhD3rQp7X1Me/HDUYZ1uD/B5NF0Zkhyukdo3072
VEjcLcGafpfGlN3BJ6qo4dRf19/chWNAsmtbOui/+V/zJvrj6EkjMABRO6Y7FKOy9VQt3dHjHtZd
V+KwDQCNHBvrZZNR6Y1vdmllUj9CjiUFH2/+63+szJxnxogTc+CNp9/QTYo2TtZA9eA+Rbc2kuke
bb92A7Ds1vDpwsmgN8n4i4EkCIzlycjDDlJp0Eo3cDK4WArTrbFJ4k3b2+H++vs9vwVJtxyYngQb
lYbK4r4IIqX7h3zpQiBmjOWNYX9IDZoq9IkRXFGwC7y+4IVYymPZDIi4d/n38rUqKFMVRUR40XwE
lTvz2JoOAiehwEaxz6uNRPvj+pKXnlESZDS2KrvIFKdfkrqhLxFnE67TIbTtg6K9M3QIDKrMDYRm
YudGuLn0+cA50Ka0qEHB0Jyuhyz2pI6iFK4wdCAG/CKUyCZcSXr747GaqSzFrqAjdd7WCJtxKAu1
E+6Um8671gXdxjaH/MZpv3QS0PswaQoRUuRyxqbXGkqASLC4RYmEcumkyhcMAbKN3+Ug3M1ar9fI
MX4PpfdB3CaBhT6EkLYN2M8A7rfI0dCwj3HpI1HXAP9mK7iw1pc6d951DaC1MUCOqOay7MPbRScd
RDNzLhKENQfzPw9+3sig6GJ6oDSs9o0f+xvDyb3XFmWSTQlBM7yRGV7YnzqSiHTuHT4k4KPTBZEo
gMXdU2R2TW1gch12Rz3TvSPuRIzazfrt+vOdoS/mt4raKwUlasBA/hbnQY2q0QydVrgo+zRr04/Q
uQFvuAn7Hm7CQG6w6kKB6kZnSEqFrnrIZ6ZPz+wXfYeg7m+88AvXs06DgSERlxfHc/GVB9wWx9zq
hYuvbc3U3MbgfQUmBZ6qhTnkoeqdYldDZjiUwLGebStKdtdfyYUTS805I1EQzwFVN3+hPz654U22
F7aVjh9O7+1DpunuUFb1Nihz/8bDXoh/QgO9ysjRBviiL65ONAQFKqWt7kaprd7BNEEWtW2tL3k0
hb9HGY0PjejUG1H+whsGOQ4AgIpgjrqLoNs4puzkYBpupqLmi6y4006YQyDkskpKbGVXHbqCn/wG
7Zs1Au3yThp90N548vncLJJ47lNwPCbzMM7y4jOjPxmh3EcBNGK5+C2se+/z1AX69PHTBG7GpN06
j+lRmjn9lnnSI8OXa8LVPMncpUXUNC9qHXo+tDyRMen9+N5xiL4gVfiahKrT9bAp7nGQZfpVKVr6
a1AMy8VEXvmUwz+4cXde2KbzoF+fq3tSySUyFAk/X6mMxHBVOrdrFF8H3CsbRJR9PUDA/PpzXYhK
JB9AcOYSBAT9/Dn/OBNOHE2dKLg1U9Dqr05HVbeCBIjVksDIAa9Xx/ZuLHnh+dic1FgcQu605TaF
FhNxndm6C4FLva9ys6DZVyPhZ6Fxev3pLpwIWpkm3en/GT0sdkkd4uzmRR5eT9qM0TGR3+hXPtbg
G+hz8LxFN3xTRG/teoQNKDFH8/n6D7gQByDK2QzbOA1AMBdBeAwTmYVeAb8y6CcFjryYoW8o36C9
oQ8aIkUgd+I17Cy7vHFCLrR0ibbwnEBeUxRR0Z5+WojMZV3mQUIaZMoRrqCH2pxqYcE0YaCNg5di
I9IXBvGnXteidWfj521Pgf3baKS1vf4eLkQFRqmUuECd2dj/0E/+2GbxoKhU1Wp8Nymx9pudka6L
JDI/nsz/ucqyk9ohR9QikR/fmWrkbXRnMPD+QBq6sdP8izSd5yksKrcNs1tg7kufmYtFcpKYcMEF
OX3VRgaQ04G5ftfDCzPuxgoth1fHN7UXhpbJ92ZQ0QKUWiKHG0nbhbM0D39ol1DII7i1uGeiRtEt
1CmjO3QgqoOd1fo+ijSMK/zw1v39zyBpEdlt+59M15ZwhJYJTNPz1wR2F3eySgwcVUC1Yt0Tpikm
F23RNsURC7/W2/l4RWLuO2RgvQ9lCet4wj8aWtGN6/w8dIGbZPoz9+x1wuTiOifpiSdvTNO7iLy/
xCe0GsO1Ss73eSzM/rFtsltUn/O3PUO3CZawNWY8+yKcQI3yTVWJ8KUNhnSfJWq4Lc203kjduJWr
nO8oYTq0Z2YyFjhqZ/Fh8WltsBqC2xZZZf0j0MIMOU+OKLI+WQPxPNDTjTo6SCdeP6gXHnEGEnKD
g+eBPrMIGp1VtBFmsp47oEpXcZNW6UMbBlm+LuKYkf311c5rDjo1jIPZuxrs2uVqAuIq3iOga1G3
tT8l6KFtvaLFMAanbyR0x7Zt1noxg9Vpd3s/ry9+vn8Y582MBJ5X0l1YxOYceofsMaF0zTClw5e0
46oyiw6iveWsEj8sb6QQ5zFwrm6Y9NNi5DY4ozeKFA07nHncxitpopqJvu9BsWyvP9X5B+RqtWgM
z3kgDKbFqeiljo4vRubuSFL9lNf29EmBSO4mTebcKmkurcW1ptK2odVNZn8a9mQokwK80+giNDQD
O1K0qJEAh6wc32rOXliKwmmGzHOYwHot8q8IO/umR1TcHVsZ/sBwK3nKIiXZKNMU3diUl5dCUo9J
ILjTZZzDlqNQUbzq4GHkwxOyItlBz41si7b4LfzzhS0IT2KGnJDEzkPP0xdo1x2GfU7aux2SX3u7
QkI7DXswHzkqgVPftDce7R8qxGkMNxmbz4AcydAe6cfTBaETq0FveZ2LqWCK46ZthscxGLyX3CjN
b2rlaXs/GLtoVaW0Tiyfe2xTpHp/0BMcZwjlBX60OO9e37Pnwc4k4FC5AEaiB7fshKUVBnF6hO0V
ggdIa+ijv5WtF7sBgjKocQx7BEI/yPii6QCBEPQyjeI5nC8T+jY1+ixBndMVqPh+VUA0fxnKAPlM
JCF2Wo1j3fVnvLCr5tQAAAFcL4uws3jzzoC+Thq2bo1YtJshinykxz8dpKy1/f9iKQgxABeotZnS
nS4Vau3QBYnWuIh1JZTbvncUim/sAgqzG+O1S09FmDHmNsrcW1zsJ2y4W9SvosYdurB+shXN2ZPw
aq80OuwbL/DCJpE0ommcUBNJczn0DFHaKNRSNq5aDsjOK5Vz6CW2qjKI+oeqHBGsmvKPl9Q03Pha
5NCgXKg4T1+l79SVLVO1cvN+Am6yQfPEA4qW4N2Y4lEdoLiMC9oQ7BndI4iVOyLxfqHOUtQ3Rr4X
IgW5F/eyBiiRzsQiH2jbBK/jKgcDjsrv+LnB8yA4ZlWJIh1FjoIQamt4yfrDG8kWBKYZ1MS6y+tZ
1iONhsmoXSnSYT/ivbULUYI5GArqSdeXuvR88yumDHXILp3FtYU11xBjHkV2PqvueKrzK5tCbwvu
bkTHQOl215c7TzxMpl7cjgylmKAv0bR621E2BmblOpx8JPmhuY+YZhyKLP+MyVB4qGe/LjR+6htn
8+JzkgZQANNEOANeoFiYjQoOve5Qm+Er8h7J194y/Q0SDLO2YlFtrz/ohSqQDvV8ash8gQQsr5iI
NKMom6JzTVhYANCiGLfyBEux9dg3aM3UFTYl/hja6Eum00DBlPp/xZUSfx+0uD5e/zXn4YKzBLVo
7reCVFuGi2BE1RxNmom+W9n7G5zYpk9OF5fjXq21/NaeOv/I88lFxWGm18576/TwdkEVjUZSqq5W
5viZRTFi8Bvs6sTbiJD4q2Ohu431VBRvqjYubiAez8MVY4F/ptnERe7bxYEFaqSN6CupLjOSci3r
qPiu9VX4O88UpGWc2S/YbCL7x4dfMFB0EmpaK/CpljjLCMFWw+yx5vU1lOWMqLEfs1SvN7Zfpzd2
8oVvSYMT4BKtKjLAJYTIrs0yMEyaU30ei++ZHMYjyikoEKoo8F1/qvldnWYt8NVnjpZB/1zlY55+
SJ87chbWH10fxPSOsaqJfnNmHhLQfweMbwEG1AoYmKgYkJooshtn6MKTSuDvfE7uAqqFxSVgo8mb
zsxSl5Qp39eUIqsec5IV0nK3ErQLS4EeYhoCQAoa3nKoVKuKIPeMS7cADL/VnDF5SfFIwga1Cm+E
wAsblKYQc0GaU5QMy3lZRfsHe+iBp0IeFXj/oNQumPcUC3ukot/TgoN8V3Fc8g9fZcxbkVbQqC8h
t9vzO/ijFwQ+NhyDAAdIgUcI8CVfjpLkWk7TpkEw72fhVH3yQbItWGfwMpYwSOlnItVizQZjQhVb
7MxNnb5I91OpOumuDGKkHVOrxQklp+t7I9hdesHgs+ah66zvsMRw0hcsOkjdqTvFeKZ6pfkjRDN6
ZbfwAXWr+JUpzi0IxPntwmOiJgH8Yb5Jl5M0bZgtiBwvdatS1A/WVBe7ZtBTSFhluu+V+paGwHI9
4MZzV29mVdHUs5dZidaiqWsNtnEctST3kagXWFlichv47aeoUZM2W80jKvXGDlrGg3lZRgvz2HwW
DFrWuGqeZwF8aXHE7KruDsWIWu06FZWFInaLdmzmaxDhUtPeBAzwt7099NvrEensWmXzI/ZIAwqs
CSFhiQquSqx4p9TXjxgINTRzyyHrXysT/NLOmcJSfRqw7bR2nuJ43q5AOwT/rKSI/Ye+oMe+DVCo
D2/k4mcNOn4TDRsxw2fhQkGXPD1YgW/5gFiL8ZgUpbnKfb/6/5yd147cRpSGn4gAc7glO7F7ZjQa
Jcs3hCVZzDnz6fer8QKrZg+amPWFZcCAqklWnTrhD5eJyapnQJsBShHhdgPD1bPxlaKHl4bHCp+1
95a04kdw1YoUDqYSGJXrH6Fww0sxbBJ/BKazt2wWxFF8OltW91PG0XgjRV3f8WI5GuuUHoJPT5p6
vVykz5gc5ergR+Y4Nc9p7mSwk6IZO/BDyzZJLBcF2xT3Zqzf4pmRJ9YIG9tRPNKf1xO/AdgYrQkO
uQzyb3U9IVsf46ShDz4+eepvc5mzr1kTZU9NGw0bj7vuIbEUDUh2HigHGpxrTuqC3Z/cjkaPUl5h
4ThRt3uTAmzjarg91rRamB+KPIIAts4ZndwomMSPgz8M1fzYZNB60avAmiabZNdG4s69f5re+IhC
e4VLVpTi9D2vP6KTwM8slKX3Nb7e+HlIS/LxPtfmKcfyMDezMxQ3NcAmEfdiN8w6Xd6YHKxjNSN5
siVSGYjNgOHk1TYyq9RCejxsfTZZglFBohdzdoBeB5kkrS3krwop7vGhzDWMvLeUlW4IZ2J5Hp0r
ivYMiY54QX9ciX3hDBbO7IuPG1eoOqehobBPXRsTqOyApnZjX2xmf/KXQkcvj3a63VXO6DWLPNjf
e+xWlKdxsW3tmJlqLH2XUNmrDtqABvpekpEvOLYQzMLGCyfaBT+joEmyZ6VPLAw6SkGE+tt2sGN+
afEvR0wzjpDifO8XBlXCNaEwn+GYrFMoPXZi8L4hs6+4/lxEPX7QHc42rZTBphiG4tJbanfQlFja
yFJvD4wGHlfA8YgQooq/frOphnP1ZM6BL8sgSRNqLy8y5/zrux+PVZgM6xR17J7V92uwDi5VvQ98
jOvUxA3bXghG6cNI17A3Kvtom4DD99aUqjpY0jz89N71AZTA3yDNADeLB8r1U0ZWWUxQrBx/sQK4
oUSqxu0HZk5LlAb/4BEY7tIw6x0Eu8xui59+Gy2QtaGcoXUHlZB08npxZPkq5G0Wx58GBZMg2cgf
ktrOnwcF1cfaZtX7D/vGejRiEOUTvB/YC+L//3FYHJRuhyiZLL9Na4yNS00bcDxtIJe1lUQB0Ib1
Rvb4xs2KaA4JB2WIwDSsLzXTDEjA68Lyw6UTVBAsz5eS8kOemZFbdaAhYVlHJYMMwDRxTPI8x7BV
RyXKH9PWyYqN4/TWKwBbToOa0ym0la5fQZOhB8CQnleAD8VZCqfPSIbX+2CQ08e8kuKNbOeN5ZiQ
mBDHALYKysH1cmORWB0WUIYfTgmyOB3EkDKczb0SKpM7y0wX7n/h2/wOoBtNC8p3VXQXV/fBpPMu
saYJz32Jn4G7VCqepNDglX/MMige6sEwMfqa9eELMvBYEzl4lhSn+7/h9kbgNmB9CIuoXNwEjtxk
kBxoLfisSSlPfYtlexpHGU4NNEmKEJnDjHD3znEuPVTGuag/8qcoN0U0+2Nr5wy5aBKM4RlJPWeX
MzM9OqVVHCD2b6lb3CYtLCXKE1GfMANbfVNNpu+McUx4xlFcUg8oUYbl3pDhae6HrHXeC3blyehb
igIexRExx7l+MqVKKwyNVAyaLan1MbyU3CI30+94G281Jt46rYCCaC/R72LHGqvTUQUaJqJKj2+b
YSwHLcXFszDxK6sUNMSbcdS9ZEIeFU05TM1hImHD60SH+9vnjdfLjUNZTYEgYLCr5w0yKZSrwXH8
ru/LwzgaH+15SR4CECjvjwVkDCQvBH7e7rrlE2eOsRjI2PgD7+No54VcuY2GQYJXDFnjZWEev1N0
kqiDbg+XKt1finiqzeuPGS86Av2jhHbapKiPIB4MmPlKfYJR1m3oSrzxMUUDjzYTM3BxGFf7VA3H
XAkxU/CXqqVPUNet/G9Q1cpf5pDij1LDmz7rczdh9Dz38uOiS8k37AD1jZB0GwJfKWRsYqBZlDci
ZP1xMqty6TRoy7U/VZJNo7ZDN6tJ00e7bBpfocI/3t8/ryqv10UFlDVSFgopRsVU2dcLlh1Oh/iY
VL6DfQ2SJWaWS+UZYXLL/LzgScEDa0GOSrnQpjl2jl5LLxOuKPWDMcpp/Tuopdk4m/EsmS8jDqkY
2DRtrv1jJb0ZYs8zalHs6UEf5/6kzlV/cJSxQKU5bjAzchNVxcwT90Hcfd2Jca4cu3MYOtq3yLFw
8DkqTd1GB0NPB/D6cCnU7zK2cT/R2MJn0UYr3NpnYxKmz3ZR5r0bB00h7e+/otsIjYwxu4KrAsIF
6eX1Gyq0UuVF8PvjtgqOzrS8MDGdTgxG8kM7g+eVp2DayD1ujzWputDwo+cpplCrNSVJx+3aTNFy
xc1xFzd4OMuFYeJxRRPyvY8HXIq0CuIFlR7D79XjJXNeRFKe+VM9q191LCzCXZfa7eQFltpPx2qY
wCgvDfF0Y+XbcoyZPoQdJpWcbfCr1yvnTpg3Dc4ZvokC0ARnPZRBn0ghLi40Q9KDrceYR9YDBq4L
MW4jct5+VipAqAo0dmic0QW9Xh3WV91wbU2+MeQa8txwCekkTPuBzs5jkdnLx0IQse+/7De+q8NI
gskazVcYo6srowcqzcwdM2pLnaL6NBTQBk+yWkYoZLfvvwuRWLM01DfF1Jt51/UTxiEWELPSDr5c
y8bebDENJ8Fx3CXRtvpUNy/zFRSmog1gURYw7LpeykK5eZ7KqPMrsJbYaWb1HrO/8WkKZeVcJFmK
pWq6hSm9eZkCe0Lvh+kWKDHG+qtFqSv1sYxbvwtCtO9phxlPVj07FfppVfjl/pcT2+EqTqKwREYO
WglAKZ9v9YTxnOC7iTuL37ejs5+Ybz3lY+W4IRJl+xnm4m5OyR7tvhBO3bW+cfve3k+i8BJICtGy
xz1gdT+lMbAoPI9qv9QgrCOL7xz1YsxQnV6a6AOqxpk3M3fS+QW4iu8wJK5VvEXeDW4nOQf/Rzef
+QE7ea1ZkzolNsq20vj5oqFC0fUG9ge4gbsZkraf77/zm8tQrCXUQzQmw/TcVlGwN1Q0NlHi9Y1Z
A8la4JyZuEWHkumBiGIc9KgOlI0T+taaYMrJdBiqIT69Dgs6ChuNGdR+3RpVdKpyJZq+mI2Eq3VJ
W+jFgjb/3sGPeKc6o0oikRgVr1VTAyubpLQ3ahp7ffmvCYfKM5fQ/DL3aHzcf6W3DWXWIrlgI5Nb
kXmv3mmVxIFp5H3jS3zhpGc6WxVZ6GVN19KylYJZOZEQOPnerirnC4l6ZeyjNFbbFwkX0yBxW60u
u41Y/MZLJ7EEcgXqXXRZVz8KVZGuw9o69xPM3b4BSRz+pr6PJBfY3nCkLxW27//MNLEpNIUukTjX
17GjKhbDkkot9/ssr1um05MS7yIc2pa/Az3Vv2od1pEbOaYqzuh1DIHtQvsR0oTGll4XJ3I6arFB
m8xfAHbklrtwcOLKM3AtnBExEW0yNcqqOTprGn5FH02zSMZDjUub8TTXKmI2nTGP5U8Fpx3Nqwyl
C1/dFhMcfnqTLogTh7LT78fIcdCcwwdsNNyowrbss2xNU3OqF7Pqjvd31BvfTgjikkPYJqCj9YQi
KrXWKqY6A5VbxqdCMtRTKjXTXq2ML5UdJRvTB1Gart4h7WJKVqH1TUG5ioNVnpdKFSetLzPfO6dT
114Ka97qI75Koq6Wgd4HeIIrjZt63WtvIgeFraUefaxXBsunwi2QYpGxGDnUtsWQO5DA8pu7ScIp
4XONXqpyDsnVkJPWsiL9ni7YjTzjFD0GX2nPONGHRMcDbt4ZTqGpewwFQ/z+UjJl4ds6VRizYZ5p
+sY4EdPhg9oow891pu2NOA26Iyj7WDpBGaXjVjRFDRMQyIF6iit9UDCDrizDTZdstj4iayujkBNk
zvJ3V+JUixMm1l4/CkmRo30eqHr1FDlKHO8zBDtGL25xBtpldr1MXzNdR/IlVtXhNx4U+fy0FErX
X7I5kjRkarVoUcjPo6KQzo1TIzfkKiqyGqkLrsNwnpA8DGz6kTNWRPc32e1Vz+CDXFFoL0OYXgM6
wLLwGygC/A4x3enUVuqEU3cYxZkHZab99/5qN4kpIGEgB+TCqMOxDVaJBQzycHYYWvuTmVl1tENT
XK+f8au3rGMxT3H6b1eHSa/sbIzLrH08YbDycv8nvPHAwLIhfMJUprOwjk/S2GTAkeea3sJUfNOg
VHxrMJ7B+hR7lf/HUuIkMfGBybG+8Zwit2YzLhq/QxZa+bZAmBi/SykZ6u8JnS794/3lblNFXi3c
RFqKr/qCqx722NdJBRDA9LGEax/zBkc4GK5+pjT9I8armQt60NiIvG+sKRrHlPXEXchcq6ChJ2BU
cabCGraZi36n9p3aeKak51+GsJU8xGn6T5GD9c39R735iII6BvZBUHKwjlkX86Q1JoNjywTIVuiP
FqbX55hpNaaW3da9fhOFX5dCRxBireDmrbZsk0RBi4CGeWojqf5Hb52l2eO1mT6riKH4ubYMGyfy
zQUJ+kLonWb8GiaplVFLn14yT6a+/AhQu34csezaKfbyK1fl+Mv9N3mb/iIhSMCHEcI3BAogroU/
+iK40yx4TFr6qZSl9KPSG/J3vSeZ2CdpYUbIJxclZsnJ2AW+Klmd4soBolE7/GfV/f2fclMIaIx3
aLUBD4WEw1V+/UtkO2hDu7XU0zjgtvuvNEdza+1z2x6T7qGajCQUemSZ/LQkgFw8swb0d0hSLR+/
3f8ht7vLoWhGVUPMuix4P9c/xOlbBpgxnqvj0oZuqEXyUTXa4jiApfHfvRTlo3DuYTvLoGOvl8L/
Fi/7CjtQXG/tkrZNlGnmJ7UJzekbaZrtfL6/3k0ARkVJSP+A0GT+wh67Xi9hZjxPstQfzcQc921u
Rj/mDkcpWj/NMdIr6Np2F150vYp391e+HZFyhPATAGqBkohyM/LIisVukLjpjpHVYt6GqMhLjOXv
RdKCas8rqnZwXFH4UawOoLNiIZlYLg9tK8e+2Ze4yenohwJMyHfo0yHmlVeln6HsTGHm1FieDr3x
0ajG0JdHnA6zoFGfdCWxNgLezekUT4G9FQRw2O6MQq9fYAxcJdQxPTzynsxLVNe1n5Vy4iXYQByw
NdtSjb0B/JMAgQlBVJVaHGjCOtSRDJjFWCWAunQ9qg6ouUeM0LWgz5CbXJZaDT9NKI3258YK0vBD
D9I+I1MAzvNgY9Mhf3amyJaOmGvSanMlxJT0rcruNRO9yun4jYQPpBQos4Aar2KkhEaw0U19c2zx
aDgr7ay6TRM1blvHpReNUvzDzFVtLy+j9jiVAUUmOg+7rk7wt62S5Kj0sr1T9BBHqihKPmLDrR9a
w6h37VKmPmr+6QMehFiBopX8xekq9eA0seFlBEe/ilrTNTBXPQAZkU6YBs8bO/cmLomn4/q2wSwh
uLaWIUPoDwGhUmqOeWgVO+hV2cOra3hZNeouSPvucUIzaid3fffAMCx6b4gQy9NuQnxHDODXF1Da
KMgST1F7zMsZyGkd28eoqRdvMLWtOuo2OgAuZSqgkbJQCqwJpwocv6kytcSvc9lphp2SJlZwGI1m
Sg7aUgblk62aifZ3EEbF8s/S0P6TN172TUIBC4nTpTH7IZEBo7U6X0Y6yllT8BPSbLpEYdl6uIe2
j8aY1+fW5KBL3bKc7semNxflgSF1iYC/FhcfEXBtbDNMfadRuyH2mg6lcZTFzdI6yXiMLD9TVc2T
1CtSvWm3lMZvrhuEgNhdYjwC6pdc8fqR57Gp1FKRg5M0ogXWGxb47sFK9/SZ0o23e7sUnURmeDRx
TALKWiIkopgx43x2TmVrZidaiOpHFDQsb8GOd+M2vwmUXDI0vin0RH+fXvT1U4UzLsiyFTinKY3D
g5wjEmcPqnmBD/C1SdX0veMdlqPXzAyN5EjMQ6+XS6cSsyV8eE8ZRPm9jJq6lyGmdpIirLKkCoHi
+1tGW71KZuggCsh4X8cX1CerbJs+phzo2ig96MBEctChZT0+5BjOpIeoH+ya9mFuIchLOy1s3MaS
q+IvPH9H+ZjiEmle7FGXUZfFnwShWRiL8oE8ul++VxSlvykpsWpNFgPM8kL5mux1MzXnowE0YGl3
GE+lD9OYyuZBmao0ch2U/2sv6KZpxvVqCSbpyYG9/Iwqid6fkhm+oocQNxMPPQDZcLKSyph2S1UH
4THuAiunBM+VRdtCeqwCCgxb8B3C8kAgd0S5f/1VBgPreTo/4YOcacGxaZqvQ2eYn7VgsjxL781d
MljgeeZhq++1OtEsTIFJ/gYtlUxD11cLK1Sxr31lpMpChDRk5R84NtK+TjvVVyJ9PAkxj8P9LfHG
mghyEqM1sfERb7l+WAyT48pY7PphCm3zFMboFRR9ZV+aRJ8RGQ/THfC7LZrxa1b8x92LBDhCqywp
AJuIV64L+HDgejcaY7nQwNHl/TDYi4otT5eVzNCUOfpVNsH4V51KGqbKZZvpno0e+UuIxTECDgk8
e6+uzbZ1Z/RCn/S6LppDkEeW9RhWof3VWBo1/FYmuZR1RGLAfMh7Z5GGTXkezTV2bryKynVC7JWf
0Mnqkt0wd5b9Wa4Vu9jVctlVHzW7WpSvzVgO+YOFbVhKSyWY09IrMjDUOaK4Ts9OFILxIfKADa4V
GDuMoE5f6Oyh1+HJtVkB0bEqZ6p3StgWza7Hb+jStnDXDtwj6behQqbOZW4++sjQL/I+5tr8MEGl
+5VibvevA0HRdlsssd8X6fgCzGZeZdwYuRHqVldW6USjsyBpfckdpUFnTPlnnoP4SYedc5rjRNvI
QG+2GcuRFJIMoERESbpargEHF0xAGhGMNJJLGww6w1l8wQPaVoelN34VTvhOrqV4ROAYHCUw74AG
1sp8DvOgdoJre6n6Zn4xqqX8q1P75mJqzGsdIdZ3/yjdBFc0AIVRAjhx/Fuoxq6PkoHwaBySGj7V
kTEfEVZLHpYlKo+AnpfjO5fividQYG6IKY5gw1wvtaRBXUAODh5q6u1PcjPNLvZF3fdsmrYIG6/6
RH+eVeAsfDXURF4FfgDbXa+V5natUFq2F2JlSQ2m6V1+NtRR+luTEr1ygXiCgx8TzXkBXzX2noQY
j3Ns8GR9sTH+Few9fFBOnU0nGwYUoh/13CvfurlTtnDZq/tbxBWhskTwFnhIkpPr37qEJY3tetAu
danP3wuoOT9JLLSXWS3+kZKm2uiViUf/89XQP4JKQqJrQHKjN7wKnkXamvlY6MsFOM5wGfEpfhw7
s94I0bcPJcoUTo3wsoQJJM7WH82Osq/wqUyr8QK0IsWaYZbjJ6UyuucpnjED50rZ2MhvLkhiwpCY
5hH30fWCyTyADlnU4aKPy4yCSKU43pDaxhHB3PBQNKW5pe97Gx54k5DmKMQIEUBdrlec5mIppYLc
2YpqWfYqDaXzONDi3Jvybv4gh5gODbOTbrzZmxOLzbFIoAlKYky9jkqSglQ9FDXl0hrLsJNS03Qp
qX53i7OlCv3GSoxDxFFlBA9JbnWIOmiXaZH13cUIkD5y5wESjqFTI7qKGTUb0eEVKrHalyL6Ma7k
IzISX71OGYKV2WVhdwkSKdj1Kve7JzWg0/7qNatrXBWPy861xzn6PnT6ULqd0+sOoqxqoLkiU1A+
hwzChlPdd0O903sjxbRDlb5xDzrlPu+M/rw4HbZlphKHCKo1jaI/WFinM7JiIJDsrXzof+iFKace
EjzlRwRQ1fQg6/NcoYTcN0xMrHbaOo+3bxkWPzUJvowA+mH4XG8jOHyTodSNfDHwbjvmCIm6gxUM
T8wuxo1U+vaMEMzokKPfg2YDgjDXSzXtoBgz3f9LaQ2/i5piPxi5wQS5PnGNSi5/vjPiU8yDEEHD
SOjOENqu1wuA9Y1mNKIpman67wnvof3QqfV0mK1w3pJ6XTUPxN7hAhO2oQAwCXKriGPNWhA3paNf
DJSed1WhoxrAsb8YZWihwT/MyQFvzwassZotR62KtkRLbt8uLQsmzq+qG1xy4kP/EfJyptLljGnv
RQ/t6dz0vV55Tqouv2yzMT7oRRMHG9/zdutwbzBYASyKciF8iOsVnTRPMuzdzUtQ98s+wgzHD/vR
3odTvGxEndtgh18V8rYqebclo9x7vVRoDLYeKlRTWpAqexnN0FOvT9yKFbIXMmY4f9sSlrT398+r
P96fMUFc4/RRIQVyOEgfxCv/45UmTRmEthNUFzLmLAHBaI25N6DzvOwbTVqqBxTfrL9giAUy6N+g
Xo6VHKq6h9R3Xu7iWa9St1lKW3tKotE6VDJsfJd2nqUekrqI5WMWqM2wv/+r1/tA/GioZdiVgoUQ
8M/rH63mKBCYM4yymPww+Vj0qa3sWuhjP6ooqqrnMRyNd85OhKUrDUH4fRTlAn++CiKLPRnDYM71
JU6H7Ac5j53vpKarHp0k6duDEwzz3+99Su4gAcCglw6bYw0msuDAZvMUtJdmqMtHtV3kE03w5lsS
yj0CjtqWfMa6wOUJgX0Qs5DKBcm/Vozmew5qmeO3GYJzD6nAlbjbhbaWB37Z4ITlmiiEfjGXSvJG
tV++vftpARiiQoBKIy2PtRiMbRR0p0alvmTjZOr7Qa8M23P6yokep7GU90lm8EPevaZgOAF7Y1RD
L2UV0ITpdR5YBlZic1Z+jSe1RpO7s2XXUNr8Y2xL7cv9BdfhhDtSzGBEC5aE+KasbnWTa1GV5oug
xJ4ypu+HxgFK2WftVi1we0YoBIBDEUnoGdzg+qrAUVu0QqbLWCnavtb10itnRz6GRfhzoSu5Ucm9
9WSkMKwGyE7Qfq+PpMB3jBrc9EuB6GXkNVDi+90Y6d3fRhW/V3ATV3SRbgggtpiw4cR5vdrgzLFu
A7w+ZtMy7i01/zbCLNsNSOo9pEOvb4wxX9Xb/oySrAeniQSHuamg3awyJ5t0YQRyWh9LZYygEVPV
5E9dbzudC/oqg0alxtVxqnCUdMOi0F5haGEMsLkzf/eRjPY6KhTgtMZ2Kp9tJbW/1VLTqm6A6Okn
uXWkwityaWLeDKvR9rCLzvZhgrwnOGmp34cFfHEaTE0ReXOIpp4XWVX+5f7mXF/vrw8pOuUCPAH7
bxXhSOnwbB3q5jj2UvMUtkkEfFmuDwzACmZC2O5MJp1dpdCzo+UE88ZVe708ajJCFxLFbFprDGAI
7NfftFCyTrWZPx3myUxPgZqr51kak71Gr6XbjZJUocEWF2ArjOp7mMpbKuEr0Nt/PwDQCGQNQj30
x9UWtozaCVPwfgetxU61UCErJ8oiv0QgfnfYIC+Pk2obHzo1H/xGacN9Dcpzl5hStXEpXwfi/34I
5jv0wQSFjl9z/SbyOuolZ7FlrMIDMAA0rJCODBHO7eu2PwcQpZ/r3goPsDr04/09IP7q/9vohArR
3CT9EDxboaG2egcL7tsALSL1mFpm+DkNluChJX/f+NTXweJ1FQaBXG707Wn+rLuLWVwucq8v2tHW
KcoxqlRelFltdk4SbPUprsPg/y7FAJ6knDkxpdb1uwwAUpVWpGvH2OrVD7HUcXk1yvQ9CCf7sCzB
VkJ182h07Ck0ULtiuIbG1uoF2tLQOQ0NqGNcDBBgZOgu+I9Kh5GWgXf/W62iEs+GyieXJekBXwuG
/erEGCG3OAaB6rExuu556ftgp0i27cIwVY5yl/xK86jyqY+nL/geLm5oRPajbMfpZ7PAaInsrj2y
DwFGaKW9m0m3zrOJ3blqJfFTHOXSy2KmIJdGVJwb2IXHIbRz2M/CWxIZg31h9vXH+8+0GhH/7zMJ
ZQwCkSiKV8+kGO1Mj7lXjzU6qZ+4nRMkAqzlpKVaQ/cZ8LSsF8NJHRrJi7LFOmWF2TCDlZq9rc1o
GdiIqt7/TTdbiNcswItMtEQNsH7NchUp2sB46WhrqfEB4eWP3dzOp6ZA0bUsl9/3V1sffvFRyQ+4
1OiI8hJWh780l4nJqaYdYeM4n1MH/TL2AI1quZWP1aIrbg1p7HtSERrfvTJzJxJAhOjoAa/L5DQi
P4NPoh0rjuY5UsDKJFoUuJZVzZ9kLZYuUbuofiC1WwOo22eG60AjBIoj8Y5px/Uh1YygoUc6h6eM
NvFO6frhoCU4+JV6RmFpN+U+y3LsenttS5P59tuSW/O4QkXboKhYve2hMooGYFt6WhxoTVVplfvS
0KLH1CY/Q5Nriya0Wo9JmrBNEHkLZQTRb7VeNumIzYQVxCCtgjZ/GFOJnCynsLMd9I6nBZVTOqvD
6f6nvV2WhhbENe51NhUkwOsX3Fgxospmo5zyQJMwf8SoC8/0X3o9Tod4CbdgX6urnKcUnW6bj2rA
V6VbeL0cHIc+1FGUPuFC1uxax+r3aTlo37Qijv42JKc7pZNt7njTspvztTfS+tV2el0eqTj7P59y
/uN6eRNvqH5Go+GUcZ+fe0CKbhdL47Gukg9x3sn7LE6/w17UDvff8nUFT7eHJgHYFjJTbgCi82rd
sJBjpw115ZTVQfzNxhXS09MxfEbyTD0uGtkdU998Izd9c1Fao2CuhMvPOjqpMUJ4tpOrp6kxtIOU
mzZKDARMvY0g31PI7epO2TIYfeMDozjDcaE+hQRxo4EF1Ndccl09RaDKjrgSBm6iKPVRS5CjMCmr
PCfo21NQlsYOYo76+/6Lvt3ONNYVjdIYShgKVatLYkTqVY0Xyzih/Tzts97IPdUak6MdGYm7yNH7
rALFh+VHQhsk8ad7eINen2NVS8c6NU8JkwvPLG37KQLDAcuzRm9y41p/6+EQL+JWxytQFOLXuxfZ
i0Jaht48pezhE3bOzZM6CtDkqI9fcw7ORsq3Ihz893Qw++BWEHlpeK9Oa10uE1IosXVaIBW4daIt
D9U45p/UMhA9YUU7NpFZHNVMx9gNrORx5g50E2rW45B3y0MSqMNLm2CqTo1QPmtVkT93FhSRSlEi
DyhQDgpFJiUag3DM35dKik9DZUZJxp9gM9b4Rpqrg1YGCc7Nypg/G31ueJqCHm/d9FtyN7dhhbAt
zEtktA7I0tXrD7MMgVK01mCe6tJOTo4KIUYBhfI8tibIAxixXpnF9iGuEWu8v99XSeXrQ8Jh44oC
6Cgcaq9XNltuyMgGwINxivHX4vAD3Fqr0dwpFOXz/bXe2H76n2utzlaFWCtu4511skIFp3ALlvps
9ebZhELgNfpgne6vt7KGYfsJZjpQMJBhnC9aFdcPFy9VbwZM3k9cTf2LVA3PhdKnO7WNus9j40S/
aie5qH1l+AOiIS7KbNOBREXwT6V6d//H3Lxo8OZgwMnbuS1RJFidPWvAEFqGU32aLMn0EHY2ztA0
HyOn1T69dyWSXKEcCwwbP7q1Ai/IM92SyG5Jz5E3kJJF2o+VpfpxqprvDCgMzlgCagUvl9HP+qF6
u1vKunAUXzXr/FJ00T+SXf2Ksyl/UXJ53r/vwcSYjhRWkBDplt5oK+DvU1thpulwjkzda1oneXAK
zBqzId8yEltffSxFkcCVJ0BgTAlX9+3QzA0WM2yMWG5nt5o7U+yJxcu7QNlHs/ajyXVro0BZH4/X
NamEhHkghDB5tUOMOWEiqbeGH6G/f1DbUtnhKVp4sdnE+26hy3b/da6DjlhPMJnoiQAAIlhen442
Q+K/oCrxgZPXu16pNE+ewA7uZtqkPwcJNXp5yp0Fbt7AUb2/uPjL/+gGoHUgFmdtsM5cAesRsxwU
Vj9MhgGGspa/a1Ul7/qgwRXr/jJvfUe6DhQdkPv4ZxVyyrwyesceDR+jNulgzvMXTYK5k1jIUqOp
Ej7WoVVv3HpvfUfmHjR7UIG6pc6YKN9WXRqbfqLZ4QXx+OFjYjopIXwuPTUf5R/3n3EdWcSr/GO9
dR9CLyrVTOkk+eVUfpGbcXhApXD+d4gtewvt8NZSlBk8nIhgbJvrLUNPCaJdM8JjqelUZV2ZP1lc
VDtBxtiIYm+9Rajq4MRAKwoFl+ulEnksAhsIgG8HQ5q4gRnaXh1nKXkD4lbuYBbFRrr71sNx10O2
o1ElxNGuV8zDVtcyOTJ9zCCaI4FGeuzVwPBTcKnvXgo9JzF3sQnSClXx9VLzrPVG0kSWr8T5ryzT
5ic5wTqrCqpp4zXePhQzAZFXMIijXHrltfwxhOuH0W5Lq7d8pgfRB2jyGlYloxBmrN8HqaDGhTjL
bAdMoeh0UnFfP1TaJ+UchJrla2p/NjPhlmyPHQA1G7CaBS1fi8zly/29f7tLmOtAkYQGI3Aca7+d
uV8wJbSXwO/CRnVN6KxnuVEE+b/Vj4A33yez9vqMQoSGBhzkBgzPVvdCHgzT1JIhnLlLzd1cNOGz
pafaRlvoVTXnOjo6YnZE6sz0lJbNahlNCTNj1qcQp0AnP1pZ1nrtkg0vsTTP7pjkw1NVMzKwkiB6
qfU48UhRx8hDvTzeJ/zLbdtBPUHE6ZldqoO1EVVfsXo3v4/ckXklajw3BjH6MKHMlSmSn5hD6LYA
BH5h/zQ8NP34NSsRPpIyUztAqtZ2WldZnpEXztEwinY3B5F6HsapOxVTqp/UpNWErMxzPS0gQuss
RFzf1jxmk81fBm6FHiZ6BO4MET1JMsO9aSTmrzQZzUfEstJ9pevjo6SPll9M+XQaqtbZGQ0g6jGx
wo378o2jxLAeILLoKHFsV4e2NPOWRL2XfJCi0zmLEEuck8I4d1SJGy/47aUEyp2hAKOv1dVcpk2r
G+Us+QYX9BP8c+SmwfKcw6FoNpa6uSFNgXpgSMlEAGC4s9pqGUJvKRoo8dka2mgXJ5LqO1Eru1bU
Sr5mQ+PTdfSj7h/bm+djUUBJDNtYUFgNXYcKeIGEEW1KziiPtce4N9qjZsfDsdCTrdv4raVoeQqt
YIZ6tLSvl7Ik+C6RGSRnqSsxopnM6XFUp86b2rzYoIbfBCOe6s+lVrdjnw3GbEx2gqqZ3btNpBT7
OdKiHe//RxgywLz/Elc4SYKRWM8WiCuuEfLF1YZ0ZuiyVo0e4NCXhldIZbkL06jaq9OCxY9VhA+j
AcrDKCzrMEtaD+hfWsANI5+gJkrxwUFr5/McDhU6MBQmZZWF701p+YUW1nfATthdfITrlx9YRaUk
GuorhP/8Q9Ib3yZVCb9nrHlw9Kx8n37hf2+EaQXwSIaqbDDtej0MXsIRKfwUg5WhOCTF0jwlRY9G
SWFJLvoFteSOalR7C6lb4U56m1xMnOA2EsAVWfT1Z0DOAaQFVQW83xrlp9q1XBStnJ4dbUG4UZLR
x52qadGfFjWNMV3KGucfsx3ijo5Pvvxs1YABiwP3vn5vzBIww1chcLrfUExWWxI4PTqvlZ2eexm8
4RIibwV5Pz8YnO6NpdaNO3Yjg2bSCCgdVJ9rlEXTlUNSYsN3rtJMfQrzzHINYOf7SLHGxymoTc/G
DeE5MiP5EoT4fN0/DW8cvlcylgEM79Xi+vrTTwgKlh0SYudCGaaD3crRuUzkdl/N5fzJYKi5sd6b
H5kGEVcCSHOhYr9acFyCpcqH7DyYk8YGT0ewK0tXu6NjRozjncjwFjgAobdkveqVE7I5HMot+8O3
Xjs4aDHjIAUy1il5UDXOgBZhdrYma/o0AQI7hP9D3Zf1Rm6zWf+VIPfKaKG2weQFPkm1usr72jeE
3ba1UpTETdKv/446ybxxdaM9uZiLQYBGDC8sSRT58DxnQWranjTqHt8xD54VN2kwiTINJIJ5Ptk+
frC8LlUluAs4MOO8szyWv9WXcu7ziXZzsyeqoQCNRHQugq7cgzzxWTDf908YUxgnfyClYNECR/k4
VKch3NdjzPZWX0wJN6EBPBxbz/DqvHVVWX/m1vwdfLTwz0GyBi8RxRg0myerF8RmYM06sdiPPIxS
u4LJooCJMCRLBU+stoWBCoMK0FZxs9Kepzawpomu0H70H0JNPuvJfjfhUHoAj8SUW2zyQFw+udV9
K4NmssZxW4eNjJMeFJFtg6Z6iqnWwRtkZucl7sNu6jR5Qpu/35Sl9fWfvWWAQhecEp4QuB3QK7kf
n0E0VD43HIIx5cUjOOG6SfyQF2ew4hjPxrD/DB4/rU4AjWPzAEKAzQPHstNCAUHGKLZa39nHpPUz
AvZ75rmDSpBL5MKLw23SOm+DT9bvpeT5W3ULispi+QgSKKovbCSndkikp5KD+G4dool7+3YMi0tL
2hoW/wptWan97cgR0sHa9jOA/ocjLz4Yi04YTn8ny/U45oCHJqjlnNq39zyPow0SAsVOc1hHD7BJ
TKTtFDjYILnv5w/2BI/BNcOQCQAeULxlBT0Fuyv4iRQa3ZyjAC8qq7VD15UZ/mGPchkFLxV4gDiO
4ph4auvui1DIuJ3ZcRwdtS1s6SW5HIvjIOw5rZ3Z2v38qk5Wp2/jAa/wcDxcCLCnxS0D38fk/sSO
TRRWWeAP+XYYJWLAZ/ezdu8PhoIbGTARaPlAxDvlGEF/XmrWROyIUy6eU8dpGCbMwK807qvoswPi
UrV+nKLxh9FO3kMQpGdLMGRWohHihWk5QAOrTNCgjc9vUMh7l9ih+9uODPERhmJegiRn55P682Q9
Xm7ugitgc8HCBF7TyfJoENhSN0XIjnwgLM8YDKtS6DS9m8EjZ8RisMP8+dM8XZD/GHEhcgCbXeCM
k7PKJHHJ4YR77OfzdFb70xE5U/F7q6x+r5CfdxU5qHK7Kn6QcUjtNPeBdMAIt8WH6z7TTp7wm7Ey
LdePIzrOg/A7wRbxcS1UhRACkcftsZ59C53foQlS3QsC/XUNQpus8DSYm29cE7LUoo3MEwcS0yMo
xWLlFwTm0h5QwryLgnvFYTIZwhzAyyibnNUnN+5H08UBzoS3Di8DHtrHjyqNg7a5ZbdHrRFgWUNI
C+f/PEhDSuxDaaFSkeDHfekjQe4Er7xVHulIf/L4Ttbyb/drOWLClX2BvOyTgqlZquWoCtoj8rJm
MCKMr9E8D7qN3+s6oZW0ktCt/2E/+Y9RoeIOFystHJVOZim1WKgjhqeU1154DuLqYzu6HCSXaV5p
MElTToo33tvR3Tzo+ZP39EeLArbK/x78ZMs2tB/hLiHaY4dG3rmEgV8GaV6wL93u6eeP+EcvI8ov
Fy8HBGKwLPn4hKPOogXvpvY49bT9AkJyvQprZYABYaNOGE5C658P+P1WBRMAMO3Q04LFx3fdiiGo
OgXgpz0OZd9dDAVizmgZqI2Z5CV8ykuYmUbjrcaT/mRN/9E0AtcFPT0bhyt0aD5eqe2ZSdhV3B4t
RMtsSrsvM99AJOuwsDizQzjlzzlYIT+/2h8OCgJyCGNG9LJPxatwQEYPZMr5sSjVfFMFYXfwcuQQ
hgPz15Tkw1XZBZ95I5/SRr/NXZwvFptEkMOwb368VN7YNK/HDtOnaMjzBB/+LXauaSX6SlwLx39H
qmpwHgnroYeE/YjgjgEgcuB9pp7+0dXD1wMCBRRGSw/u4+ego1PBxqVvj6yJnTWZAvVqFzE606Yp
v4yxTw+TUuaT5/ztQZ7scQskBSonQCI4EZ88aJASonqaAPO7A+zbkadu3fTKh64/qsY7b7Jtmea9
PT8z0vhrEI+KTVjGEx4J5ztKebdGs7c44MF9hvP84HbAqxrwLzZ6nEROC/EuQGNVBaw4opcDgyUV
TVnoD94qHOCKODkR3UxTYzb/cAYumwzKUbxuYIp81/ykVpezGgk8R6GLHEFXoFQntuIIaUAxwM61
UbCP8Yfgk6fw3bViWJTd+AfMI9T8Jw+hy4nlQxBeHBvpOO8NEqR3oKvU+6Y1j+WyqHnj9FktejIm
aAgQ/wI9wWRDawVWFR+nWzeK2jNN3150iHYpNwONTNQkYNVyn6do54Xy0qZSNevYlVPwzyArDL5g
u3AYAe8JSt3TtPVqLhgAq1Bd8H7mZzjH3QPhgnppFE4Cb5Pxk03xZN0GFRKHSzSBwPtYtGDeCTyp
Oh34nPgSSma5GRT0kcavYfeOgJstuIve5c9nUYxb97d3CsOBig8i5qLDQaEfn+yGAw9JG3uGXNuI
S0tHFycYVsEEIIBDGwrFaVwZe0DietG0h5ob6+bnw59sGn8OjymFk/yyTZ3MJnAIoOX2SnItvLla
xXrUO4sNNuiQU5xVo3vrmyhIIeEesp8PvPzh76/73wOfXLcnck8WeUeuo6rmmYD11VXlutHtz0c5
nbh/3F1oYvCiwLzxFH7MEfJA+k6Q6yqurcdBQ8po4aS5nqIw3/K+ic/Y4OlPLu37GYRHCt8jIBQw
PwLL9uPbMsSizu18Jtez5GaNuLggCyQYzYhA8xMW0884H6e70reH+M3XGz4aeFNPPWSaMizbYA7I
da87lbZO0KdIP4MNvcenDHKhfB1UQ7VuYOpxy+Fom7qFPVz18G35BII7qa6WD/ItmcFDRbnEJiwP
/W/YUy2iyanLyr8ugrxd+aov966Ajnvm/DOHlh/cZARnQb8C1ROo46fmVkHe9GCDGf961OqyD7Wz
93Lf/9LoGkypcOw/E/v+YCah8QMYFadWMF5PeQutK2I6D8q/nqCq3rZMxe/YAKzMwJhjRckUIwaQ
fKad+MHb6cGCBvLHJeMNa9/H+4nQOq+qXRVcIz4PhNK4krt4VBAccUmOM4Weoub8mtjj9Fme4+le
vzxKoPUoIxdQaWHbfRyaGkR/qdbxr7sJEtgm6NHCJfBUp2BMridqI7iyzsuVHyJuCK1ytebgACUF
rGkvqKyCVdF29lbkw2fE9Y/PAbwRbPQovRbKOk54OJh8/FxOVRcFsJrgdRFKxGcAOxv3jJb20McZ
9TwQfnUrK33PFM/9f2bW/21wDAtVNHhPkJmc0tcK4wFdRXrZ69iF5bpGCsMeN7HI6iD8TP78cV/4
Yyj0KSA+RaZiCM7cx+skFSqWyBuj1wk0tU0TOsPauM20jQMF6wUrhLI/rm37LkICWFIht/Qf7bqA
RDE46GoL2AZuCRRSH8f3G2dUgLerNz5CMLKN4a5oX4q+0MFD3ReOoYkF14D5k6XzBFBYhgW4CGc6
oLbY9WEi/XFYt+zbSZLefZsFs6CQi4ugXsGIKuh3YTN0WmQgENnqxoPcMLoEDdSuzifBCpEQl4Ly
DgMJupIUJ+hPyq6P6w0+0ZJrDJduwN3o8MEf6uMHQ8UFyl5Q2m9gSUJeQ+raWVe0lTrzBesfo7bT
n0nwP66mwLGhfYd4FGj+wrv+jiwZWXDv06FfvAPuEEjKHs0d0gjHxGGseP0n++SfQy2FyBJ5g2L2
ZOEupMILhyT7d4j1Su9QxQpcN8iboubWcavwctIFIgjxroX+J0/89L5ipoNED5EEADqYcJz6DADb
RtZUPFZ5UutQnZVR620muPp7SRkG1haWA+1nTu/f3VfQeuEFBNwD0Y9YWU8epaZIg2JxgdhYK0Sb
3cqln3Y5VnVl83zz8xv7cQXHjYUZzbJ0A+tA1w8v1cdpY2ENCy3ZD3lS+QHd8pahr99wk0ydU16Y
OSQXsEyrkyKc2fbnQ393maDYLrAcJu3ihHE69DBr4ITwhUTSOImm8zye6IrhzHLh9mgC/sOxFnp+
DCEX1FNg4pw2vkVpKZBaWorLVLT6ArvDLkjAFlMHNotYfFKif3dl8D0CWgphFOA+/HuyNtZOBdB8
rk2BhjFohmAZ1SwRVRPHicEm9clo3z1CnH7Q20HqFJYmOEyejGbPJJ9ztwmKxM6JbTAa3EKTwS8o
Qf+j8euFzAtVQuxP/OhNJHr8+b09aTNhDuHO/uHcALQQPd2Tl9MAuW087dEiQRfEtWEm7FVT1hkW
NXs+xsj1GnheIbTbHqLXIoLJf1LL2H6UUsh/lvmFz7Lk/C7e/mgxLknIJ5+lQLU8h7EJi0SFXrlR
biPPJO80HnnYIpFo/syK4bu7j+4i0CwEt0G4hfXh5AVytcpHAJMQK7RGimt0UtUa5lJWQpqG7oqa
q6s88Ezmowj55AU6LTXgb7wE8+DtxWUDH1226L9Vs4g1CYeIaQw9ehV7mlh3jfBl7463NrrHoTvt
atjNf7JgfLMB+vfBCJ0m1Fyo9mAjCngUvL2THVDTEpsQ9+wiIajhxY3dQ0eeDSOb2hRfk1svKEa+
HZvRfQokK6885qr2OWgcfRDwYzSJz+vpzrfb0knGkE3doaxa8gjSnn90QjFeDqqAaL3MfWNtBASX
4xeshuYgbUiOU4nibbgM3bxWfxwO/uPr+J/5G7/84xrEv/4LX38FsDmUeSFPvvzXsfw6cMHf5X8t
v/bfP/bxl/51od8GqYa3X47PnfhlrdrXZ1ny9vR3PvwJjPTnJ8me5fOHL1atLOV0pd5g8fYmVCO/
DYfPvPzk//Sbv7x9+yu3U/f2+69fuWrl8tdyfKxf//zW7vX3X4GM/e3lXv7+n988f2b4vWvzjGv5
7hfenoX8/VfP/m2RAsH28RumhN3w11/M2/IdN/oNnVZAjnjpQM5CTfbrLy0fZPH7r5bzG/AKHNxx
UMdv+Pi/X38RXH37nvsbfnpxJwL1cWkPozn816V/eFz/fny/tIpd8rKV4vdfUWNjwv97agKiQK8T
eyaYW86yL3+bun9/IXRBJ/RxbiScf0RSxtC+2DmNd31nhnvXlWjEx0FzXsAR/Kqdp+hoHH98sVvs
r7qC+josWJ3lyhPng9TjkztSc4MFDSAD97q1MmLa+U1T3c+TcwtjrvnOMXmRwkI4v6KNms+IRGpV
gY67TjwEMqzBmPVXbVXLnadgBhtq2Ry8soj2EAVoO5FN6eXryhqUnXWuT1d9IfVjHfUTgV851DxZ
2Yb+F5+h1M1yMkOMAZKkuHARQXZW9YDuEkoF2wfKxE0y9IFEpHfXzdGaoevYpHYTg/xMjLCyaXHw
sYkNgxxg1XxKfEm6K+bBiX6H90rdC7hksaQnE7lCCzLc4KMg6oASP+05dS5JN4WpJA5OVZPf7YKx
tGA1+S3bo7fBHm0rSGA6Zy8UbzcwRYNjJUg7MD/PmN2NlyZ8jD11KcsKBMglibbv33vvC4zYzVVu
zF6L6GWop4PXihVlZzMv90bLu5DZqV+rYWXGMLHt4cYu6KtFY73vB/OIhinCcDrtXgwkSkkIu9bB
E2HmVsGLa4/RQch+j1t1ERXkZoz7bkW0Whe9mVbglOYvVeU3WdFFX323GtLCD8dnm8lXbJ912sFy
8mn0xVPZxzvjWns25CiCAOBfG2eq0IAa+WtrBzdBO7yT2bnDTnRDfaDt2lnVw7AWKC5AsMP/9SAW
Z6r0COgAJf70TPmwBsOq206INlkNFrkOOnY7MKc/VK559r0JdtQl3fZ6wj1VcC5ZzBk1Q6l45inY
sY28vBWVgV8Yip48SBxjuytqBvudGzwvF3tPEMJU2SrGAhTnxmuTvuYb30Iun1a73pPVvSF02o9h
kNawE2/0o24aYPRI8r4Z8jDL26felwpNPi1IIhi2GD5Fwl31XYG4FIsMRUaLAV4Mvg+wNfEtz2nx
mScF90TLVdiQQPc/OOg6PCNvpL2EuXuwipAysPML14FLU7cUlcimLBMs/llZCHZv5X2fuLpL/ALO
bzjHnk+lj6/C+DKsepROk9gaIh5Qxq4Gj12jrZOx3L2pZgN2x0Qy6XZXyDEo1/4IOqof1+JMeSP8
ikn5ZMMPDJwolUS8YAmYkXvR4HpUpw6tKJCapcqDp1CmQaA0pYxEhxqRVInQpl+T1l4XwhfnrB7s
/ezVUVq7Oc8WVCTh2rKxjc34h8whzl1duGGuuOidGpYqY08PLWJAU8GaAwy2JRprA0uFxfQqtNo4
K5iakornN6woox3M2txbi/n5FWAPmiJXRCVgDU7rODQN3Iilem3K/AFuyOBLv8updm4R+9evWB9Y
921AxM7p423R9Q+A+N11gxiCdPScbc3CTAURem0j7oddGX8lqm5MdTCYjGKPTYRVsHSWtugTEakg
nT2yJSON1k5rnI0nSPji0Dxcq8JoGOrM7tM0xovZ7ZaiSww3uWpbtOMLOg5XvDAkgaovg/S1Kri8
ERro08RqeAraEZzWGa02iiDtSVRfYVg8Z3D1EFlH/a+FrndTX2dNUdznnfhKJlW/1K3YVgPpEVDr
pmOvEHxPyoyMdYr7f1ESdb7AQJYlutS2tJe6cGYeI/vRBkw82THflrVKEEKeitKMIKpQjjyiZtu2
1D9HIF93icsZ0pHP5TnzPbWqnAqW4USZFZzE9rmcwCGnZpEghltSlPd2MGdcuu5TXKJRn5CwoLey
nfM9XBoLBBK7cTIGJU80Qv7uGto8VD1iSO0CzPbgCTUrSwyaCe22c0uPrrDYkocC++el53XeXWfU
cjDJX5zSxbtLYLHDpiBp+qpP+BzqDRi4fsoaTb6axfZwdqIicaVv7bq4yRNvLKwzz9a2em5qyc6I
o+QLB6dlTEZ0ur/iZNnCrhhOP17mlDhsJ1Ft9xmb+3BTOqU+5+VQR0eXc+cOWnWkoRLYO2+Y7Z83
caXOQZId4L2FttXlODgylXBVRIN6ite5NQ07M8A5N3SoWiShORaNWDTnQ2uKtWlh/G7VpsGLKeys
svIyGXXsJ45fllvk402bETyOhy7PV4TBL5nK7aBy8CG2fNTNFqf8dutB0aASjSUQUeYaHCez9Zrg
3QJN98wbbTvLxybQiRgjBeUrsbaRNNWa2zVdh7gWEev5bGC9cykshHcGkDGXuAY9BvdyNAYfqOyu
Z+HbCRXPeq7KNdVdeGepia5RqIpM2lIi31uYbUUEXdGoD+5zu+bPltfMt3kUlquRahB6+rq6t0pT
7Ka6tTYEpNq9qXgBDUhsnVvNMF1ZZdQ9lVOAtGdY/kMYL6eI7mrCXGzYMriWg9XC9dxu76XD25fC
CeabcvRoZgejyFpC4frOInoJsUuTBa1Nd8KZ5q/fir//jYq4e2tv5PD2JlES/5+og1E7/sdfxeZ3
dfDNUqD+8v/eh/LrSTWMX/uzGo5+Q3cV0BDARxw1Ab79VQ07wW9Q0y7EOLBTFlLzX6Ww6/4GqjO4
1YAuo6WZhjL5r1KYBL+hDQkYBI1TIDHLn/vr0/0PSmHEDizQ+99r4aUDDmtp8FcWCAKHto+HQ5Qa
0ABorCFl4DA3y23TJ77biLDDiiUVilsSTAn4LCI8FJ49133q9SAuJjT3RXfuOejXHAKmehBQumHk
KZgVk1WlXlPM54RUKroyvRcjE86fZU6va0IGfWgrGOetPLuLh+3MgmpTIz0937umc2Ae5bSqiLMy
IEbfBLPtAghAt94TaWi5EB7lsp/EcwOJgkEQKIhQTpSN1MrhqSjmMfPjYQq+2KKWXZyCLASiVF2N
EDrA+YBO4wWYhGPHkxkvh16ZgdXyzoRdEKIiIvGYjogZby4YZ82ApIA+qm5s1/Lra5g3dOxFWCK8
8sEMta98BY3VPuA9jrUeiLxt5joj02umu55vGz3o6FZNIfcFyqmI11msTdu8sFxiE5RRbGaSuZJy
ZEOC4RcfNfJA3WzBJcLpCPWDX82ZZHDA9JMRodD5uRP1KipTXB6fnnwJycUevH7ZvXlREfdNIjUX
5TOim+o+i2dmep5g3YdPZgJ7V4HwwgLFxhUy3KvhC8rYUpyXgRVZqBwgYd2xzqui90gJqbaO4rN4
m+rQAbi4hFcTeylxPMvNGpgiNHnWBLL1+rQYxrIYMxnMfN5WOR7J+2g3gY8TyexYa8phyCPSngHI
HBPpdHF+0RoYUAUpkvQCbJBSU2SrwL+358ihrsoGFhz4+aERF43S3DvXcRvPj5aKZQnx1ghTfwpN
feCIL2R0BH2c3WLs73tpOL8M+3ZlGtCTZ1HeQspBzmrj1agQcLLKTWwSWYePIJl0rw6vkWxtaf2I
SqPLaI4NdJm4V0UNwg8JxjwrkBUxJ6zPrSFheT7iRoxjc1nBlxumMDmCv5+QD9KYM98dZOLDa8jY
mSghfUZQbUdUlEGH3PpjKpqY3TbICKpAjav4utLzfEUtGOngoVo6sQp7hCrKgqg582IQ/IVf4+Mg
trPOkXtZBU899ZxqFyNZPG5TFpvSPq9h1W9fGiumOU3zKLAGrPhlGcCEuUM1dCinEj6mJYxQ5xeI
0ZFvuvLH2nfPa7gezxeNi5rxIaSReqqbCfU6QUkPBvLEvA2PG73GG0af8KPuBmwsr0skcfs67XP8
d4ybYgj2tlOiGYrTlpYwQJjh2Z4UsnBhJmjzGi+urDmxHks9Cf0ysTg2rxERcbSzA2b5W6trTHns
p46774ONvXHtWKqk+8D0FZQdNmg/CUylAIJcDKLjcruwUq9B3cd5RYKJ5mDq9bWXzpNAZJYSg71C
miUZcb7TrE7VZPEnC/naRYaAsq5KCoWl47yjeGeAkcLgbI5xUxMDTeCYIaU12sLt2A/XIE1ZK8JR
KKdxKHkMviIUUG6smj4dlFUd6smueIKivfbO6CzZvMXGS4okpxxdRRuRDcjANJw9agYgIJmGuEbC
1qAv+YQIh8yrqkChDCaNSBrPbx+Vy+Y3ivCUMycoESqkSvPK3Uivcm6Ca1ZEjzP1p2tk4BFvV+Ki
naQuKLzZXFFvWG0FKwoBzlLwYv3EB0HEwhzafBf2pbOZuTarEhGIRcIsIZ7GeAz8pGRW+TWHOeRD
S3R+IfE30fkTiM2cvOnabyPQS8Ej3/RUTYfWbdhtXjFzJdrac/fwun5H0Q7nbVq2ZN3DkO2pm2N+
V4UmmlJbOu67dp0GRtpQlsD9MArhtVuGBkFyEl7c3gwna7/V+bstvfARpjgB4rIUkWkJTvUKVi1V
s1fBEKYUyZv3BCXpvJmp0ycFNMZV4nK3PiCELCwy7dL+ooitcBUYHKMX3Jg2SSu88U0N+k4OgS6S
0Oj2ESez/hYrgDskDrHosGLMqncKvbLXqNHxeSlInsHNNc88WCgem0HQL6YoZufQQPqz0gpGBUnk
muoCQoTwCrd53MHFrv4iOuUUiQOZ41pHuKikzW0y4FycI8VohJlg2vaO06GGD4YHg80+z7rRDSCw
hYzjurGiAKtiWDy2dqiPuUZOmE0dchsUYngabKPWS4dxDVijvO6IJ1Y9nDa3OrT2U1SUSeF1t3Y9
9ueGxIZeTMKqt0M1OanXMRy/UGVPZxLiB3wtt6UrXYPwwKHfqqm1956x/bvBKV9ALGn3zpgf6iL2
naQxvrx3uo5g1tvIdiTqop7QP+vmGRI/Rw+pGuYiGzlHSVzSA8SPQeorOVypRvGzeF5KAa9z2VNJ
RbhHJ8C6BiJWZ7Ll/MKmdZG5tZXjVKSHTQ8O7Qrol/XezMBiUjDaFXIyLU6uRpv39Q4iqzFBLwLB
0WLUsI+0q/LQzOo9L6uLOCx3bd/TJ+q4l6GpxQ3pe2tVlQOBVSmEYF7ZnUPScoRwW+2qoiutxOLM
fqc1EoOQkHZGoA9InZ4U95Zlw3ELWTVjy8guzjXKBSH2fYxjO7M1FhY0cXjaj4OLA/Zs6O0Yc3+N
ne/VhcW4ToMQcFnH1CauK37WmXbdtkPVZxqtlW7XuUPdJH0HsYcq5UUryHiGIifaYkGN0VyqcHhi
uX+PMsgKvvR80PnrGExOnNhN21/XjY2Y2g5RWFlcQiAEUjOVD1XJPW8Pfdx460dcIFfAoqrrsjAf
YPIa+SjWtixHUXINS1ATPoFjqV+KiAVdJhDuuC0r1WY4RdiZ1TnvXa7KaY1Fjr3V2PLPcbx/gOS6
emJDgeUZrLW0DG2WKsRE4hzV6XJLZexk2i5ngE0Q/j2NqnKTNrT745L7nSLrqluHsZTJOI31gXVT
9Ig3w5pWleX5G3x45SYQ9uVrjlLzHvnApbVrYMGOYFonB+iknFLJdThM01ccWBVDamHJ5QUhtN/k
Q9d/RYSsu8JZdILw0jRfNNJkm1Tagc5ooBFsM1huvK4gDllVcP1e0a67cKsqwtkxCmlK0DvNLGBC
ELU6hB2oLPF58kqm3MwHn5o+X7OubQ8T9cckbqd2w13NOwSshs7acqABoLVluehku02fEIH1NIEu
xKxHyEBWAryeg0ejIe3KEcoNQIPmNUas501bl+0TUnjqx8nS5HGkhbwG25U7SR7O/VrbU/QQDUJu
ta7b9aj4K7Ks7G1fDU2WV3YEcUYLdURgxDqM5uaVGdfbqJrY26I2QdLHasBC6bGLQdtF5gcV1Pq5
KK+1gSsuclSdNTWM3aGlPCP+xHce4Mx715R2gxI5spFVOOs31++7dGzCN47ZsNExnALQ4LOSrgjz
RNf6GmWCwGZaEpb2YAmngeijS+R3F7tqDvPjALYTCrsxx15r0yNSV97KBozPFPMfUnpC+usBT9Pb
i0V7JZRiD8RjVoauVLPRvCleEEQXbIspwgsnAAbeCb9tNgTq6nNuFPlieNsA32RkBFTQjU1ijVa4
QYAeytOwnYoLYqDnasC04QkNpQ+cVdY+IDk7blGbjdqkfuW+t6Wvds2M+gKAADKPoalAhG5dhmg4
gzCJzR9ohFq5HcxJunpG0YCUatQMlkt2gBdBDGpZ5AgAkQO19lE0V11KgSxshKTuHauKOsbk7AAI
RDkiq0fEVD9a7uC/+8HUvLi9MscyRqBrOJPhC8Jd3GxmgvIUvqFBlUjRds8woWR7+HiVSTBTNabT
jKCpHLGdGQyZe30FRWxRZCaYc5R04hKxjORcs3HYOHYdr1jD5DXEtf45JF6Y2wJmxEneQPiVEFrC
oNdV/Zw0qi33gTvbgHntATPRg6Q0zCA2UfWxr1yVqg6hr85owjodLJBEInRBoJxzmyajYTEfICEN
7SPH3G6ydoJ5RgY/NddL7N7DSRAz1pzHKqxvIeC0aWZNBQz8ESobbosesTa9ZU8wKatJtddDGdJM
+kTcmQ7NCPhSIAF+EmTyUwWzETcRRe2MD0pMx8FtOU0cC3ohFNp2sUVkh7dCCeNfelRbmz4nAYB7
Y3tJgx4roq7rZkemujqMbM5fQsEisQPLEZl1oKChg0CWFm09BVi06pIjtS2uxhp2xs2AaBzul33i
iVIDaFX1k1VFKAKbYLjNR4FXkaNuBAPCt98RTsqABtJqZ2GVe8iVX77oyilXHJyuR7QW2wtFsD45
AXj1IM8wLFWysC7UrPILI7UNUNflzT31qiHR2GCmdOin4pzUsVoVVeivKr+AoZoEZ+K89OrwPObE
PDsoKVcTgpS+as4R/dlWPsxnm4oOF3AphQM07ckBnj/tbRvFLUDGHOV0hxAkjoaQ7K67LrbXPczB
zyZb2l+COhfoS9FgZwNnQpB7P9NX0kkkgDG0vCJvMFdzq2Ikp4PqAqPxoooy25fOpg7Kr7E95ve1
5lUKi4DiKIFE8GQAqJtNvSeuYdCNsNlyUOj1tGF1QK5mtJeCm01nobFlbBhg9EE0I1jeBvLpOHSH
btt0M1GreguggUon9IqQjoSpqGxJv6LFIRLpi+I8YGMNmzDjYuMplUlgJlxfFW7cYIKN4pnHXXxV
Upuu3TEWK4Rp7MDBU4cmYDn6En7tJBEuP23bpr+JCKNfpOzZ0e0GHLjBhj/8f+bOY8tu5FrTr9IP
0NCCC5gpzDFpyEySSVMTLLLIggcC3sz7yfrF+kNKfS8TeZSnS6NeS1INqGIcABE7tvlNQsNtq9vy
5R3oCano4lREVUQASY1s9lPaw3+IiAGVRbP5LjNiLWyM+mO3krR4s6bVB9fIUutA/F7ogGZLepyK
KL3R4qHwtSEVLRltW3w2124yfMC/KgGtqAO7pCYkfpfaoxvr3ZeqsTsLov8ykcAP6Ib69N5X/o3J
ch/j2MJYJaM0sz2jSiiu6Z6QVDMK9mh7WycEx/TK6zeJxcBu5/F709bm12HupieprWgSmjPEkTBu
NOezVuGCyHaa3TPjHuneLmuTZj/WGlu2U9aQ409umRtn08zxcQHzX3ZHUuWfRTfaQaR20wNOw2Ly
xsb5S3Wy8VuXFmp3O6/OkL2v4YdsLYCZ4UhfLAUwwPxHJ9p5/pSNOQd31tPKy5sp/oKCO0bgyCt8
pPERHZt0tjZjh1gVZ0M0QGbVNsY2GllR01NLkSp+qSJ7H+jxwlwpW9rqRhFmXXlT40531VCpWbjS
gcuP7WoYGGJ0TpDWjfhpxWpzjPI6m0KGDF3r22RT/mRHSpArhfrL2nqxCL/r4eza5eR3+IrlB8pT
pP3Z45p5lhajyWB29OWOxk6PEHzclJ9qrsvCr8SoxEw5NNMbVdk8za2ZOl7VM+hJ3bjGWzkt/xx6
Tdx0cGeBqFgf02gYg3aYlD9VYILUvQatAPRZPyZZat6RoBrYSZY2JlMga+AvZY9asSKAORnYILWV
fT8o5vzR7qv8HU9KIaaU+TeLUM9EJV5aRO/KMvfQvsjfLY6ShGW7ypB7FUAbBoNQn8Sy3Dd9U9ue
S5sx8ussZYJWt9kHq44SP+2qwmWoDcvbp+QqHiwlzTvkdmqhAteI6AzmWolB4KrOhn0zrAkq9e1m
ukL20C8FFiVx7AR5qieZn84DIzgSCAXOp+zq+EGJJCpuITtrArSkY1Bs/TLLdah+DHGZiUMu2gaQ
UO+0EkyTBcPic0rb3TkNeZ5kjPOifI6+9mJwWpVdaEXKEUn8ZHADSd0eH4vMzsVDRzFunlE4zHs/
Y6RXBr07udFtoo+Q+jZhdOtX0gv7TszS+WvK+sz9Y3a6COMWWv7jEtadYbV3Y1TaD1QOZvaUu5PV
e+aSpd3ZRILTwZy0jpz7iLo2ehSREdWHgqphOq8TofKw9jmr4r2HjSC1chOsTpZ5tcbN7KVGVWaj
jz93a82ezMzYDRYBXDSEEcyfjwBhjcekzGRxyrQRCwbW7g+WvbpaGA9jf2tOSZ8eppJr5kMz2eN6
QLqxjI6Ir/Xinul6z+AjzxfzJPLISE70h0r7tqgZDx2NeaUj6a3DqkUfFEeweKeoihM4PCh6unW8
jOfY7cr+YVH6cvEMJ0+WYwbJRcFiSa3KU9/pivKQpRLpqZX8xUD1vdPrk2vOVnRXqHNFkkwZpT7R
S7cIu1U2GKRbmTl5uU2V+OCuM+uuuJrN/v/sYOyCKrAjD9jMcqdMa0V2bH53E1xbOzVCYHCBTLYG
GNvXd4ybZmQWcXxymPBSW/nKhPwEAvOl9dDN5XQXDRYt5kin99dwPKlOitNqRkdrUloSJEQSvBxT
2eNmkuL3OUBSEKzWj7Tr43Bs1eiJNkbp6Wprnwe6h+cy17Vba1nbMyIseRDpVPH5iDx3ord/Wr2e
+s4wfI1rF0mfVG/u6b/an0TptO/HgvTCGyN7nLyC0u393Fc/m2h+mp2yZy3na7uUs5et7k0quxu9
7yNvtHI69+5Yh2RdhTcmFUoOaq57a47cb9LT0UqK5Eu7knGMmbS9rFE6f+qV9tCbawmoJE6Oydwp
J3tsKYVNUrAKNYg8n5CfsK2wd5rSx2B1wp5UXTzwrkNIY1x7EF0T+aMeG2WYjjKJzqIbG6AJyGjR
VCGAL6B9QqfS0u+dkTjb2J2DnjOIcn07GQ31fm1X5sKFfauMXXzKjLoMTSVZwEQUHzpHfE+twq68
khD/GDv4BIwqXtEWQ/5zskj9U59b8q/FsZJ3HUVZ6xEIi4dixfGqaQTxS9bDvTYMzTfoNb2vdnpx
JsdXMw8cdvzHBLnnlKCHBSQ7M2/jtJn/ciqX6a/oONgW3klH/CusH0k23o3rXHwuxj7+MkoF6c5Z
2n8aUWb/UMuUliUv9qvdkXfAlE8/AtBIPW3Wxncauolhy4jIp19WhSWwHzr9o+s7Stwe1NoxD0j2
f7FqF9BIrzWbmk4zkTnpbvxBGSx56qz0l5lX1jltlvcGDcUNZ/ykVWgkarlCqG5SlUboOHruHP1l
jlOGzy7mUrVwYGLRHG/08uciDYsesykxrhdfBsvIPA2SSJBMZOvAe6Pb0W7lA3bE30npFexhR1oe
HDyvFnn8kDqLE1ga7djAtodHcrAfJYcWdUGX22fOHgrGNx5JynTQ1qT6inl8W4WFqfWhTGXzMe/T
CfhHNhcf1np51IYV9P08qOGqTPJcQiQPzKKavTpStWApUs2vjPxjhqkD9s5u2wYRR/aYJ538Pubq
h7U3YLEsT0uen6xKY9rR118VWJq3WWmdUk2NTwxYT0lmTN8qbV7v02G5iWZcwtDaijwzkeYReeT+
dpzb+r6ssGfTBO2eibz2DDyGukcmwNRToR3dtYrfpVN/iBtH+9W4PekchOmtBey0ntVYw9k22j/T
lvFVQ5Prxm6YJDsAHOuCOYneu8VBbci3MhOxHqM0A8hVSzBa8eTrnfWVGDp+G+SEus4YIajbjj4Y
HmsMh8a0mQ5k3al36xtIIkogElnQXQSVRRNWE5Pf66PxHmWM3AxARIqSCsqsbqjcqiSANKpNGJpZ
KR5tkfXOsNi2ck3nk2uUS7COxRepZhsQONKe1ELDvhphs4DxUnUDzo0spWyF14jqqY2tr3HLzszT
fg5ACxG+be1LqUO/4mNtFVs2A6crFrphaecgGKhaX7RC+7O2kibIN5AJZlLYJc6c7zGtxJ2JwMJP
F7dsT9Pr1JeTjbRjUj/JnE86D4y7fI0+HrCdTr+xxsyhx9LEX9a8IPebcTBLbYNJXp41fppY5beR
+SFIKay747F0fJkxbKNwzMSj0XXTEUF9ArkRI5jlIzL/k0KUXEMvwJfmxEbioGQf17G8mej9Aq+o
7gbsaT9rwJB8O6ZxnUXInnHrVEh3pzF3hK3MoRoL6zTEw5FqJqUs7nszYEC4TGE1pXdDaSFaadfE
8GTw56roHnHGFrd8w+qXuWL/rOcVRYqaJk/mMHR3U1bkn5J6c2FRirni0bKS+QLN4b+UnnS6Bjz3
pOOcGqBM4dA0YXQUlAXK+atqDDyvpkzmfSvZsmcIC3/M9JDPiitr06fR2fXhbNuZ5wInIDEc9I8W
w8MA7OCPRMfBJ8BHKcrCaJxSIxhyRZWeXplWfZzAsd/MWdt/ieik3tYLl2XqJPKR6Xbl50pqk6LT
SvPVdHI9I0mV7zQwSKKV/EjJo93rRl88rVG2HIy1YtM26U9nEXFAU+pRq9zHHu0+wlE0W7655muQ
NWscILtHIzs3XfyrQD2C7clRsB8aPVBB5KWbtEPJOCIKu9RqYrIl3GWBJxYZ+B4pew+CNw1hSyS+
YJJGVlvq70dmrzSAzO4wpgNdodlALqLGloZpjZwOEOGJQVmhjwe5LMshUQv1VJkOkzxXK34Na3UD
Ma+g864ut2mnKe+J1xbMbK5mklUlaJ1I/WSZYJPtZbpmU/GSMyAstDGRIwWYBxfU1Mw9sagp40kx
KqA+uT6CvCLzxYCYAe9yTYpzQ8D/NzAAdKwBawpBDchR8AV0e0eciia0D+yozPzWqMzmBhUafb5d
xKqpwW+QiX+BEn7H475ExiN9AArCsDVTGJoqUFzd/vw3NG7kLFMmyyoNDaapdghVqM88pivRt7Em
dwxcXurmA+Qmn7TYEuMVoPor9x7WBxMPKF+34WNgNfty/anBSrK23DRMK8UsvIg2rOmJFOCCmdhG
dXAU25VfwU9k4706FNqDuko6DWYjooCBupLcxa5U3XutHzrxH2DNP9WUheUeLPMCdv7/Bkc//qo3
+Ha3/6v+P8Sf24jJgPlGGgKZcBUlb+dNHM7//l8FgPT/ce62f3S/49Iv/kX/RObo2j/Y3Gx0MOlb
ybr50P4Tp665/wCErgINQaAArVRL+y9wjqX+A6tAB2YQU3MEEzb+3L+wOcL9h2NzYMC+GwJlZMQZ
/wY05yWfDHgPAHVkUDYHsI0bvOdCm23egLNL10CHGuP1A4orXW/dMAIYMeCz5sPbh/DScgIbJUQn
NmW0vbQ/GhxobLoJUdfVklDWju6BQid+qiWxNYOc9PZ6G6zov6PLPx/PgWhloPNvwEDdYEm/Hfq8
Q/O5EQWNLbopwTRp/b1YiuFBLeYlWLquKL2oXqAJb9MhV1+1K5yYl9Htn+ujjsDj8guQmtoFnbwc
Us2RpRpYMLzOjdqQ7ILzvhJbXgbr51V0ojTC3/YWRV+t0sZS00eNj8g8MMhQ3ockYkmaUuk1C4ML
L1Rnz7BlEFMB0rX9+W8vlBhJMxrpoSCn90yuqKxhKUBDozQHKjJNNH8TbQj7CaFWI5rqK0/6rFG8
+6CI4Bsq2x6mID/k5fqmU69VI6Y1aNZmHf0MHs8Hi59kePnAYfMSUTLupdsLPgRPo/vSTMj++cZD
41XoLn4EfGoMfo7019M60Un245HJYlAOSvyw6ubykw6Y/acqSxKNt/fiM4Pw1W+HhQ9dibcHX/fl
b8/cNRkQi2Dzl9INrQSOejNQ1LsYSD6Us+p4s6rc0+GlUgI85ZGJijObuzp1tVK859ykJ90ZikCJ
omtCc9tG3P82Y3Pms1QDGtXewndOnb6SUbQGigY5eGpseYzBaPljtCXZdhs027CkbfT5isLUhYig
g5HSoHBBWyMav3wptZlW0WIbaxBJezjY/bKemxEofTXOP9Wx+/j2N3h1Ung2rMX0jSRo4jW7+wRd
WU+uks9msKaTwMeydR/KiIzMZd76zzuVC/Hf8H/2b3RbykRdTQjESqz9odQiBpVaB/iulvURK4D1
/TA25ZXnsS8soqPOpVrw0UifuEF+P45rJE2r3ZiV89abWbS+CTOz/emKNvVtBgn+ul6Vknr1xXgw
HSYpLVahwm3c/vy3EKBoQ5eN6GgGYx1ND2ANm/vRjBLgTS3olkrrPr39zXZ6HYS3bcFNfhnRDh12
/e7Ml/kwm43FgmmJLl0hKyaDGIiRtDspQOX8G3QOYA5W00NbKFtY7R1i66K6Jvp9+YewedDPgObA
p3355IKm8DI7ihmIVUFBNOua+7iwDcCAUUo/QqLsOijU7l1BtSjm5tzmUxUOI5fq26/k9WfXcCrg
6salQCD1vNvGlpSgF7axqGxKSetIjY612YeOid2um1JL5T1w1LfXfLaMeREisFy0EFiAb0kOC7nt
5dNbADGBarqgSRXKv9yJGNuDRVGBMmHNmyWhwdj/GCvbbwD6oJYzQZmpz8FIVlSmIhDz9LrVgGz3
ndE07a1rxZDcXNFf2TAX3g4kWPR8N2ELx9nXLrQyKkuhrgmwQv9gWcX6SBO4/FBI61vdb7UzLlTJ
lTVf3YsID9DA20wVIK7rWyr3+6EwrTSOUOBVkflomtuxUxWPKJsCM5DRJzWZ/6wVNorrNNEhBvd3
JdZc+jbw84k07Al0rJ+piL+dSSzXE7C3Di9X7Wxes9M8iRIsyAwkNugKAwJCoWhh6uTIfuBkHvSZ
WR+ho3Tws00BaLPTD0zerQBH4eKU13IILZcGowtvOnh7I118VfgobwcID5a9VMqy1HhBjyusC6wn
URjFUHmFwBJo4yiDvE7PDU4pZVf8IlXMr0h+vrrmts/ksi24b1CL3Yspoq+WalPHZ4LsPbzLI+y4
yQTbG+rp2Iu1OD/EXISfZkGH5u2nfn3zvFx5d3o6uQw6zXE2Jfw5uGekZwPE7FCpFjD//8UNuFDo
Xtr+XHIg/tHAQHxsF6WaGoZms0LiBNrWhw1NpSCZbbrUWM4dcThNb6Ktl/b2opc+6u+L7h6P8ZPb
44ikBqljlEfNlPapiqo/V9V8sKRtwutZmmCOR/t2TeTfTSH4qBuFgfIKeW19b/M4DHaX5QiBctMa
RtAQWu6EqlbnHJzUAeNJcWUTXfqUqFijuEIFAylplwODQbCKBhGawCwraLR5lDPCtX5glHhNSO7C
jcOjbdWhhrUix3tXvyiKudYt139QlWUfMLscg6qCaAVKpTy6yzr4jVXbcJXGKpgVkYRIkdhhpaKf
/vb33QkcbZcwvwS/CwuevYZK1+4DC1MtmWDqKm2nDiPWUUJSTlEVr6q8CO1aOu+VYZR+Xw5muEIA
8tylwfpr6ZL3Ro5zuan3801NpXy+8sO2V7C7lrBy0vjuOoh+FPdeRt5kGfCPge0djCLuvCTRz61D
t5D2Gr3mlXHmUk7nRE8FGodR5C9t04ZuSwisNGMK3/4xl46ehRwMyQHJNBYgL3+LXgxWoiEkEky2
Nh5ItuNQIiZ/yhbFZmIKLSGqymvyHpeOHrEYFgidtI3S/nJRaxgTG0EvuM1IEdB7HZ2TVS73Co18
+AJFGlZiKrwBxGWoNX1+LS3YPvz+/cMOgVphkxCi/fFyeScFXIE6NWy3mrGRTnV4p6mKdTAnqIWo
BiehKMC1VluNFttTe9Mb0fyO/xu+bJAMAol32mGUBZ5cnSkBMstrouSXzuuzEBlHieJm/4LK3Grn
JB60IKsqDWgXTDqzz+ZDx/ThioHHpZfh2A5aREQGYsQu9tLetLoiNzivCKD/As2IuR/IYL+BHHhY
mMxd2XCv7zP4/oLEzOZQooNgvHz5E9F/QU1LC+YkifyiVyGdAhvEGg6sld5o965V+UWnxZ/f3ujb
nnr50Vl3ywx4o3Cb9sWNGekb9oFCVSx6+iF2gSyP6K5e2VuvdzaruAwKcUJBXUTsYo7eKFKYkdCC
gbj/4GzkKbBYOQNmsz9HoOe8Bvr0SYropzM7zpUw//pbbquT65PYkVPtv+UwwkaoVd6tq0ATA2+n
B0nuwKGtSA7iBk2Vt9/p6+CBiglurWi3bMn9Xi5i0hCYlkmnB2VNMt00ycZlqzZwbJkFqSgBx3Sp
eaWSuPQh6TxuxQQNOWtfSRiR3oIdZVG1wogqJmtjYlj8S8vk39bCr08goYEOP9KDDlL2ez+ZQRix
01WDHriUCKEmahv44AJWHrr4386ztqUQsee/hOD9jWlkUxrpDQ+USFR/tFKORwBffTDUf7+ZycVM
CwrBKA462uTbB/0t6YbzOyQmtCag6et6mIr8RzJGMYTCngbYMv49+67tBt7iKz0L2rT0m/fCrqvF
EHgUAHeRMcj8DkrMSXezmLke//P2VryQd2DhsH0ui0LPgAD68tH0tclbA74mNIUhP0wIq4WJo5BS
as7iLVM5MwJz7Ye8qmUQw2LwLLkAVkkU9ZqJ8dWfsg+pimzcEvZH0E3qEIyOdPyY6/tg9OoCrgGM
dA8G0eN6TL/C39ACWQIC09r2X0OSf7uJL51PW6OJqNNxoX+0i7UjVxmGlLkW2LOenRCCh8P+HvMl
KOTaCCwqRov97c9wKQJxsYO6ol4hvO8eXYm1XvY0zQJpCjXMM0sPO8PJmEkmH2EEpFcuk0sP6Oo8
mcNNghrkbj87Sw4ZMCKoD7D6zoaKNGAJUdIvh+oRN5GRgiJNrgS9SxcYOTTNUFMln963/2AD5xX9
q+0iQdhAqRUJlScZIW2Y7SPDCXAmWqIerca5Zhx98eUyiON2UUnV9iLNTYIIDjoRepBJ3fXroV3C
ctKqAExVEvIxr52pSzEQEjQ9APT0yNN2PZupn8GXKbxdI+qy0CgHNL9FlRw0m7399r55VgHcXc8U
DGQETD1pSDjbW/8tMhmRqk+iSjkzSAvcy75BVUdJwdqnblA2SKwomjwUS3V2C829Xxgr3rW686Si
wk9WpNYeNY7zCGjE9EAI2F6igX9dhWSkPmcnhDXB8hW1FYxG+oTEu3FSRaI96cqa3KZYxx4wPoSg
ozrTMapBdkJNZVbQ0SzC/nE6pxnGoeA52lvUkgHP2b3jxYY2HN5+CxdeuAb1zdokhdG125dp41jp
+To/w47QUbKk3j3S5ajDpInXKydHu3B0fl9rf43mKbpCcaJThHSGcle6ywAZA3BBWqLEOWdzC1O6
6w/SUMxDFBniACKsOGQZLAG6iA0gOdyXil62/ojc+y0YfPD3zWhdeSUX9jw/02KgyEuB3L+rXKMC
epiU1EpwBLUbB5WINm/zzz3DM+L7iqnF25/g4noOyncIR6K6tXectO0YjY0tgXOHMXos1ak/dZEr
YH+VxsFspvzKd7j4yelM4m9ANsOc/+W+V2L4Br2laEHXavF9thTSV2gqh2MHVuftR3sOvvszRtxC
a5BEGO+h3RUJ6nbCmpyOB2CP/vOaRFCSk9VQPsxinGK/RuzuIQcD8+D26ocpn1E+zfP0ZEQKRNCi
kV+lNnsJ0q3Z0Gn3LRSBwisBLpk+uKuSbdInnXEj5ezivVIjmlvLPkTDtg2UGQ1QQOLocGHgNTOl
iSKJ1BLo1hFEpVKtFWBnaX9W+1lf/SaJxE2koKYAyqlEXEcH7/8wu2l74xZVuTJnMoaP6BHCKqNj
ar+LycnNA9qEyfui0JFIKWLd+i4K/C69BXjFGEyiLpqjZleVOCS2PqDn72qorIgFxR0kkvL+mxsV
+V/aWA/MJoZYHnF5db8oiQHjbOqnD1Cihnd2ZS1fSwDSaFGpenuQYoAK4yi9DtxLWOjjT6IdCJiy
M/xUyfo/pqxpPqqL0A5To/OvdVphvpOVLb+5S6p96IcN3I+xXUg/CFV44HjIAPaW0c9+GSfdz1gM
KdZ2RYS5jmnCYAcqZmC0G8O6vLL3L4UEaiOE36jKEeTY1cUrOYQ9NIjL0GptT0AqvzbFAPpkgAbt
WMCLRqbTV9a8tP/B0HDcbC5wFni5/2M8pJxyE7QxynU6V+xcaEQJfhtz3l3Z/xeXAiCE7L9Jr/EZ
7vLbFSPgwzr62NN0GwglqFd3x6Qa6q8gPrUrUWvnE/qc+VI1bOAdsAoqz/fysZBfr4ZBjugeuLkN
sLQXt2qZ6CcZu3ebOfT7viwrX6pOc3AXWDCtAeTXpPEHf1mp/DgtJijNxnqeVkwKIn1wj28Hg0vf
ekNMbSgDuiDuFgd/exmr0826uswqCg9lHSx5W/h0vy2UDiCwZ1E+3Y3ZVf/GLcDsAtAGG1EJ5OQV
jGReLgo3UZ/xvNUC0KuMu1diDyDYpQ2SapR/lkVm1R5iG/mTgBG4yWPO8RPYxvkzELLoI06TAlXL
fKgftLnXrrlZPlsF7H8dejP0+BEqRgF69+tKwOKN1CI1yNd0iP1unHv4bRoEIPjks3M7TJr2Naea
N/1SN8BFYGufvUsMA4UR2nzpVyDHLeTFqryLU0uCTOxM9d06t7lHJdZ9S3CffpRrksrNWn36Acrc
fpplav4cjKW95hlw4SJDx43mFnGe6Le3bhQOIagqZ3psCl60drr8ASXf9CE4pQe3E/rf30+bwRQi
1sw7kaTcxQ7esxYt5cqn7VQzLNDnBxeqxgzREushz22oKRXH+u1NfOFE0z1loLuJVXKlbX/+2yZu
V2dsKrun2mjSmH5t3fkrYBOYWGZzZamdbvnziWZOZgI22LR6GdS9XMu24dOtKQ8IJAau8RJDmsbk
ChmFHkqookeBXSNphXgNlWbp3M7w9A5Ks2R/2F09XymzLrSZnis6ijr42K882LNuclu4NYxJKiCq
He0ebyyT9UamFWJ46lTdjg7QXyuZ0kAKqK1vv/fXuBCLvaXaKm8CJATS0C9fxmRnQu9hHgZGa9k/
S5h5H1dzFbddNOVHF5bfY947tLbzsn1yEIn+KFfJyKqXvKrEmjzZAyQVqUUV06nLleB7aedzfJ/h
NsAZ9ltxnd0iymp6XwpKZUcw3PdmOx91HHVuClSUr1xgl6p9EHEaR42SDM3UXdhw8RdRnYWeyow1
XcC8TPdyueIEqsIKho7FF6CP5NkYLyq0QpC9QFV649K8/U0uxFaAOhtgjH4L6IPdJ9GFLGOTEUIQ
byccmyiEqyYc6d9e5cLGQ6KZgdXGWQbXvEvHLbsYta6Y9ECgNPSIWPWykeQgk4/9fBCOXgW5Orbn
CpG989BMxZWHvLQ84sjMQ5nrOPp+aMykKCnQzQGLPtKVi9Z5DSq1toMsKvODORYicG14c1nRfIKN
rzy8/fCXtv3WWaI0M5jeASl7ue0TTIrUdKBTl0brJilYWLeDOsI1c7Ty0I/OctqmArQjZyd0irk4
CBs27hBRWmaTlYTYfeeBkYoPjpzklVezbbPd7UUJgcD/1t0mkdoF4BRpPrOODT1YbDkGyaprDy3p
ydnoGCvlRoF25Lpe6xBcWpQpyqbEhuQJo/GXL2QeUDVYrIRNt4RD2+Yol1dQ5xAOxyZ3tW+X/tpQ
b/sb949JmkvMoz4D475bEZJIMs6SFd3JcEHuVdlBV+c6mMq2uUvsxNjGiwPM8QQmHRoSEI/c+VPu
tt+RX5w8RchrPkcXwg2a8aA2+A/Zwx4cUJSVNdSNRKBsTtuPio0hnzLKp062FkzKor0Sby7ceZTD
eKQgFc0bsHdNmTym4WUUcLJSTZRhJgU10kAuablwQq7s9+3v2r9s8Lq0ZVzgtuC1Xn5ewXkrYrcw
UFBABR4tWWYmSZ/5E+50AY4RK5bQILuzVqFbXa79WSZWdSWaX9piZGTgNnnBQC92dzxinV2H8AVH
3q0gfaJ/4amr/VSpbos2CaoZMqt/vP3cF5cEqbThUjbHjN0rRo2gnmdzJsitSY826oSZd9SCLEHy
KgDUgg4CjhbXypOL0YXIsgFFNQzK9iAgLF2RDtUiNlJuROemyGWYz4N1izbfenRQrYLYVjshOH2U
bLHgcQ4rQDrcfKs2sJbKDdXMtMLJgF6FCss1W+hL25zbnsDHzQ8Ifbt/fsu1eliDKIygwWriABU6
blGebBkhQUSHPzSz2b120i9daIDWsGjTN7z3Hp/EVuhgu+jPX8E5azl9ASvT8kPk1BKFbPkLTbf5
Jo/L+L1EQ+UclQQEidjUfTVDqEf/zSM7vGaReOn4MWJAFYTB0Db5evkahJyGiqIYOCagxTXSgY91
BTLT8CH+g4BOfgfI1AYXAx785UoQhtM0BauHlEls39lmkdPjXdFxMecygJWs3sYGTKS/v/VB8jCr
2bBZ5v5+z4Aop7EJTUsxqylc5vi49m1+wCFRB0ZRfwKi9OntFS+9UHBvNqEcFRRsYl4+JhzQItuI
zOQRKK5Pjcm8GyobhOL0mtnWBcwZGQuzNoHPN2XKvipPjSQWWotyr8hV4w8LKbIT4p+3QxYPvisH
AlsJ2yWh5Dy26K/5M83ju6pakIpFx+vWzIoVjLaCaBWJbYiQI3ouI73ppU6uhN5LiQ4JJQh8FxgL
1/nLt5LFXQwPuDcCR4G/pDfx92rQ2pukbRs/QlDhBlfOEXm1BIo7wm9XVr8w4mDIgG8wdgDctfs+
dFVDP4zr2CSXXMZD0RNzh04dP0AslEe6i+q9WmafLGdezn9/M7jUVmxBBisMDV8+djLR7BJRwcKJ
oCmCKtytPStTQOHQ/ydLOSZXG/YyvOfdvjNr5JWjhp3eRRXOayq6Z0WC0Stc7j58+6meZ4/7e5R2
IjuPTtBGXNk9lgP9V4cDj/t01r3TJJL0TdqtoatoqI5Vzf2cuNlNMyPb5WBp1lhi8QVM/iPab+AK
h1CtFfXodojf65UBh4C4qxXoNViU8+CD0NqMuS6OsVWqyIZFk68ojXnlKS7dihj+UW/CBsCDcPcQ
S6sUa5yN5jZ3nw9JWwKf3fhvjd2gfBd3sBFRtL6S7eyscZ7LbkCqG0hqo/SBmHv56gwFAfOqm3h1
zZDe5kQur4zAjMx2nQYtA9XAKMzPUEnjI7p7xS3yPtqV03AhQhGchM2lzA/A9PHlT0iYdkW5zU6R
ytQBSCrle+nY39K5TO/e3iiXn1bgLKkyCNvGfC+XorOLURY6WIEWj2Bve4b0Usx/5dWENENe90fU
uQZfxa4cKXRF8WcklK+ci0uNDkp7milM701Cz+47C6jygxrxnSFz5IhixwbSDygqjWKaTuw+x0+Q
0DxYZq6g30L7vkyFC9rPjW7KNDaupH+Xf8625zY75g3R9/KV1FgnoJdCzYxwhPSN3obdodWKh4aR
CCryAE+MyHUYZGzhRM/1XKAB4EuMWNAIUNUrX+hCFgTGAHcDkzuE37P7Nam2ok+rqmaQZ85wu2oE
qHWplXuhjG2Y1doVcNalrQcIZRtFQQ2AwLB7+KQQIo7hxCtMTtHZRJszS1xKSnoAV170xaUYs23T
Np1DvnuyLraXatJbM0CvgyAiEkKvwEtibpRrW2z71btw+EwR/L9LbS/5t1SymoqF+RAHKqtdlGF1
Rw31bmqCK4dp26ivltk6Ms+gF2TBXy5jOyiyOhOp2oLj4HeLRpAP4if3OiCB527MiZKaVp3V2KiO
jrGgY4jk7ed0AG2JrVZydIY8uxbOtir81W9i39gM1emE78EDydx2zbxdcFhpWAB/QQ4mhqRloLfN
QbdKhBIiNL76tVrvJ2g456TtkmM29Xr49tu5tJHp50PGIMxwvPanfIHvhZgdxyqTEzO5JrunokbU
owIlUie5uJbOb4H61ZNTtgsSeo3McregNEQkmhlykVQfTKPAxKqa/4iVSRyHJXOYO5Q4izUid8I0
zpr7qU3cQ4ot9eeknZIrx+riw8PMATDyPI7YRXSZ1qJYa1xlmIYiGx5Z67ErmiZoOrs+iMRGafXt
t33h7mQMxOBjIxBslfTLrSizXhR901DEtomKz5mVeh3K0L5S19/oDmZBn4zNlTUvHehnALZGR5Dt
tDvQyoIeZ1ePRqAaCCCXuIcHEEvR60qba7f08720/7jQnIjQnFZaobu1bHOFfK+1gAzpAoebFBUj
4W4OiV+o9FWIx1o1PWoX1zr8j8hXi6HUfCDwyqFVsM+goR2Heq7ZN6KX8lxVTYkaHwRIh/HQIW8q
bHg3LanR1KvTlIjF02ME4BazqI+NQPULqQIEpBS7eV9ApTwkaaWDVbGvNdkuJMYm4w3Y19uU9FVN
hs0iwkvmiiBOXaaBTqs50HGrPTY0mAJZ9LSZkXY6t8PaX4lml7YsuThUVFy8QYbtdhC0JddpzeT/
UHdmS3Jq2Zb9lfsDHKNvXsqscMfbaBUhKaQXLNQBmx427dfX4GRTCiIy3HStHupaWuZD6hzhwGY3
a805ByAk12n3XVW2d5GtlH6ni5DTiar+Nz4R0poc1aBFSDN4db20t51EN2vmh9aZNjpxcuSmLqyC
KtT8MjHsw/tfyFtP9vfrrT5Jo1JnK0ZOjf2oIxC/bwziSuIrxDjy2JpDetM1hKaW2tTcvH/h5SS1
HrpLLY3/OtiQ1ife2BK0yVQEGOiD018uId8nMbGjJV+RuL/IS68BC2ELqJ1oNwjvkqbrrU4xBmjK
9hZs3Nd+awBX5M1xctjOoiPTOCyTLyHb8FOZeeMxLlzyQFpdHvLRDHeDKfVDjZviOZmQnTlFc+V1
kUahv3U2A8GIN30CUOj9B/TmL1xctpyVKPrzmF5OXtB8GPMTwSKziYrQ7osfxlhzUHKsdl8vAvjK
cQc/nESOJm3Ud66k94C5Wr1qCff2h8kR10NdGTdqZLdBz0b74cIvfGtVddiP0ZKAWwmi/OUv1Fql
JvstW5orSyjOOGdmUOb6j2Q2pt0AnWiL+MP9nEWpvTMUysC2Y2ckbsfNhVX1rcGE4RNKKqFrfKyr
eZBUXE2OFs4wU+PYLpEKbshTN4/uHEYnu7PtfdebX6BEqTtC3ekevv8glr9+PZZ/v/xqY5XHFqku
QJW249iaH0OqFBhbKGL67C0/vn+pv8WGr65FF2SZG+C4rE0USS9g0sYlwqw00reDPuVBt8TXNqZV
kvK2aOxdvb3SK7LnapI895FaxMcKqitRP6H1gdPMj1wXDx7HyRNaTWtraaPzxL4QuW6hWDe0gKZn
JbORzAs73EBva319SOVV3M3aF7XItIDk34xNpMNmwoLPNno9qh09Kq5CuqM7whLcXV3kxpVFK/pk
dXq96zLip3XNHjbvP46/22vrx0FKPTVjvlWSE1ZvnmdhFlqHVpLFqruPY8y+GPccJMBgKAgFMK76
qiP0PZ/qazgX1Y6AoOE8J9LeJGDlb0tH9AHtpdI3agfWWNXNn+rB1m+jrir2hi0KPnMx/QQnoQcW
STAX9mdvDR1MIGAf2RchOl5tlqlFDZpOXPMW5laynfK42aO3Tve0PJoLS8syX7x6VPSO8Ugjc8Qk
/fJrtUygL11PF23KSQalx5P4iujym4pKvu+MJK9P+HWv339Bb94fMwS5ytwgeTYvL0pUQa6ZHV0a
y8m6ndFb+adhcJ415GIXjohvXQnZxfJOSe97dYbXyCMPVYUrNc0gj2jWT/AW9bvUMS7tCd68En1u
OqGIzRBuvbwnzC41Pl0m5kFm1VHPizLAyRUGujMoF8b3m5ci/I3OBJVa5raXl5qJujUQ0vHOzBL5
nV1nOxKiE7iDbn1hJL4xPPDo0GPFDYE1zF4tN/lkUeUMaYM0bSSPMjKivaWVDXiXCe91usQbKxdb
XW/cn0VviTIPHz+2ndWj9Mw2AvDu6Vt7cL2giswMNRbR9mbmXSrtvlUNpLlDBw/NCkk57qpT2xIy
QlovnZTea4r9ZCOqTNCOBGqs2tdKYjTBiB98pyjN8FXEBcHZ7pJV4MaERmqsuUpWUgT2IuSMRIVs
WbWt3Vwr7pXTR+qHUhc60mij/FnpkuoE+ct7+kbRPmmrr+9/U2/tDNDD0Jqj/WkuGOuXo0IDwPcP
pQWuIyiBeC4gVLTRVZM10akPK3bHnSh8p83Erk6naW+PanplZnm5CYmg26oExW6bfDCu276wfcWz
y0/v/8RlXK7mGkLOqGSjXtc4eS4L9m+lBipZpNyHJrLyCQm16YzNScRq+Oef/G9XefUhun0iBrXk
6+jKWDnFcQZ5h3wBuFLKJXPJGzsMxg0N5yXJghG72upkhPxakvM8kgcCPCOHCM627sBW4EYDaKOH
9+xnxQevMKojetz8wsf5xndCNYW+M+KHRWewGrtqNzGuJ0IQxqYhZq9MxGk25XdlaNr9+2/uzSux
LSczin4bmVIv35wmDTQki4oHFEX5UBrOsAdrTeHcMIZ/bJv+iNJ3+z+Nv7dMUf/22L/i7wXtAFG7
SH5P/MII/W/2HiC9JYyXQCJiXvAh6/9K+IJRvYRqURICFslIXs5D/8bvWX9RBCcSjpM+20z+3X9H
fCm6QzIYhkKEUOzAtcX3/QcZX+yXX3y4FFbJ1uE8xm+gtbiMtJev36D+rVew63xEhPu6qh7NUemn
TdEXyrRvLFzSS/Ms8CKSkTsmmVvUjskZsXX6lMF2+Drq7vRdoXqWAv3QxdZx01o/kuNw23eKzfEk
QZxVSDLSRfzZJfYCass3vHnGzhLmqZBsSgCUBHnfbCnePHItsCyFOOpTs+vssNt2hXdGEf7UNfVd
Fxlw21xQE6gGxkDv80ejQ69tEF/+KVfsGm6XmFANSpmrQUhphtTozJXxo8j18EeTaCORkabMyocx
Lmg84l6hsG6mmfsAbm/xI8+kQylWBFl3UOubqHDyDXITeadYeY++lMOEvnfDoW+Bglp19AnISdE9
akqLeCGpmykJ5BBr/Q+zrrvWV9q+Z+YF8A4KSPEUxe9HAlNTvyJxod1OctCu6S3WV5I8cO41s9P+
c2ciUg5s4dh7wrF7aEQVe/pAb0ih96Oqi+5RuA7XcUtkqA8hHLxVZQzhVjcmNw8qJYwege7V3Y2B
RW+vh06jbEpafNdmOYyf9LD3gtKz8+sh0/Zc+76z2Go4Jcf+aIJSMahKewAgFl0xdIIhDXmLFVBX
pWy8o6J2hGbrLdBnQIDDEALUTiCRxwczmUwU/1W6JSLKPHNmCaoFOKSKM53tR7pXEXrc5sFbuHPJ
QqBztDQFhJt8nsmvuqa+I/a4kDxlQ3guAjc5mfSf8Ls0Gigaxcs/xmquu40v84Wa40SenLZAYmGY
/mMT9v9unsIY+L2spuW9yf/1H6MP/z9MNSQK4L3Z7GuSf3v+Nvx8OZvxr/yTJGr8paINYq7AaUqv
cBGF/SOvULf+QidLx4biChIDd7HX/Gs206y/KBUskFEmQiIQFjXAv2CigEbJZsB6sCT/IW2jPP4H
sxm28dVshl6EUjOS8sWlSIV0Vd2q3cKdgFyqdOxtqztMZRfK4iGqir4Nr8d5gVzFTSK0axG29q7W
jPJse1rzOBal57dhLXwWSQ0kryg3OWia8uiNaoNzraMHJit6gomqfZgc9zM1ibPT6uO+rZJhX7sW
sIAQPpTr1qRdk/J7JtS/PwwVwaGdZ303CxN8RtU+OiU9xq4bP6kAsTZNqMbKvQvTsQWyUCOBB55Y
fDeI+Twy/rVDY3cVmCiSdAU//1DxjzxUJrJ9BEile9ZLBfUbLkm/CCn3FpFV+pAjCG1XtXhbmtWT
qclvnRWfQbzc80phD0Ag8DM3Df2yA1rsAiE9c9G7Tmh4JIp7p3FvaiiBsMvi7uxMkXC2E3hgoJax
Hia/4BdPRKFHMZz5FqP/3ixH9ViqcytPjZraV0mnWc8ktbW+GN0SCJ35gBhXOQ4TQe7SinTwIGz+
i7zIdjHJtokjCH3urM7ZNdpU7JoByPZg4OFRdAgP49x/h9w33Ff6VN3WU9QB1hDejW0O9tZNZ7r2
LnjBtA0/doUkcIrzLbjI0mKjS49+k8Xt3ezJ6igVYzxqatwSl5swf7d9eVYUC8jXCFNWM2R0FIpk
51NE2mPvhgUmib6Q35tBw8NNzu7TnPfmGR2m8TVrPHhposkPMc/v6MqO8I4ukWpASu0CSiMzb0uC
vY0+il0xW8yrTg7VotSeR38Im12qxaB81GGYDpWHbdeXojLBPnmq3FhVPz8OSU51VJbtaQK3c5+7
McH4FbtBoJRWUMVVenYn8PEqnKJ9lHU8Q6gC7cZqM+d7SfD3kyvy/JC6E7x0mH9HczQEPBNn3OVz
WfspfWcfU1Z5iiOdyK3Q1o6QSkoYcX1x4ybYahMID6E/4DTOg5GgWaDqmnnFIUQ528R0tlDtSbzx
M1xX+7DJyudpGPr9RIT5vu7mhpyJebAPRo3qY2MIuTBaGnOTIRm7Mho5H/W4HhjXbnou28ny/Bgp
UmjCTDTAo3+Pe+UbCf17UFph6NO6UD5hSi1AmqPYCLvSey6Ltv6oUK1/YODMjBQn3cIuHe9NDTLe
2JYqMCTZfo9mUzmpIuo/NOmsbIjA+wxjz9lbhQVwXXXbDed7zF9zH18NtUbOMiK3XaXMWkBzotlZ
kaoEI7G80ldV6DfofGPnVz3U9d7zCvPsiOkefVyE96JI7kGu7vtRuWUbTdJ6Xh5aNg83I8TSSuZU
koGkyaEuHpxZr/YMgxuqKA/CK55LvSG9vG4OUDPEtilAJAxeD5LLU64JBf9g9ua32Yosv8M3to/r
KStJvUgfNMVzqGcl2o3baE/OaNqfUMmInVGo3YFW86F38uc01NUdrCrtZswyYyOU+bsBRevb0Ge3
aeg9lmW5ryYtx4FmwquIbuN5/ph77T5s0/u8m56B3DxNvfMxzJttWyg59efCYt9AF5dyM53YvWU3
v2itROdStZ60rP/u6IgDi3oIgzGLvhG+cOuqc/yVhhG9zzlz/Fkf45+hXX3wYuemBV51Btv3uUy0
3dwSHFJk8RbswDkfk6MdK09KPzh3ugm+L0nqzz1hYAtItcLItimr+A69xMmoHAXuoUreXlFhVdGu
bNfa9y0bNmlUO4WmZ1ADgUlbB+5LW5kPcDBa6CsTU6OjzcnjWFvWr8qk8qI40QM5/aU/2NPZzXh+
8RACGyi8m0iaCuXTsdg4szX7kzMgztRo3hQoS4K5Q5ee/zCNFF90nTQb5oxrd+rAwCledprsUj/l
pn7jRbHDSd6FnUFY+qHJrCvi3Gfa0tl35NQ/k1nZW4o+EWEQX3uiPiWCY/5oQsJyrPh7JDkV1tEj
EU8HW22IODVHgtzCa6Os8XoNrCmycX4Sui/9rLDv42F4zDPvTNWaAmCv60+dstjaAVnmvdMexljT
4WHo94NuBKo33GXUcH6lUUy8dyrtXSw9jFqNcgNLxt4J4Fwbh7+Aokg+bmyj3BOipvrRLLUAoAf4
bivp/bovVDp4zlmMfb9p4vmjmjuwWaH6stoWOYuWbB9iuokQmeevXavBNBRu9tPN2uyDp/DSjIZ/
d6OXeFlaIeWeAmr93W086jnNaPrYSZGItj3dB+507+kKIDBHcR0y+IdYnAenlt595xAhD0IUrFZs
AtXZ4XoIb8ppBv4c9hAWNnU2ZN862ScPVc3/ItBAgbpx464fAJaCxqkd+76LwzIABl2hB46hwdHq
xdurFic9a8ON19Y9Zxky/U0gsbkkKdZEybJNPTPZ2FZNtckNrRvh1nudnvReKWBaaoCNd/bUOAFN
jfG5Vkk65zBkABRumok5uoWP6ttwRsZTKz1H2fYJprnH3GYZPCVllNaBntsyJLR87JTqbhRQJPuU
/N0KgiLRxvlOFEYXJGFyiDjFJF35bHUEyZDKqXvllpWFSND0i1oD+ItBm2ym1Pw8ik4eeTB3KtJz
p+62Xql2m9iqgyFJg7CLbkITpHhGHG2csAJsqrHHOptoZzWbvlX9dIVFWm7DUb0nb6WkUW3faZA5
OIuwslL+BhfQ19xjncDbSPNfrgo4FrlZ6tsa2R28QkQkA/I8UieGcVtn2bOwEW10oe1uTLSSbIYC
DPSJ3xX6Y1Ms36ZtKMwqJY6QQfkGuVXc2mXb7HPPeIKNx8zZesSiwNndKMZA3H5pfwRnch1noTx4
INL80omiTaY0nh+qOdazjFFqpjRkh5RoY0DI/TF1E+OwANiAfVnhRN5xNFwDlI3Pmjukh8xroFUS
hw/npfiCATKcN85gg/Wg55gE1SDDq9J0wxuzAVzoWor4BOdpPve9Jx96x/rqxHVNP8VVrqZe/iLM
c1ejhYMuneC0Gvoj2zD7q2g1TuXClK0/N0ML+c7baU25b52ZYeRuTXv8nE5hvcvoGwVNVAPImuTZ
U+wny8wpgkaTeMxzPvimpJvkLiw/qsUsgnBcvnU1MLgpJ9UTqmzLKSxtoLOJBv01xuFKyjRgYauK
iaxivcgQrSV6RdPa4aUqcs55AGXZ2Yc04n2AgFOUHCb1mKYLn3hS6nvixqox940sZ7UxzYrEh1KO
Cxtm0kYCxpMJksMmlVNSw8tIy9HdDWOcTzs9Alg0JRPknxiq9RY+tZJf4+VNsaAQohQdsWCq96rQ
FJVelt02u1ydk+xOiSZD+9oa6nisSXChodWQ/1Z+ionMoYIg8zRGMaqqCeEt5uT8rIoI+8XGiPGY
44bHfoj6oAWNLSOnV9AVZcID8eYV42e1saNfIwK+GUR7Qp854yvixIw5PktOVChab9t0egsTKrTZ
Eio0bc6Fqsb1t0q63bDk8xnaAdcjodN1qczJx4rN7amyQW2mCvOZPxo1Ec+hgGU/q615gjM9+V02
jt25bfrQCgpyOcKvNhc4JyqRV5GfDX3fAGbO0xakVhw/tpCatmYhk4BGf9Gdp6lPxhOudw3shOE2
Bz1W6ClGuZdzx2TnseyXBXKSmUs8u85E5grUkg7ROLgZnMvaXImWPXIe6jeWPfWcTHSl6cmHCfNH
L7Wsbx78E4SziJArkC9QYANjqtMYpNRE6JOPxEPyl5nzrN+JXkTxse8Fo2wAbsbaFRft12JSbGtb
2i4kPTFWmnmYuqTSn4aoVZxT0dAiCYZCT8gCoHGdElDdiqY6RGMzKh/SuJmHTT7WbvuhAM/hfdac
lgnbcKZE3akZtYg935gq4Zp2A+jDGrgv9D+WNulXepQo6M6bWtkDji4KtgAysq8dLU+M06jpcUZw
ZgLzDbkg3dOMmaP5YfRyYPWJlcFhYRqtKzwmpJE39BE+mbLQnqXL9OuXRYhjE1JNvmVpyIcDndQP
qqROu50nJxmvB2tuD8lYztoPFy1oCyFtUgmOkprGkcUnIms6z70obxRya8c9n5g9nEoZOr5KDrHY
m3Hj9p+UVqrVVohxLO7UeqhYbPOJ4zHwR7YEskLOYFK6ItRFs0gjDp/K3LU/JGqaH5MMAKNc1pym
TXJOs/DEm34kLqUQXiDENB5IHOJ4p+sdfXdDvXOAfd0BH+s32eDxXpsKCp0vVb3+Ahxcu/NG0/wS
xjFI2obxqXUqRaUYXO9G5+PbdJqXPw29LW7BDnTxRpVKxharkT3tGDuUfoyN/tnLbHPaqrjtUXY5
0gOwZMSfOfFJsCcEWbSn6u/IwXieunM90u2AU4n5PxylvrFrDa4t2a7SO/WeW2Tbyu7TR3uMnmWq
29dJ6TW7OtS8TeeaN7Ped0HGCyii7lqHLu+LWNy3ETEcrqjEKUcknHGW1bLbJhK/JsK3qEqVqbeb
qjjaDGjvg7oGDtz3Oh1XqhndM+HD/4yC+qNq1X+sQb2oVP1Pq70vzf3/XHrfNT+L7/F/PZSdjH82
xX8t/I3/Xcjn5rtMvv/X1ZrDsfxl/yhjOc5fVGdoK1KKIp2CMtG/yliG9xehhYu9kIo4WQGLmf/f
ZSztL9LaLQRpi2EHURql/H+VsUzvL1qMGOOxUC2K3j+oYb2sx6PpIxIEg6dH6B6aD0r8L+vxArmK
LOco3hjgzB9Tw0lv5azZz72KLikzethyMlWD3x7c3T/6dL8DcMylm/V/23dcdWksLl4DYiPYkawD
5BQs1dloemKTpdQ/uhvNusqcb413NYsPpiiIHrpv9Q+1FEFeNj5Wxa0mHjnCmkkKPelLhw8MUs4x
b741iD96TcFCd9DDI/kER4CHR7u7L9p+Bx19M5gRPKkr3Xuk1x0U9A0UcqA8dqtmC1i6K/Y9541K
Ja6+orLlbaRzydq58ie9vt1V69toasqDJORtnAf3Ormp/c7PfQAHO6DXt1Vg3GefmszXNrrvHd9/
0i8LlK+vvCpQQphV1HDkyqHddb4xDrdh8xRpnEmL5Fc3Wkez/fX+FVfN49eXXDqdv7VmqYONOZY9
samObbCrg53cUvzx2SLvw0N5tP189/D+JV+N4Zejae2umMpyQOXGFeNjEmS388bcDRcSON+8BOZ4
NBIqAQTqSmaidf2sSV0R+FO+z4DebOsuqutNWX7KxZf372YlOfrnA/ztWqvRgrTWqXvBtaKbgtP/
D3dff2wO4xki2VNxE/2MTvqtmfjmubiP95H0jUfSkIbP7/+KVfzB37/ib7ULrnzdppW4+hVm1naN
AMy2aZWAmC73E2UywMogXyvbj4Fdamh1L+jclqe4mhZeXHM1WnOtsVWp06VpDUyRSbcv5Nz60UhK
fZnOuwt3+PpqS57q0iolCnjpvb8cqK3LKUGhwMcZUDE37J3H+8hzQ/hisb0toJhzCicprZir/Nr0
2MsamFme0ZB2h7Y26jN0+O7Wpglxq5Bm/5P0W/PPRt0CN0DgvUQb8Q7oW6yeB2xGjfkvUahsxOyG
EG5tPS8Jz7inxMYNlYSUn8a6MGW8lFbgyCJICfWWZSxKnUXY//KxqFpO1ZPz/aaLrdbPXXCdNFSS
w/tPf5kFfnvVSKi4J6hLyEuWlXEd4p3BiROJ204H28V3TLHF7qQv7MJ6bFS1uh3LyTk3uTapfkoU
SbJRCR398P5PWHPQUEBrIHC0xaRq8SvWGXRa5dGMpq580InyDCwt86g2DRWtxQQLnpkju4qqr7Hd
LDJhrzkLIn52aaJNGzby4anv7PSCaHk1zaBTWpxQJKvyXHjz62c/l0TXYxGtdtKwZ19J5vosqro+
mo3700ic4SDZCl5YjFdOLFphix2eRhvdeA83/lpLUxposRUyjnaSbvMDaGZErJ2XfnR0kR6IQWpA
/MYUI6jNu/bWEpNBIcxoGzJP5x6yQ0dw5oXnsDLMLb/J5WNa4FyI4ok6Xc0+va5iC6vnehcjToAv
P6Xn0OkJgUibcKeG7o90yE5emRCvCoV5K73avr8wOthf/T5Clw4hREDiHzxmBxJBV+uYNYc0kdji
75bWQ7zhCKsxKrIeKSfWwfhDYQt9QO5J7i5qSld9QnZcPztqXto7rxgIEkHDF3678KuWr++374Zf
BWOHQYJpcvnPWkVH6adV+hpSI4KyYdwRizR/EEWWHGD35h8cSy5NHrOHtGBE0/hdIityt7jNJ426
TSPu3JwiDCY7RykDp6bkTvsIYeiFX7maWpdlEpUirCEMlmhn10kLSMqkM5Cpd2AOCK/GrMmfNDr7
QEAie4PeQ9ulhtb6Lvpd36J0cqynoQygcXtUjfRuY4amu5mldccXl+7HSHYX9E6vBv3yC8k3cdBX
eljGrWWH+tsuJZ2MFkaEZsOGmJzMh9OC7LhuqY42le4P2sjpVguNQ5k0Pa+3IZIjcjVKuaHrq1Au
LyxG69e6/BxGPQocTDZY21aDraoNKVFd2AdhEvMANDonNxADV4fO8MIi+8alELGTXUfSAf1rZyXA
on3XJTlFpYM3Rz/VBkfLYFALzlFBX7jSeoJlGGhQO1EPeUvyJvrjlw9Za2u8z4DVD1Mjvk9eAuk5
p02sGwVF4awwH/FN1M+dQXvAlmmD+bJpNlaNbYzaXUwVsy4vfNX6cp75/ftZfhIaJ5ywhORwjl+e
zm/vfTCYxJzYCg+hlOLHmBnmvddZmAUz6j0U/vZM8uU5o/WwK5RG/6hNQ+cPYpa7kQbptkI2c27t
3o5paLjgTwdZnNK5zfeyFOJDzXIcEMHcXFiTX7+zJQ2NQxrRywyVtasvY/lCdJ+Eh6535qsk8ejK
dLV6yEKM0he+3eX9r54QCUzIZdHMAktYMwrAXnv2iPX3UFZm9+g2IhLobLzqkBK7RUWbUstXy83b
n3FoGDud6I4DXY2KPjo8wUtRNevN8DKElsnTYCZeEtvXTtnBGvn/ez08SARZD+UQpvfmaLX3VTwa
6TYLzZjirTWBgZJWr/wo+LQSNA0V6A8XYdFOzkJ+LK3Kco/9oLT1XtTxWGHOzLx018veuOogiD3n
lrDKg5NbarXPG40jYFOJ+U9XteVmyHBCJ0KmEKEBy7T52+CjwFj3UcrNoOB0djQ5nU040AkQgJ8D
CyvfLq8cEVBTBz7fzAjLdKfbv/9+3xhKHLgXETs13iXu+uVvsFvhEBLJB+AR2bhLqmzehz2BV7me
Gpv3L7V83quRxO4OmgZTGyqZV5lOam+70awqgO5Da9sZPQqROWoDannudjTVRUSB2FWWTnXhyqvd
5TJqSNxH7+3iSKXasJrjMrcYJpHWyqGARXVQ1OS5rOj8GTUddi2tChobhRrkNAVuywrdwPv3/cYj
XnZvhJnpizl0TYlLGuLA3FlEx6qMrKuwm9S7grFH1LV36ftYbxiXG/39Uqu3CWE7V900io58su4B
24B17FTiaid2ddveQs9YamST/Tfuj7hEF5U7UmVzNYxzas6R06XRUUZuH8hW+ezw6d+ozh+Gn/Hy
ltuDVopmFcsFx9CXg7WPdV26JU0Wm1PJFgIHeggn+eLMfXgy8tB8sNT5gvj99ctj6iMZ3VscLByG
VisxWcrZFPFIj2nmVTuH7tquVTs8gmruXTgDvf4+lkvxDWIdXiw6q5dHR7AZDMk4aYUoc1+1S477
yZzVNMWMInAbquukJHMqUeILd/l63CzgSVRrTAMWIrrVg8VJJzym8+hokFNyVOgM+OC/x5vGWXaO
SRVu1XG+JDJf1xR4nXwQIDGWbf1CxFgXG2mza9rkRscyrsaRK+qkb83NPOV+PQ/50SHqEJ58FdHU
cfVQO2WTp9TU/oroSznGlyoAf8dZvpygKLqSuLaQv5kn1sH7TNFjMaceRX3XJmqOHKxD3LD9tOO6
3ZjMIJu2aKytninQT1sxndKYs5kdKd0+dOgm9H1GlniaqvAmtBLxXdvBKx5IknYEMpVCbQPQg3TI
QlHdZabbHZ0iTY9ZQQZ4tjhgJSnVd9oYGtdyMrKTiqYmEENfn8bJRd/rSufCRuL1e2c6hNy9HKnI
I1n7fQYzKZtZV73D2MXbRr+ZG2K6raeivkkQJr8/TbxxrWWzwqaWc4CNiPPlxzti4GvypoiOSeLE
13XnPTlapJ61iqBQr8oeW2K9g/cv+ercuJw3oKEtAXpIP18JMpNMl3MkvegYifBHpRnRwZYxvmMm
qttZ7dpD54Sen3kenhtpOPiQp/DCI3599uEnMPNzUIPFwh7q5W2XiDnlrCtMIC6+GRQtzwotTJLc
Zj2wh/TPkFLLFGksqZkGUXrEEOCDe3m5goh1o4poZbrF1J00Jamv51Hvr7JpkhcMfq9X1aVbsPhE
2Duje12tqpOkCTjEuD1H1z5FZUigtJM7tNPbbE+mlcP+PQwfbBWdZG0O4sIR6Y3ZYylLMW2RR8CZ
zVo9WJtdotLPSsKyWkJ7mxIXPqNB+iaSOeSUznxop1z51vY4SN0ynG+LUvmc2L1ziYX3emAvyD3N
4ryGNY716eUjdzNh5SQ7JUeovVQE6hG4jzJ/6bLBuG5iA/GhmPoLH9OqKsdrXq5pckDEvE85YrUs
hY0Y2plC2NE24KiFmoiv2bL+WQreMpiWXN1FbY1VzmWyfnlnned2SITc5DgUqhVkeq0fjGZG6AW3
6EJt843BtDxB6isUGSF4LTf8217Ya4zBHJxMHLOy7TGVWY8ZvtRzSR7+QeMYtTGJhLwSlYp0rzCn
C7bR1x8pN8reEEAq2wpSj19evdLKLg3dShyLdsyCMaxL+rAWuofSOM5o0y58OX8HnL1cabgeI5Q0
Akw5dO1eXs+UcuimsRRHoRrxdrCdMehNMDNTGEcHgfbmJuyS9qRGjdixWqUbDRfJIZYSQVvXFDuJ
D8IXXZJ8U7tm8mVaOodJWuGWLW0YhIMlztD+zE1XiY5/WER7JSzG63BW3E1I/fXZ6uW9Ybfy4x9P
uNwY8yx9yqUwtW4TROhJ265oMdC4mvA7184DV68nPw6LaC+c5lzHrXoaRnTO7sgfjqhlLmxH33y4
yO9Z1zgpouVczUutMnTAoJL0iNelDkaq21t0BIbrl632CU+quCWvm5cbj6V5sBxFXumF5T5pWj/t
1d6ND3pZf+mGfA7aeElwsbGR25FlHVzF8K4UM6q2DvvrU6Fx2OxriwYkOMyCjcrwbPD35oRE7lt7
vhRK9dY8gyOLTTCzDfvg1SBFhAWfJh7FcdBMsSMrrwhm/CmBkmHUwxNTN2hDLzFbX+9/6TNAwyWh
EO0s3a7VSCV6tbeojRxru7N8tYRg5c5EK3qNdYlL/sZHSPXdYrqhyoshbPnz36aAJGo7TciGsaOU
uOBDNTp3kZrtdEK/9ikb8QunwjfmUJ0lmcFKzhef/Wp280hipc/CWNVaDeWXiZIPeeGl3ODXu3pU
vktmDknGVJDXU4syO2hDolkcw8HuD5RE4o1M2mGDTL7n00TMq+B22vLdhBeKmm/eH/V7hyEDR2/N
fpCk+EGRcgXhbm53jXCn/DSgMLl7/5N/663Ri2Ibz7hkLltt6/BDxBQ3FKay0dOCMlLDa5RdykFx
lPTeDtvqwsr39vWQCXBaWc70q9WWiOa8GTqeJ27cwHLbkjwtMA40xmD5Ivt5/+7eentsMmh4sqWi
+7WaqFOSciPP4WpOq+XneOjSrbSK+TCm8wbR/7Vdj0+REpUXNq5v3iRdML5y9Biqu14N6fc0YWGJ
Y1zp8V4Ip95FWtb5UTgp106iWvfv3+ab1wM6vVxOoyK1/Plvn56sC9PL+zg9WpWWYZvIyNYQvDri
j3O0lIN34dN7Y7UnAZlKEC10vor1MmEUWekmNWcf6px4M7VOHMaWbaO0PQeTn1kG3qSV1Fi9+IAh
ML6w2XhjUmM/vuA/lpKvtt6Ti5As72m002PFvflhZ403o2i+ksIsD+8/2LevxNDBtUbqwLrmBSgp
9dI6zo5aL8IgSrzm0CT0yh0nTy987m8cdpiuKLCzF+e4Q7vs5UucRD9qLXXnY6zK+FtqzPVxmmpn
V8+iPiYYuY7RWLjkzc1ElVhm+2T17cUT13KR1c5mid0gGmep0OKte/kjyH8ziv/D3XlsR66cW/qJ
oAVvhg0gHT2zinaCRVaxgIA3EQHz9PfLI63bOqXbR0s96x5odkRmJYEw+9/725m1lidirFli+hN7
qmNk1MpFG7qxtigNaawjz36elG3RJbnvFDwGWX+MGkMf/vrrdy62qN8+D5F95roOF13Eqd8FY9eA
OGoPm3EU5WBZsQyK7lcjXes+wCW5HbA1re5R9pX7sx7rbDj4bjbfLMPsvU1YhBGXfeub3y7jrVzG
dcM1uNgvpRHoK2/WzvMKssoknyrrhy1cRB6bcMGK2NY5ikX1pmV7RtRQ96onk7FnwNl8ZaKdyQ73
i/e25M4UsoyUKRfH2Cr67Wwrq75rZT3hcDeMc4M3+cFwClp02rkBmVN55kqq1eVgmg6Zj5dV4ACs
YmdrZar9FmuTW+Thks6GM6HBM56t42yqYYmVQ8+Zx6uaMq7KibJGz5P1j87ZwuemEey4zaLmz7Bf
69vQrIsX19j8IumbgqGzPzsZ+Wsis0mhQC6leTv4N+Zo9beASUgLOeXSvOJ0XF7HMV/8A8NGPhtg
aVXFq1vAUw2z6GNYu+m52QwvSKHaay8WkzS+ST52EU8gvqFjicZ6a8w2/6aWToSxIf0qIMUrxTfM
wb1xYNgWLvEGtziurdK7mcP+axblcx4YgUfOp7VeBxLzy9FembneIbDPn4MZ1rvKzHwnRhwurZRM
oXO8fN/BPdmeaY1nWpjx1xpeS6ckZ7BELG4w7aglXF/CSlefxFK03PnsNG8uIKI8baS/vkWW9IMr
Bt5unSotgrt+W4sPrxJZdBqBs5/AfjltXDZa3W1E6aI4aua2ickcjNmh9brwh+iahT9f3WHwMXyV
3UaLP9KhOTNbGbE9WLvFyDaycKoFWojlCCasIaLtW0PUgcwfyNZqV8lAU1pd6PapcfqlOzhEH45u
0XXneax8LPseClPpm7eh5/XnIBwRuTM1MHAItNaPfbsRGx0pscKWuynruwnmSxMIUuXNZo7mA9UH
jRtX2UI7GEDaCh68P5vFoRdmflT+4KxJhjU7TK3Jv+1Wf/nRDtDNEukGmY7zeZBD2tlmTXTNa8yf
xZZVOJa2zQxBh+T9qz33+jOfqjLCeheQg51Gs39zPNF9RW4tvznepj42kwA9D/MCnF6ul0xKPpf3
pcxXLyG/5316ch7NJFsGgts2fp6Zx7DA+rd44zc1kJuIwwwXYtIqz/+YqB9rkpUl6KMqq7ncwV6N
Xu0qKA8C8dGJnVD0DRVdl59Tl0RxNsxB7smcO+vTQyytDtm8hA8Mly6VklXnlknFlSaNZOE+CzcI
r1pqgeakFgCjEhoAtYiF7bbvEaUtOg47QfqvF2tO9ZpdO1cF2wegP+sSDxuxFZPoYld+DYA0FXEB
t7yKQSpJnSizGPO9atW67upCKDLz60bxhyj9+qFx2umBaksyss4S5CnLwPijm5bmxXBK99R0UBJi
s8DTSWRXT6doXpznrWr1T6h3DT4ukWPztkSVTclUWaTsCRAZGMqKWr2NsxlVBHOd6T0vnXYE1LVR
bUbRXPZjJq/zPK+1D0YQMdSlOLO2iST1qmjSArOpi5AMX+4UqVI+T23R3NXzkBFZHsYFU2cjvXNp
bg6X7j663HPbcXko3Ln/DtEGJLCteHT3amzsL2z13k8z4/ITb9TSPIzlSITI0KVs6VfUHo+66MUD
C3iuKQd1Nlr8tjX/mJHbtoRHTzMH0bKi+6xaPnXWFp/Bas12bGo8JlACzEjTzrBFZ1INkZNOHQOk
a25HzvdaBYugZ5jmNmJ5k2ntePOIcM3wqxOG9TVdkoP8QX3rtdzEC7RDV+37ChcPFxqVu6cqGHvz
gpge0gbX6ZxmuNzIS9N2MqY8C13x0BeuuW8seg+Pnb3p/GoyClhhTKyMR7XBCNuJchvPk1DFOQp1
9DnzZX7Pm+mm8aIXro5lmfqKzSaRLO5YYVt1A9ltW3clD/Bbr3QvYtas6NWsc4O6hdxe6Tprm2zb
UeJki52qhPhe1k7+VllD8cyPHwMcUBF/p41Uz9WW6yiIhcHLEiPpdL86mo5UbEmjeWrwQz4pOKsT
/6iaSKK1LkZPVbnR5nHWchaJi4k6RrYsxztfUomHeuntm3qoXJ5tsihN3CppjLuQuG4OKzbLeJiK
qhY8EzIq44jhyCyLqtqthFQlsR/OV1sz6QCKcSGx8mNa6uIqmnOww+FCUdjUWW9a59NhzmcdEvDq
4ZJ2YGmveZjJSwfkNnXaqrnvQZjKJYhrp5N3UkUYhNfW796aYZjuew6IKrHJWNIrXSA4J2QvYLHP
fY4J1B609WoUXngb9hu5tj+OMv+Rz/7/NQc9p+H/s4H+f21f4+eHKD/af+Y98H/5u03eM/+GfGNy
L+dEy/3rcnH+O+3Bdf+GQR77PENrVElSVf9tk3etv4UMBiO8az4SAteZ/3bJO+HfUMZxSDEJ4NYW
caf6D3zyf75bB3ghMANB0UbGYlpm/q6MboVZlKsqzF2wdeJoDJnxZii3+XcOgT9LPn/8GpxdFxvQ
pfMJg9efT9NtpC1rC+hIqLI2OK2B2+/89pJZ4nTzsjruz5md86hHG/DK1K4Pfpn33E2t6sNfannr
s3oAHSZ7dNQe56itZmEl6vPvWG5/viX/8THxTvI5ICKicPx+JxdYOie7aiEWOu50WDqSU3GzReg3
cvnKGfffilBjy4OnGP/TI/Pw94vFP0cHfvMU/eNXI9pS/AqJkyHLb99Qac1iDSt7t7FCnOd6ki8S
ds5OOGrcbwr31EYs6aPJ8pLiB1O+dGUxvbiqnG4bf9wRE/935Rb/w6PhISPzqPGhfCa5f/5EZXFR
R1VrsTqxZ8ULMdI9d57mx1//y/+nX8PsgyTIBebIF/DnXzNMlmzcSS67jtX5VBLp51I3j/v/i9/C
+3JhqtEx+bspuvP7dnBDgq6i3iJOmNRwh+a/czH+D085MzpGg8zoLGaDvwm22VAB5KgEpxk6r25d
HxPTqtvubE9+njpbJpOaU+Dur/9lf5YgeHBYQUDtM7DBzMlrfPl+/0nysB0KQaTO7N1cz+80Cwlu
cHYRA0LI38l6ZzGBw2Y/cZ5OIt15z3/92//lr3f57awgOOHgXqE+/vm3b5tRLBPEqp2v6wcv6oIH
KpLV+a9/CcVw/Jj/fRvnH4mCeRFugWEiCfyL5SbvrZm3kVZ3Yp1rOnvFfFv6eYlFzaHjZs3zEgrx
Wu3gbY+3uA/oAbIblzUGs1Gtpq/IXuR7b6548AczJwDvamd+zyGs4DXz5uvi4rtVoSjxQVdMjDP+
RQF9fSQ8wrV8bC34AHG2Kf8tg8gCALSijRez2KXgtdQCSrB/YafYrvZjqIbqiWmG2I3Ssa+n0asf
yZ3OSVmM/ltVdRtCWIRFyq3LX8HgGt/xaK17rWadrvyZyeuyKO/KwddXbh20t/VY+omzrrC++pGw
/1B/rfnUfymvvHXqJbtSJbTLHTTbbocGmN01S8d2T5l0cG3OdXTlDD7hVExh28/NrdUVuJH+itqV
8mni/R/i3BDrlPQ5Q4Kcb4qjbN9bb8ov510r2xforWPC/Lfmv+E6eVNyy04KThCgdnIcu9k6bTGX
h2yfT1Ofhlzh91G96hf41WsqSiwuxkaLtJmH05jWEAY+cmvF/T9O6McaUm6d9K7YcB2q7rw2tn6d
wI3t6oHqWQKDnpcKfzmGXFrjpqvJ3Kz9cLKn0jkGEsZZ4BrVYew8A2wFf0JgFstr0Y165zuje/D6
JT9yjsljdmmL62znn0imckWfQ31SQFYP7NLBuV/N94I/zkMYOHuqfiG/+4Z8ACYdcfGTONfMTh87
twLDMCO26ezbqoxzruR6GgAkV2OwMtTq9puY2hvlWR+uLgumVJyr/Kx3j1BC7CTLK3UjFzAGSPQQ
dGvvKFd6wcoSbckYuuk9UPLo+BkcALqsyX7GDcde7OoMwWbxUltQQyrzWgn7Eya9jHPXexDVdC79
csPXL/pTBPf8wR/D5kT+wz61XX1ddNWdhZdphxtTH7GzvIflsSu7H9KpbyZDPbe55OpC/WFmtq9e
76D65Hxjte8ZO6vxdGrn0czdKaPoh6mjiCt6sGLGmdAQkJN2eoGejz4Ve/AqOHeWcefa3zoG3kdj
LM1jpKKcgP+m9vBHYG/Lx3D1MuzJ7pRWhXNvhuUdt1UgqqaLJRnfVdzjP8lie6SByM0smyLy6DSB
DIBkZ2/nyYDEUww6e8jG6pPB/XQgzK4v+DO9a6t8gfOojFgZY53qNtiJpllvNZpQDL7GhAw06ePU
OdfrMB9Rod4mEyJoKNrXVpt53C3efbm1j0brhE9R1+kHStqjN62GjUlnfX85vz+0DbVHAgJNip9+
29mj/ukN0EycgI/t9Q9+vhzaSvzM1JbFEwpKWtBxnGqDUgPcHE+d7d503lJfZxVfWmS9a9HrOLDX
j7pqL0i28HML+yNDHRBOnFZgudvClt8kVb0xWNtxp7lZ0HzmNj9ybz3UTnCdD72ZVFH3anVb/2KI
5acRhvmumwGv1rVxZDS93U2LAWrQAenURqDvnNJZ71cOfXE/r07CU0UJvcmjJSV9B4s/fWarxZvn
Fwdk7HdUvPuuG19CUQy3FKzKvdFMvKCXRXD1TraXV0lULeVhFTQgDEEEm4ewfu8bO3dZH60NDXnY
vH1n2HWi1z9ep/phMfE+2KXjsR70wEIiFvApOEyjvJqH8pOc9JUKlHPl5Wpz42b90IPRxpvr8aDw
J+569TIW+Yjzcn1TUXCn6JjcDXMkUnP0sp1L9dMnbVPE7JF8T8Isnhjuvq4z2ei/3qs4K/7LXvVH
6QGHDU4A1r/Q3cGtmNUggp66LGNb9zWXsXZvLprgqVcHxlcIe6gmYD+uvjpFvh6BWeBB3lLd2UO2
X6QszkI0PAvZAoghBT/bfc6Tij6ymjP03pqgGM5azt8VaJpfuTt0bmLBhjCP3FbpZR8mtb6vIio+
SdpAIZmqVXKoavOs2efK60HgyObDcS1D7Uh2ez9wk64PWGaRTebGsCiEDsLmV1Ab1Ydyez+HBBJK
fnG59UNqmiVAnDUPJmMP+KD55JGz76Vhjg+ml/es2Jrauv1KDdID8IpuS5ocIUxnJggQq7Gn5grs
yuwl60bnBqC3ZWpSQ2XVXe4u4dnssTYfwsnW/WmZ8+UDBABZwED52wdogSVn0/HE9liYTgaybLio
EB1+rRAAAMTEC0JolEnOUWyKp6alS3wOs+4HEfqh30caCkQ6jy2LmZvJ5j6kCZK0LkiTJ3ImlJ8a
tqweYLk57CiMFfgyKdkJ47y2mZhXlEtc4GDIB73rWg18K9Ob00HOIXUTEY1zjt8FTSrq0cXsaAOD
ibl3gTRrzCJr0qoam1thl7qLDf/SDyFtZ5FXjhnM0Q7jiL8kjQmbaN/3LXLr3JbVyxIYdpEKpbF2
GbIL15T8Eoj8LIdGvw8VIILrKFiiBo1cZseAAT+BWxM0exwoVP+kKodopd5W1cSD7TqgcxgBCr5b
kOU/vYBCQOzm+eAls147zKiGJ75wPrG8N7puUwT+uqfXpG45HBQX2pc9NOZC2d2Mqti72D1AruWN
f+R/+l2tAACuBayIYacI/9l3/kZhxE3gjSEtcI3bTtgfIS21ImnNZcxOPBYd6edpIe9k5LY4ldrW
2zOCEEV62CSzF2OiwCPJCmxLOxEI96r0B3dMl9pylkSRYuJ0RCLP2UmU/6exNVmSuyBbvuE4rKq0
YDfokV9mW8YBz8HjYBcmHnR0eidG3Zcy6b0KlzgwDWvX4yMEbWPm5oJA4o8s6ENOymglMdjzdFXj
N78T8rVgDv3oW9vyyo+kj7EqyuqH4rLGcKBePux18B545Ok/1AYC6XG1A2p/TWbZ96sztHastoba
GUuN0cCi5AZv+YAR5NL/O1YxgC5Np6SVCTPBdgdNtdE+lbYKektaw0/5MRFlEKmRKcnW6BRzsWs8
a4S+hM3hLPJghKRhdByghGbAtWcJDwi59Xn5YhhhzeBMjHQJbd2mb0Lk5w8Qq1OWLr7NFgaBS6y8
Q5PxbGUhX8TaW4ve1daA5tQ1BQ3yjIrtK6bpsroPLEX1ZG7YuJg5Wt+0VdA77GczjIgBfWvD7BtN
MjbIqNyOkbl6e+A9LiXc+RS+z0478KjbAEUYalX6Hg7TPMaBAHyC+w5tkdQUcJV4rJzodTNpqL62
/M1WgLEV8DDFcIemnrArqY1WUGk4mIQfnjsuT+vY2f7esmoTWu3cOnLPMuE9N2tpkqHvGiJYq1Fu
LGBKkgWUPtm2dlqDn/XqV4wrxnW4XrbOuJtXM3vZotr2ryKeDrGz+IPNbPJmUV8tbhlt8caEiMuC
WFiIVp5DquesMaIkAqqQ3PU4ve6X2Z6mpFir7HEIZFYn0tRuyemEdyZuCcCg4kMiN/dGZcALbvnj
/WR9dW3AtVwbU2kx/4mnSLiMEXRe7NbAAckIVVHcY2i3hkPl+dmd9hZCZk5dEfac7BIcm9ly/oT+
I9pq16NsfI884X7H1WeIRHfY4tIiXCqK6YJhvveHdfxEcRSMRnK4+bG5yu2RW0b5muVFX8ed9px7
F510TK3Nyj99HpFTs5VcHoawHMIkmmdkEzeayJdOl8UqXrPQggxpj+Mz08rgooW6IN8W7loYqczZ
RH2ti/mzYDDWxMVouB6MT3tKI7/NL4OaJTq33eY4Se/TlxFvZAdu5rofHsPIKH70rtF/0ysXlyQL
2+kjcw0YClXo0mZitkwmlxabWDLyL3szsFsDZ5Ml9Vk0w/dPqy1ksdMUKwhGk3yM09rPWCudEp3+
wBw6+2EPi/uF1Y8Ru4NV8wHrvvEVeYaqufERl0iXMp8PYZezc7YMjt/NJu/kbnBU/tKw8ldxYQ66
240j7ahxG2Zbd3PJhL8z/evPaoY8E9cejpPYX0MGDr6bt3DRgmibY/R8tqagFV7MX5qTY71mrGMz
Nen64C559VRzaZjTQiw9zCbEsXshubGOUJHYB7zOHxMwfjRx9pWyilhbCgJ1Ti5+O6FT1x9OPi37
fDYFbwB90UDtA2T8JhDFk/RkztHKr2oJGzSCFGZLx2pOxWRoP61UH/ZJtVGfAxcT+YiJW7TtMHLN
321BBzA2tY25HesYD9blLkN857udzfNZ+spZ0pLM5sMMQo7zBhsriDcsbJyL4Gmy4Ym6/ix0JETS
NWap0nEap+dq8sN7mKquk4xBB6kTYullGhUx90ygTtaP9lgFU1wti3TjyOs67jB5hvpeLcUFpmYT
yWuCrXqRWnKXWQLJjm4Y2s1jA9f7cGhBzxXf/aZ2Oe2XxZvRWP4S55jHruHU1N71bIbDXYVYcR6X
1i53tp2FwC9Zzwpawtw628MA9PpELpfagzzKQGIL6UIkDfPJSYxLy9te+LNc+L2grQMzgMpp2X35
sSzzVDMzqKfwhYuRmNIsBLb7NGWO3Z48MeVXwWxlb9rusPA7bEhLUrBBrjvUSvmtL72FZlOmUv5L
GCqXKqaKXr55F5Z6jafNnJEglmAkPGbZ2asncWFcN1TbPdbq0mMXcIBQcdZI2aX2IDWPNIe4g6Oj
wdiJbh3enEALqDzluka3Pb5dIw4NwP9xY9jW5ZIb2LcTRb9emm8F06UmnHC9MfL0DhsGAGff2svw
jeBdxr1AzMUXlV1shJQY8/B0RbF5sc95TiWZMap8F01u/VVUAwuIXQ05CFhYYUBWG9JNrqwmFVct
4+f0r8/vv0FNLlITLFKMeyBcQuDxv9dH2X60BHaeS+heXvvddvOoIYknqhVGZ1/vu8G1vvdeY92U
7tonVi/HnWp6NVB1q3ld6mjCvx3p5TT2Rm/Ent1Wc8w3YTkA3BbrJ3iA5e+f+T8aqfz/iS5CYf2L
wcvYfLXi45+nLvz3f5+6uD4Ioku6EueOj+HzMlv5x9TF+dslu8u6fHGDUorK/e0fcCKmLpipmIVQ
JwA6wQoY1fyDTcTUhUsERG4qgHhU8R38J1MXi2zrn2+JJmotbAbseASIISP87owb8SyvRqBK4lCt
QDjrgfH7MDv7rQAm5uIq8ghPM8cO5BOIxfAAuuKdQVJaiuq2gJTG4oUFpTzla//irP7VdGlA7cAo
jtZRjiS8++E4UyeKILG4+4WM2Zi3zXNlTMV1Vfanasq5IEVZ4oyjn1qRqN/xNklUuol42PYIThYW
fuvYV8xhbk3YXlYlmIzguOCKqHDgINIswfKZZx2MUg6EiXHZnMl4fxtCjU8JOPWmpmdjFXni9vMM
MLC0H+DQM1HdtrOU3oEZfXkr3DY8+2WjHgkklwlzZ6zrerKOyzhwbGS6MWVGd6+6b1PWPZk4lB12
+Ee7yiVU3JI1SzHHXDIudSDWTrIqu32ZcYECaxc9TWA38qz39lFT3fXKkcdVk3baFqcmU2Husbbj
wQzUFheNmhKrzS4laEQFyvVtYEZEBAPhc2uWG22zgSpr2pMNjva1AGW4hNBC1YbpZqywfGTh0+Qa
uzloJEpE+bSs9ngkV2g92pPydxEeTIzWXCxW4zxlb50mTzEubL1AQ2Lo70FqoibKLXjpjenLsZVO
WiOyE25sbgq9NJ2hp3WmPHiz89o2bK1Wsb1nQY9vtK4LHAf9GANj/mZjzoqDdsJdtHTjE8H5NvYM
QCBhIM1Xw3dkjIzwFIUob8XdChvOr6ZXGoXOkACvIiubIabnN74EWulOLtogu2hctmUiV3NM3Bkc
w8bF/JnDdnQ3oUjsza1/R5CcP93Ono6tUT/pMTgbMiq2xCu3h4Z47K6jT+2iJBWxtZRcBw37xubm
lzqcEy8Xe5C9WXBTA36PM5sjU94aD1ZWfrVRfaiwYmHj8q+cjht1yLUoHsbqLjPrxJ4BnZaV+izN
524sn8cQf49dKv1ZtKgHmcAPtIyzH7tAlO9tNiBOho2xr2jIPgZLoZ8BjTpXkPXXHU6rcj9W1bmf
QyMZwjp/AK9bpCXbOsODClitP2dfouaJEdnyRBzQwcgwOncOYnzC9IJRXW3AVG83+5hTDLvrMeed
aUpHaTcbTlvoexbkqtyNbfTq6+jSpM6RorrVlr1zN+HECvatzk4Bcs5tDbqZl7R+2uCcJaxfSS3d
QxHk8nFbVP/aLuGS1K5ZPwUarxoddzyclCAmax3yoHhN0jp5w8VenfUYDrc0NFNZFgzNo2evn8Ae
59vQ7ZorNNw2pX9I7IxeArylAhZxb/S3muYKNdcUqQfDrfBwq0CqnJ6UcItkzu3iKgi89qUCl/Aw
/XHspGvC31MHvEIb99SPC7b0uBJPb5Ox9OrbpdPbIytmmQpLCqgY+JKfLCOz7qHjY19o/jjiNpui
m6QL/QX+ZLncy9afr2voG+fgj/Mx/jnOylU0jHgHua8k8GyLMQa3ux30Zns71KD5KWoL1qopyNx3
jv7iSvWcMC5WEl4klW/oHS1OHN7M0fkQeZi/jEFfO3uL3rALtwMI7FpyLysr0hRGxVPvhktzmny6
+7ihUexBFUrx3FBrmm5hYMFONY0bn5CaTx8LX70ohXdbhsP8QHht+zE5wZKIelGnzRPysxw6pPRW
ZvMeYlt0sjpeYmUM1aeLR/GCbNvurMVQBRaxilsC7E+u0E5T7DdPRStqla+fW4s3dQLGrpIcP1pK
u20QO83m7q2+s/iY87aljjNa16NCatP8e08mtIBHZ1v8Myaz8dotvPlriNCkqF9ASlhHYFgwWden
QPSXxoHL3SqQHW9VWCqA30b7c52K4WgyrbgZAZXi85ltIJhIDUZRDtetZQR4C6vyzvaM8DXPoHwa
LUxPLuIA3vvZ42JnlDRr2XWTfQxoLDSzu7V+L2fO+LadS5CU1vSI8jbvC0/Xh4wlLrEHuMLM7fp9
4Rf1k8lP39GvqE6+N6P599WFc2UEiHd/3DBXi+vBiiXrq4lK60YVVfsOe5cjZWMJkTa1NzwZnPkT
hn7I6+h5/HAA+kW7xmbf+jcSefI2w7iEHBatHqt0a4entfG3JEKCjwtbTQevkNsBmjBMzEh4CdMd
Zj6oskWqULR2XbdNN12FENLrwr82u0C9hDD6H3PPrB5FBjUzK6w9wJ8+tuqQC9vStfsFOn069QbG
SdkFr+Bep8/VEOX33AlXaLi2fQ3PjZ+O7Im3Z5kxlflefyoslfPui6ojN4/TbOr7C7UX2y5az3zn
DfOT5wswzbbnJX2QeVgg3eaRI1GQynKeD0vgyrRrWO3qXg83lbo4byu6IYt5C45mu3EZa0LjGBaB
vc+rznlft45nLwdrZDgy3GOTfhnCfP3lNlZzo2ygy84YPRpLo588w0eWmKb94sw7q5NvkNznuF+j
gj/GPtPtckIpPo2O/pYLZ4dUVuwz9BoKej7HVu5QYdIqI5JptZ/dElwtTQlzBXUEgjMNRBRa9n0A
zr8BIurmlKs2g13HEE9C8s3eodD+a64BPXW+zm758Enoqddp7dLMXUBzq8ucsbfrLz1t1bm1s/JZ
LituRm5jr5kf8IUZ7X2z+sZBlpZzW0GBxRThipdw0djsSkm26KJTdj5ZA1cUVH12pXnFGeLsImVV
M+ct4TkHf2l3VmBotAO8u26xb0bIQLyMaTVDHe8Kf1/7xpmMCHShwT0Xhvu2moZ89Rh1N9wjbjzG
o0fsKMdeHR3qB0Nv2rsyV6c6zNLeCTeipHO9l80ahyjtJz3kv4wBCyMXrWRogyom/u/EbZHJtJna
xHfLoys1VgEcsYzvwAD6gycA8A/fsTz0R4zJHCKqbFetbTI3fRgP6/AV8t7i2TiD2FKAvEgxv0Wi
3TGwvDNJrMaLn+MtWvfNQHN69BMn8HkcKXplNsONjkU/1eDJh3G+K8L+TnHoUoL6pdnUDxM7aVXq
ep+jJ7G3HuTg70LHWXa+soNU0Dp9DV53X5mr4t2NnpDN0DyC9Zc5ob9ov+aeqd2FoHvOxN+gYclD
Z4XQdQi1v2s5RV8hpKWWaH4NlMJ67vyt18xvGML1wx2Bj33vLb8Wf31SpgcozLY2zkZoyXl+QCef
ILM3WSp031P0NdER4fsEZwc7OngCCwZ7n/FqSkscwFux3Uy4Elr/0K1eulEOGbt5tQHx2HAPiuCa
kD1hKjd77OwaHQZuvXmQswee2tWPmbC6+9wL2ytv4utqqYSPKYq6HkbU66ZgQSeOZQRzaq+h1e2s
of6+0doCHr5bv602bilAdBzeihwg6ZTMyJ6HyBS/5FJxW7e1f2KQjtRNnAU8UesC77Zmtg5/e8mj
BU2PAcxtjw6j4o17CGQUEOhleCSSHlx7ugHoWIVG9zKPBiPppZlP6P04Kly9HWfmdqduHMfDOLbY
WxcrezIzq0t0HQX3qihkUobUp4z2Sm2kvaAqCG1ApXeoGOm7SymLpE2lK+6pmzWPfi3tBysy9K0T
RPprVGo4EzEqXl22t70tze2aQRYIcWA1zU1nQDiO2mX9noX10NN1ljO1iIYoQcnf0BMDnSwOxkwL
xeLOnXV4NUHtT9yRw+hkrbgNfKpuv+Y2VIdS4RzJhu0Bdy1zS1QZ6w60HdIJXTlXzJms687JsqSn
UzeRs2m/KHurbuzaLx9azlip1UpJb6zX76RRmnHvodQFXRnEtlMbrywB4buqKu96WTnRR4GLl1/y
9dAjQavDWn1kDkdgvzHaIzgt45gPcxV79BLnLe6ITGEYtZ5D+neBPe0C+7Di3O2EfxVuvzJsVVjz
ftmmmGPZD1as7H4XqOZmZGpkl/ltZrMQVwsaUZcdwg1t0wi/y0Z/cdqeTp1VEPZx57fRzcT+v9g7
j+XIkWzb/sqzO34ogxZTAKGomZlMZuYElhJaOYQD+Pq7wGq7jxGMx7Cq8e1BW5uxqhEAHC7O2Xtt
kfX3Sf4wa8tes9lPjfW8K9tVLWfMOZErUTbuhBwr6rGLe4g8GmudYF0dJQV+eyjZ/gPz1vv2ASFf
b2xibyk2tojlflVrfKmLlLZvucQbyNzoQCbrAbMR6laTKgy8dzbjSa18GqMii1gY7PiXmubNZuj6
JcxtkPnswvOGE0zpbAzAI48ojO37VBk/WaghUKVjpjF9Qkexx+qkufllDzspKtr2Bx2cbuNVKmTO
tGu/dIqnTr5RE0radFO6W+mhm14r5W+9VDg/V03EOJhld4MGBVdLY0W3SpNN2yyP689N7hQ3els/
5WrWf6SIRfqCRnUfeP/UEd3jsVjEtXs1dJLzH+SqzPaXyONgPpvOTNkRrRL1S1P9nnaDSjZVYkDP
1xo3hGpWb+1Wun8m10TKNpi6ym3Z6T53ym4n1oai1eQkwUWFuKlSSlCT1Qy7BNvGwemT+rPC+dbX
str5ODVAwSknj/scVf6uJ+Npm6UR0XQV8GJlJpU1rlTxQYcgTaPG1K4plCbiikziYmevAhxtleLk
qyinlfYXYyTaT6V/gHGuc0KLQv0qf3A3rZfJL2Nt1xSA64Wq2Sr8McQqApIaYo18VQYtLyIhqrjG
XbIqh1BKzszM+fjcMVNsFYHCqM/GaBu9yI7KsYL2tGqRlJ7NZNGkLqkQacmJXTaCFJbiebC9cf1C
ta+Kyz7Wr1edkxKtkifxt/xpVUKVLHFX86qOSlycHWsImearCKev9FVHVS4WkioqycrduOqsEJ+a
8wZhVnRVTsWtPTvNbx1hlrkqtBZhGeiBVtXWqt9KVyUX3ZBsM73Iu5ZCjGG6ar4ALSif6O1kf9JV
EaY68bKrItf6SkeaxUDpi0eyU/RrXe0Qs6+6suxFYja8yM2SVXnG60aEFq16NO9FmuatKrXyRbDm
0kHGurrK2KAFbqgcIW0rpUu9adW75avyrZ56a2+sarjmRRhXv4jkeFD9t0RvfufqoD+0q6DONL32
1ltFdtMqt8telHcVui0GAnI8kFVz6M3zdz1evkJoeqCDxGSp1NeYwIjOHpy/hRb/W/T8L0S375U9
n6q0/w2jXXz/8X82ZSq+97+71zXQl3/9P9pz+y8DfMjKKGRGe10FtcCwI/7GvQMx0TBhHPxPFVS3
iSf0kJJaDmpLZOH8mv9UQXWdqipqT9KTgeygcv5HVVD+f45EnWQYGrqmkatuU4DCrcvfXylXba8s
24L4Z1yD7rjFx1EdUhytFwQ5p/rY9SrURYlU9hzDBe11fBXXkKnRiEEPdZX2mVJL45syDDUQCjW9
0RxHYY9oi3DpE+NzIbP6gq2c53h6kybWzLWYDHAVxsnx5QuMgMQpzSY0SlXdKCVxXI1GmLYh2EC/
GgZnNOSnIlnulEut4nGd963qJ5cyqADqujKZYdF6W7Mk+s4urKDMCKlbHCKJRoWskF5Pv75/2TOv
kefLzpmXyP8wVj3Uq9coRqFYVOy4w4TluIw8ZdtE0SUH7Cokfq0AXm8OsBc3CNN39eUeXyVHi7GQ
+WSFuKjTmxmD5DeF6/ps3s0bNc+Hn+/f1QmWx+GLcOgaQHmyKM475urAeH1bXtPW2iAdCBH9OAUo
HcqDklkafcZIr0nwKdBeBHZeOluO4vYfuZTfUpVze1NpzdOF37I+wpOb57eYHDCwQ2P/Pbn5Lp3B
fiaxGZYjNQLM0+E8pfdRaYcxOtTAWJY5qKPu1uI3H3DGE6FY21jb8HeSNNsG7/+cM0P66NesrY1X
LxzZs5p6GJIpKeplyML4XY1i9Uqtqf5dGNJnxhaCBHx3aL89nc/3+FK9mfdowMT69XTeYWrzj0XT
6f/IRf+fN81TgafIlIjf5vgiBT32oap03jRfKmosdAaTkyX7fIma3b94dK8udTKo0JxBi6F9TZJl
kgSxk3iotJrbHsvo5v0rnX1ymEmoWfO14Gk7vilDJayxY0YKm6kTmxon47U0hkucxrdDgR4pXwfz
GgYAy17//moocDrvzcZx69CKDPVQlct8GPOiPEQDrZT3b+jcpYCrA6eiO4stf73hV5dKeE1RZTpN
iGyqJ54gVvaLW+qf4y4SFyhKb58dpA9GHCsTZS/rdK7phzprESo14SydZrdKycFhienCG1qH1fFH
zatBmKa/LA2sDcc3NNNoVo1aQzDv6NpvuzOyG1BYXgBrQN1J3dZ+ZPoY7f/pUzy+6DrTvHqKw0Td
34kAWqIwdz+7ClFUdqY6tIMKz74w2N8+xvVVaTTUWR4gqpy8sRpKsmnR6OSNrWqnyWuvWpPUtvfv
6O3C4K0E4XX0eSwLp6AGUCcUkEerCyk5a3uja6hRso74NE15jJpiXfCynXltlkYSPTDhlQB9Ojis
YnISiulDuHStXvvVUssgcqbmeqJeDibRHjYEs/4z9uo6R/ENr1gadmxk7ZySPgCzx4TKJgMRiGik
bZoWV0Ut+tDNNHHhBs88UBxfL/hwJl79FCeUoKqf4glrMWBB5HiWGD6S/OaisZ7arZl47nRhkj+z
1LLKQsDT2LfgRzwl4HVx3k06KIGQc/Kait4TbKhTfCT6TRoO7buW7qBdC+t7QwmgDEQ/9I+eJtvH
1KPVfGGiebuNYnPLM2ZKA0QP7+T4E0l7BIxl0YvQKgyo6FOPXX6jkdUH/auK2w8AM8njAruiLUGW
aZl54XGcGWDMywxmbHc8EOtkXhirTtdkwvVBUkeEz2I6LmTXY5zRvqN2TQ4tkrEL9/xmcoUzxhZC
X+c9VX8TCiBdVIR93w2hjk1k040UzvOa9udcV7/f/1zfvmwu5VIGZn+lMzWc2gqb3ohxa5RDSPAA
yv2ScFvKBStowqbmGcpWmru5jrINclzTCfQocQ6uNIcrB5v9JaL/mftGI+LgTMXM+NY8J6ti6Qdd
6UIShQnhVZz2g1VoyaeWqv2FReXNZ0UfGEQsdHprHeanfKmFSPUIT3gfNmqdbESa0UxQ4ukpSiJa
wjAnvrz/oN/Mvlxv5XSZ0JfYMTsnABsbjIAjImYMkXjez3xaiCXvhXJ4/yov9sKjVYzL4JZFHKNx
9IC+e/y1UImJ0sWS3Ba9t2sN9AYxpHmNXFVJdY2KihCbfELolk1GskVLnW2cHOicbNz+oVTyGE4C
PIEbdITphQX23BMA/Yin1EGP57gnax3RkqNiV4RbAjxQr0YaB1siTS8xmNYbPHkATMzrFohLQOhZ
h9irFTUdIiUuSBkM5zxtkiAZqfimSx7ThGkHfWcoanZLnC1diDpS9lbqeUp44R2sN/LmJxgO2jXc
rRiBTmaMGIaHVgPBCKEL6LSV7AimTlUHstat66FARFOS3h778HScJ8YofXo5ADTMu5xIYfRCjWpl
F5bls4/F0pg+V98m4S/HjyXWawQN1cCXRVxrszEblbMC3bIeVEud5HsDlsc+isgV1TFTbVCYK9GF
Se3NREo6ls1SzbmU0A7zdP8hCnBuk7MOzUxr7xuehm/nc34YsNP+gSA5MUYX7cJn/qIPPH4ZWGJV
TLEaqKb1KH584zYadLRQBUAMx3g2xV1V97dkGoWVgrKXlgZQxIOBvAtB6nW2bMcqPxjOL6wmYScT
34rp58TLBU7n2ydBR4aNH1MdbdwXydvrMZp42pSowqaQKozhBmuMftc1WvuwmGwh6AWJe4cC5o/3
h+XbCY8hCW6cvQQQLed0yzK3lRzgT6th1TnZ9fwn7zbm1JQblrbyny6Za9yggRWLdRPftXXyzEtp
VgPKooUUn1Q8GuUakFpV1ce8ENY+KqgJL4apX+CUvR3h60WpklHyYP0w1vt/9eFrJizQ1uWhpi5P
kfze7Cpeum6POxW1VVmRLQWlh/ZT4Q3zXa83y+H9B/x28eK6FPY1FhbEjKcVirixrazP0wWLG2Ce
hJMyYUJ191WKQr9wqbdTqcGO0LbRw65P+LSIRi7ouh9bZkw3VvSrrKL0czUYX//p/ZiofgiMWfnD
xCeevMVGDnEcu1xEqoP42Gq0yehhGj9zgcTn/Uu9HZtcilPAykeH8HpK6ZUolCYN8kWoDaI42J3Z
YGnRUubsrjACcrg99x8vRusKicMYLrBJAMn6hF+NFsl91QPqPjTdmro3RKvc6nK0Lkx5b9/TepWX
45bpYGY5WYwkoN3BaAo+dNhWAOYttGgZydfvP72zV2F/DLiSkpR+CpNcQITJFTcWFhp7l7LL7Osh
i6cLY+7MO4JUhf7dQ4hugzs5fmKYeUaqay4bRR2vb1239qFUovaDadIA1NBTX3h2bz8nCLHUo6kw
mmtp/GTDNOUDxnaL65WEJF8ZRAF7vjCLygEoN11aHs/dHNpkcIoqTFXvlLXdFT1VZ5zXOLj6tZ2p
7jI1/oO38oHRU10Y7WfeF+cqThLrTLWuTcdPUotdga3HJbBStB5nph6gWdIO/7S0YL98S+itdSTS
IHaPr1IPIyVKxRrCzIx/l1EKkzg1vhKlXO/eH35nXhQfLYc0vJMUaE8HuTIAo9MaYwjxY1cfWgRl
AQN/uYHP8M9nJEYDBJR1HSdO4aT8qLjlmIJaG0IV2ceDUVvGRnEwG03NZFx4Ry+kneN9w1rb/n/X
0o8f32Im+G8cjt1t48Q3I2ErIgD+nqIXrLTo0ei70d7iztW6YPTEssY7NhPt4Mph42fMXY2kITJQ
xvYW+spgxu7YB5U2ukijQZBVn6RSNb8xteq6DxFkRp631LkTvv9uTuCdFCoYBVDP+XzQj6nOKUxf
EUmWjEo9hqCx1E2SGN3tgKX5y1xhlLC80oOrEcFhK81FQftL9tMMDehfDMX1YUIbIoSYBtfxswTn
76JZpMtam9jiSK7OOXXZw47ykXXhUmc+5HWfx07HXWd262TUz31DMiwzedgC/rqtMIVHwRwrzQ0s
I4RtCeyNC/PU2SvSUrBW/g4D5mSgWBWvYMyRbBPTPh1Swx72wotNcAxDpN0aeZM8vP9Oz0wfWB9I
FlPZJNGvO50+lg6uE6CmMAGFELoeerhYt7MLI+fMba32S17ZyybgDeW5QCQ9ShM7dYalG0o2mSME
p+2hJYp7pUN1+P5dnRupTPiuRfmVIxF2j+NBUmZ6ZuuwKsKY0E7gF+2wXWK92o6k1nya20L5Xhoy
U0JQw/IxFZ73w4UQeQn8dO67Zw9H8ZKVgLKTtT79VxuDOK5tAHUkp6h2r20QnpNbQ009DgwzGW4m
s0jujcodr2c90QPEEzZ260lFwgUHAZQyASx6CSzSmU1/cetym8guCbA41Ni6+RRxSNCnAgk0XFie
z8zCaz9K5VRBQAccsePfPXN+UfMaj3YDo15FKqZMkG+l9lBVUv58/12dG4GMeD5pz2C7e0oExo6q
qGpZ8owSEW2wibZ+O1nx9l9chY/ZpdmHaeh0mZSK5y56g5OADl60L7qsviJKNbk07t4exqgXwLli
E0gPHZzyyYOrEglLiYGukRr5SwIYHIJySbyNnke2d8A86sHmo7D7NEcI6wJmW/VuxEp38Az7j4q5
ZE9Ox7TFix4/WMRJjJD9DJKUNXX8/P4TOftT2e6zRyEzikSn459KXJ6JjZHnTpFjwRibljcFUQ6r
zjzaQf+E26o15o/3L3p2YDk0XlVqkTY5qMcXBSZljbVXT6t8/FnAfwxUtZWQiZZy8/6Vzg6rV1c6
uT1wmKjwaq5UjZUIqzkrbpOlkBcqIefvBx4EbWsDN8jJPDP0dhxRipvCGhQLJqxBxVDYw/KsiE7P
L2wjzt7SSgNXGb+0TE8GV5ZDw8WXMyEjzjXi0tTGFzigLtzSuausdVPASGu5/nT32joTC4bVTaEp
5YBFIsGL2UzzhYXu3IN7fZWTdSfX1K7VjIaBwDnu41CDIerRD382m0jOF57bmbI0tr61RMugwxR4
2vUgimImXqSXDINBhrHpjpmvVJ28QjDqomv1tKvJcMWXqcFoo+eWchP1Q3ptljPhwe8Py/O/hbAD
zgW4DW37ZFyOOBs9xcTVPetawUw/pRts5M+T5ohdYld/RiOF8ZnGV2kPeYsIj3g7A7h9/1ecfccU
i0gmYKPtOCen8WwAuDEtkwwBVDR7awQIVLddeWEV0dbdysm2d+1rIW5k5acqfjJgncZ0a6fmkXcC
KfFSxvkjonr9jrW2A6oc2T24mNghXDGvfihuj8dfc9wv5HO23+eRktCFgXBu0L3+PSdfq4lmU5qT
lKGLdtUfBA+AfkazASXxb75V/J+ORYke2eRpvSPHU4F4ldeszfjxJILCECZFfGGSW7+S0we8MgI5
93HaxPZ6PJ2KQbqjJRMZIh1UBz9dytzEZE/v6dFU87IKR69obtS5o1JlRLBY/sU4os+zwgHZQLKU
HF+fnm3sLLElwzrxyqt2zAQoglJ8eH+0nulD8KUgs2IvxX8IKTm+jN4m+dC7FD2EAbq8AEOVhs4y
KJ/m0bOutRrKUDBlY3eX1lXy08o9YMeQwIb2sPSa8gybA2TPFCk0dtMyKS9ltJxbSVeMJh1/h6L4
aSRfm7fqlI+qpJihGvsyVhEyy96B1eiWe7u2ah+Ml/Xp/YeyzhOnr37dV5prRYj0m/XbO9paQonL
S+a0GUX1Jk26h0GpM/yL1letVz6/f7Fz84XDk6cNwa6apJbji6EOticVGxI15kEHOej2vppZw79Y
edDzgZBlOKNyWz/fV7c0arnllCnP0ZjsTdxX5cPSj+Lj+7dy7pNxbH3tndFu98yTIZuac8EWm/4A
AePd56j3tDvyKrsrkpP7b5FiehvsxZ3vqVK7cHvn3hgOUSprQH9pxJ6MYhp0KN7RCJFyrsTUIUVy
1WIBA+5jk0gFRqrMn96/17OvzcGNTkkSpZV1Mt+1NSZjfhFBC9Jb1da5GSok0mzfv8q5WfUlkZKV
laPWaW0oJX7SlVDvwygqtTujm7wrWjH9Qe3z6cJ8c+7lAWHHqo84YxWYHo8Q0Fu2Ymn5HLqxIe9y
wFBPEZhIzOSxsil57Qdwl/IL3i7jXzxKSq4gm5HqedYpCxXgf0eHVGG/Ykzp57RujKAsK/NCL+fc
C6OmQT2Kk5DD4fP4/kg4tdOxgJ8iuqSGvS6hWEm9xlz2/is7fx3Uvw7qGvNN4EjDIlzZDefSxZu0
jSe9eWcj8Q/fv8q5eXGNdmJnTOwSHODju2ljRqQwpwmJfyRvhzQiO1MO8ECE6oElEHOphDi85QWN
y9nDPxhZqMOsv7T+T0ZJA3y6VzX2lnIwVUx6GI8fon7G1cwufh+N03jokIDulhpgF9jD6qFY2gth
tWf3eR5bFOoqVHIosBzfvLlo8NwnvopCRjqebW/cjbbafM+6KMW8U5m/VH0xvnJO6IIJIjQEtqy3
HuIC/+r7r+Hcy379S05mvKyy7QaDKht6uxmutSrRt3DI2gtCyzNXQTPO2kDNgNL+6VbAanosmVbN
9npZnepjbGAzAi+nXXi7Z67DnpXd85p3Bcll/furRQImvt6UXa+FVtKVNwS24kaiu3PhmZ0ZujR5
geSv8jZaYydLUaVWLT6PRAtNVxFMmvb8syzzaifQ59AEjC3yc9A77N5/Ux6//WRNZ7ialOOg51n0
c4/vLdOTtoJEroWyTfTHIXeSradrU5CD0sECP4urJZvaQI2SOVjyplEv3PWZmRzGNFXHNW8IydDJ
XYtEJKQFx1roaYP6UHIQ2jiVmD86Uvnz/p2evRJFMbaMdIAYMMd36nraEhfugiSoc+fr1hzazUL2
+UfV6C+tGWcGDEoZl6WJRdBFtXh8qVRmjYxSVwtn5GX+BAEr0OvkElrozMqEOxWikAH1H+Hnyatz
AZEKfOnE9rQOSibP7pLnOHOHJowqJcfDnffJXaJbnYnjtcqrCxP6uS3y0fXXofXqs4DwAbTZS/Uw
Eq34o5bDcD+aOp7q1ItGMFtmtTMGWW5MxQHGRw6UtvMi2/wMzevajfoNOUYQrcy4+/n+iz779L01
u5ku1ar2Pv5dshoXfGi6FiZ12SKsm4vQmW39wu3/LYM5/nTYd6NE4RxCy5yj0PF1YBVIT+niASnG
glXZmZf2y2LgGteWrwae5hzvfb6zRpf+WEUCx6faaUBTdhqhNbtkiKq7WKGhEvR1ZCh7sWi99WlI
hRLfMxtVtxMcGFy+YsQ9i9naVa/a0kt6fwYgah9iQ8+abSoEWTZ2DKd5W+et9y2aGrgOuLxr2CfK
bF3nUTLN+2UZZg71eNrjG2JzZqSHHmsxSFAQAPzjypzvSvCwCU8qxtaSigkBiZpxnA41Pe7QuJAF
CfPE7UBUyCIl8asyYWp7cxTfzFazPBGfllFVqxauP7l483x3NGVMWomI+qtcEgYWpFgsyG5PcuDU
mqx7CHDSoV6mDrnEpDhEJGi1Xl5/FQJax76yjLTadhpltSABR+ZsxIjYxu/0rnF3hTbnCR2ZenWh
JNKwd6PMnF3mKF5x5WLenfc5gksoijXtquvO6Io4RL8D8GE0G/tjNGFvCc2pl4pfu14qg5pKeB7U
oDDzJwO/mfWUu93yqFtyFtTGJxJ+OXcp7TYZUipGbAudiWAgPX3WKTZgBjLG9rZuleaLZXVG7OuO
uGpmZP++1NIGN6FMjI/gNYwcffvcKlfKyH7J97ph2cN0sTRg0jMYDtrgrhNYsZGN1wU5UETKjF33
oQOz2Ieam1OujnsayrtisAnKLiMYN5ntCA9gwaJPuw5s5LMeQ8jxeys37lLinoiHSZjrDxR+MgP2
ht7pgT0lRXvTYinStyWy/jKMjKG99iDhwrxLigX/9ODUaqBFo9PuR1dthnvdqZTPUTOOX8ScE+7j
SLoG14Bj7R8zI/a7TSbQvdCq5totl5L2s0qAECcd1d7mYyY/AeT2aj8zhbxyaheHBxobrQ80EIe9
x9dK8BhDPHbv1L7zlL1MvXj6OrgAg/1s1o3Fl32PnVv2RZmFxagaf6bKVBIfY3a2GxWh/KlTSi4+
1ppMbsFpM2LVqpg/MFkWEKSqpXy2yqpYXbMUSwIKgsm3LGvcgwEl+XfdifRBgifN7qPYMZ9htGSE
f6FLgiwH60ANXdOAXVS7JUpdAFdGC7SmK7pD6czdCl6c02eg3yJHKQGyFE7LopCiPtABChYvFTBy
yR/z86ICyghqafzWg3Vo9m3vlvnGyWLrOVEKOe403Y70gDaScZ8nEwwIELTJNkFPo2z6wls6PzFn
PsqxKsthY+ZeQ+qKcApos8ri3edxoZATB848SLEmYfzlpYGuIEDyl+Coc1d5BtliQlWUQJdWmvqW
m5vPKWp+vO5OAywSTk6ahxMaFAJBMNO4B0/JezVMPZcNXeXBfQq6bkkfCGrt4wDmCtwOoiNsLQDO
Wyn4gYvq4JmpafopCGLaUWJoqFnbep/4xQTWDkhkVnSPg6LTQAaoM8ClUvOqCaVrjdmtrSuQndNF
AHdwlURgy/XGNfwIRC3o/8yuiEhTyY8bxrIGEe4Jvk5dxXKL7HuM8r2Q9iD8Vk+HldvOpED3O8LW
TV2repwm1/qoJLLVt22xCLg80paaT2JKKkPgXYBkIzS4wA5XBbKPSl951Kw6h2liizleW2H2clWO
XUVUYQmBAs3vYHVEWPoK6XRa9wOZXDUpj6pC5t7i96qRwrGqp9zFMgwDVae19n+rFp+di0oqHLu0
uqP25X20mIo+Wbh5Kae1XrexU7u4ytoi82NyXZhYlDYQraM/zYmW8WfgqE9OVEHLjkjMqy7sEd8g
yEFY6HSWcAtQoEdAYxyvdDHiRkgqHrA4O/7I4yoRN0XY0wXc43qM2JhWog2NKP/FqpTDUFacoEaQ
63smk00zdE8vK/z/enX/a5V3/v8Jhbfz96r8Lo7cufwLf5tzkSj9tfaEcBghG0a9yNn3b0Shp/+1
KsX5B9jnm3hN2Kn8B1Gou3/htHxRW/Nfa2jU/5hzvb/+PqjTQ9fAzjq0Df5BMNR69dcHDTqgmPxe
yv+cMjzsXcdjKLEIajTN2t5XLhFnIWSVFIt+EurOcOFIQSP3ZAuIiPIlxgZLgGNhPj71kb1syj23
0ncTFKHxptMXfdkq+gjYpeRDv/cGz9C2Q6EDOkQW0cebQlEmEbrJIq+lnqpm4MQRqLfabPQPc+KI
Z1NtqznIsAb9VKVJ42aWDQw14lygBgqPzMSkarrOF6PqqVtyjUqSSBuzSMNlHAB+O2bi0IfVOtiC
7AZEtRtm3SJWBYGFFrZ2EhMy4qCtrhfeoW9MY92DEDS1XVmP8LxazhK+sHqo4VPE6WxfxOUCFqqq
wfzZAFywWORFdGPyY76XiQEFUBEN2RS1nJXf/GK5zvNF+7HoK/k75ezMlLoue3NS9NGOq2o3UwGh
HLa3CZyxL6atO+d2SYKA1Ru7jghPPDzEJELihZI7raxzVQaCDKeMbdhg/gRH5cE4tAbVz02pAxdW
jcWGDBJb92JqTH1H3oCF/o13LgJCYeKv2JDIvkp0hfhJk1YwsfJsB+oga6vxuUnJbg8qPbE/CTWx
Jr9wzRI8bxQLMIx691mf8/ZPMhUklIvFINMKqg9en1q1+EkJ+/APSTTa0HTSZlx8x5ksSO5qM/1Q
BhZrvzSY3v2a03FB3aas7+tUCt2nLVaC9hs1wOkFe+O1Za7l1yBAcvhDVq7M7EbV8ldrmJD7U+Es
GnF6XfOFmmr1yapZsQGfuG0c2G6W3S42wMr70RHkFQxZpAy+G6vWL2jibCPmzBl+dKJVv1hq0z7M
8wJaQ1bsSQL2FEhIlGwa/qw6D43QAOkRu9HN6YGqJK1EF0SddZg5PUy/rVZLIFQizPjD3kU7FKld
N3usP4US9JbT49uQ+vx7IYly9BG60bSx+mnFTYzCvo6MccFIbmdrPNdEZ3zPbYLRhvsLWCgdJ7eB
RgnJxU9SWyU+ue9+dmA6Ch9ct8oJIvISb9snXdcHNTk1DUD3ZlQCM5nQi8VlbtxTmmszAh7V4YPt
DtkXAu318ortR/ZsTza84GhMTcO3yo4OvdOs0b5NUmYRSaM516XjB65tjvIh2ekgTOwHyCx551uy
yYqAGjG218UhqWhvxeDYKxM9JG1x12IbkzYTiZVtU/ukQeVApu2yelyNLnxsXuH8dDLM7xtnNPhw
B1VxuctCBSwp69ElAmQicSZoMjSK9L6XVueatVdtsnWrGvZGKX8YYwHcc4Kj5YOsTMqgnIXLJ6+r
cvBlKlMH2LCu/qoNPbl13G76Phclxnq7qFNUNwq7wLAeYtvaFALaP50AbWl8poFeuVPsbrgjVBFu
z+KqYxMCLYWgKG2TaaOh/Tyi9qiiHcqu+Wss6tnxi9aJgGoq9LvZuYKprO2y/hZ1tTzUlJQLf6YS
fA1g033OywYWfuXAJvSlsLSbmPyXqwbu2ievNHs3JLU6JRvUbJWMCBlLeeplLldkVTbhOWhVJAgT
4oM72hsg+WbOFb+oxjfNYWZ6gzqeq8uXKCdfFPR4lVahN0nlqS3sKdp5SdJgVbJ1kUBOAeGyZeac
+r1gRE6hnRbjM5flmeIoqBuc526yI4Gzmbe2Cl42oNVA+obLAfMxZrpRnsak5uBStzHelEbrKiwp
snDuaY8Qbyrqdhl8uyzhWCfgWB4toi5aQLILxDHsIiYUnCgtR39IBhJ3nApIDLk12OcCyx4cUJYz
WS8hMQLpk1uTVAVfpul/eIla1r7aKDb9fbE6zMyh6epg6qzmNklwQahmzrjubVIqNklZ04Ev247O
6Sw9CJ5D37HMxBn58gc7yZikE320vi15FGmb3hiy29KZ+AZRfGW7TDZEoLYpLdaD3tjNGNBqX366
Y1c/VLgIEbgnhlIwJxPvEI7MacvWNUhc2aZKBgIuEyNYWWjySXfIFzJb4UB6Re3jPG3o1vYwBMnK
lcW+1OX0bC4mG1r8Jd5XB26vHmaZYQG5URkLtHbZPPudS5CrL9h5TL4GjUmCCx3rKuSZlh9cu2wI
hGba1Yk2zeC9N7GWkWwyWcm3fPK6L2lZwe3vExtrplFP430MGTMiryzSvy9pDNcJz01v77ze0x0/
Q372B5pBR6ysO1kkhfVDCajRJCQ4pQLiXVe8O3K2Jq0rNxhr45u+NjKNby8G7mo3nEQoYRSms7Ut
a8XW13GxcchsaPyFMtLiu4Nrrpm4nalvo8VunMBWGmInotronbBDIid99O8FOdSJlm6wN3jGyhSz
liu5ePxyqhbqh5pDEiOtjlnkqknNb6aGmTNshgnCP3j1KAtMpn0OGjBIHw2Shwk2MGX5lfNm/72u
Wn28rjhTDnvZtO7APqloqw0gK6Y1RVJG4eNRAenVdfZZnSOVgyCZF9CXYOMp9ybhHfMVmK4Ks2OB
GzAgJ0P5QcQ9wvBeRqVLHaJr5g2m33rYsDSINZGRcCgm6HyzKFVyb7EzUrERVQjxCj0V9sbRB5sn
02XRH9tOKXJ51iL3Zi483l8xtGTBE35LHmFHKFm7HjIZG6kFdkvC6qftIUdgXksMUNpZJOFgRqcP
M2g3WqM+TTB308VQW67bXnN/jC4yoXVqFrusM8qr1ad/VRA4cT2bSoblSWYZBLB2mX8rlT4/1TnT
sVo3P+zevE4UMuk7HdDdaLewhefaFV+rslEIrtfkxnHKTdqJq8SEiNRYWXLIC1UNqLttK8jWW7N2
Uhbgaed6woPdWBwIfuivBjttCc0dFv7al5r627JhU0PDcwhjoJZC5SWuHUpNuK5D3YjzPwtFsQCz
XBtKS+aBDsM3LKrIyuGLLhzEoT9z64YyWDdas1jFPhE1izLueVUJFpjNAZO9/WTMzr4cvId8BMZf
oFXZDCoZ90Zb3iuNQ2km7rdFbBsPpWp1Cr+QLZC/ZmCTX+wm8bYRFCjcpFfIKehtD95oUh/KZIr8
CsZMxP5Rtz/QOco/Nw6OZDYrQg80m1N3IwSUQwxg/jIqy2aimoE2kzQt3Uu1H5ELuThrEK5vQIw1
e5gXMfA0x/7qlhWTurKJSkKqfQSQrV/DpmJwEedmtxqPpzK3FEsh4klH49w4rewKT38G+uJuOzLO
LGQlavRF6sCDJ8c5DJE6TvsSN0rm55Zq/vaWqbxr6f7sNXIWsACKl1fLehsiZYxuHZmjdh/AZXap
CbM2UozhdiHQa/G9qSu+UzH1vvXk07WOYvgwIW1fROldGxGlRFhYdGcBhwnUst+RlkW0YoZOgSCq
fNgPkavschgOoScVHhLKu63TNdXjkvfKvo7TbSfgo5bLN49QkI/tEOfXw2hEDH6w32nafsiW3hDs
BPPxK+EweShqB0C0KFry3Kp231JzdfzG+m/2zmQ3cibNsq/SqD0LJI00kovekD67XPO8IaRQiPNo
HO3p63hVLjIL3Sj0vjeJRP7xZ0jupNk33HuPbt4aR/OiFSDimWIxN1XEU6heDzY10Thc4EsaF9hg
xTPI6JuuHTV/0KtO4wjKjDOU3Maxe43n8ojBpnrQbNKCXQ+0+Yg0zdi3DrOdONGbsWHfJAZjiSZX
boEv3g5OzQOlqU2WiYNXaEX6HZs2whrd3xwjTdiPw/o4K+uTAj5LQgSo64HeZNorIyarOUGUCnkC
d7KrJxMclze+LGZVPrRBQ3VXtMFuFHl8GAwOgdHq2l+XafXF6e1k15jxtMFQ2hAHXFFCAHXiNO18
+HTNBGwiqZKtMOpnkyO4QKhcM9ukPZgPTPu3QEDIdWUOh+DBC5NW7MnDJNC5pxg1FZV7rrOryYHj
ASBtENquxC2j7/wxa6O08JwzmvLHLOgfrNwnBX0QTqgEuYySzfF+iq09B/ebCLJTnfQ/Kiu3Gq8I
BMm63WYwXPfYpHfOOpanNV2fAQ6/Lr2hzhbws9CU67YS+UfQYT8S+st17O/VUrIJGYjDgjJ5KUVn
0RT4kslr61GodO6vmGc/WgnlhshExtzAE3hhal9ufdSSOxRt8SMWQZoPDwpc3FoLgyZft5vGm5dw
usb/l1zphCUaY31DdWcfW7nWu7lsLMbvxW5yqteqbOfjJNMqLMfVjDoN/7Pvh4ulJiJdEw3lZGCJ
F2YicfbZBFgMFt23A2w5YxAXcnT0dxxJn6k3PcvRYqGWpLnCw5zVgjx9N04uQY00w1YuuFDK0dAo
yxZkm6Mj05ufu7p4GlvvfsisB8wlfFa0KWo7dlV8m3nynth0YzfY5DuHnAU8b8L+q921d7cD7r+9
F9SfqlJnz1R81gWvV5CZb0KREL/YsY48ZO9nw5qHT+xuP5kX9PvRIbqRlp0sxCS74d1hSO8mH75B
DGYw3TeSWIpEDdCnuMlcd2eUzXTubeK9w7m8NmNT8kagpn5yvOQ9uCb/tl0sDr7N0DmzjOBrFIWq
QvBrox16sGCOpfJomtkl8zsU0uP3qoe3SgU3mPxogYW/w4bxF0yhnZIz2CuA68ZxbJ0T6eMdCcT+
PQVfsqlZNPQtg1bPY4FfWWRTZ6SV9MK5yKC4htM7x7JtjBM787+Z1+ZhVvA/uZU0yRf0wQaNzbsu
KupVPgG0CoTrWR+2lXovKHNP3dwcF1w523I0FmoH6qRzQajfTpdusBEiJncblc02mWKar7oEyRTL
/dDzlbsBRMdUvmdqJvabzO5Wnpug+oiXZbpJPPlnMIwTeKYf1EosYNvhzsfoUhP3GwRnw7AeEqnz
S7dOaSTHZUe/sOsd/2BBCIsQnnk3Vb1mt3YiWIkHIuwQd4Z96vt31NuAbzxK23ww3u2aX0rOZb/1
M51STJaPq5c4XEWF8y4ozij2ykO8ms++lz1gozz1/XUJ1nQ2AYN957ABmjaWnf8mer4prDbZ2yZ0
H64yoBrsgmjHk+WQreUclhlT40o6y8ESRFAoh5h8327nG2gQYlNr620dxnRLvWZRvzKMB8xZlepA
BOrZLRrIFdhk508by1KksHpv4J4tRDyP0zEVyDYiht06C5km+ZtAd8FdVZo1G7y5es/bJPlM0gmR
J36kD56m8X1UXsfoObv3a8CbtQIbkVTBrYa+xsoLZYFCKcEhrvtbqDvvqNWria1gkz8U9C4pB09n
PpTp9AOjFSmQqYleEMO2jyny5ZxuOpFAJRi+yY0fr1k4F3Qvw8bGn/7epu7DOIvilQf4hsBhcihr
cuRbuTAKDgr9njWl/mtrwSPB1gXNdf7gwG4N1MrRBAmAkG3YyOmOXAfzbzFK5ziXZJXbw51YaEN9
jV9otPwPbRbeAT0TfI0cHUvsdTsr08N7sJDrShchu1MTtB+u1ez9QebnrpluJpjvhU6ehjzn14+r
z3lsZ3LK+71Kqu+4r++XSd8AfHhzaqu5dxzlvsvlmrduVm9W2T0LkyDbpWMhVtGDkEqaXdyUSVls
s6ElGCKssvFvGpvDyWDeYhmAeWV7QgT+XhjDfrIdd++KlTFJo6LScnlaVcO6QZGZmxdLcYez3XgJ
dHprVISw+YyYMLT17q5DR4qwZfDXyK8a8cgOhdZ4SdiU2QaIBRccpyXoM1KEmUC74g9q7oJ1aPYg
rjHu9pi+mdZYUtaaftgPxaUj7L33x4NhwV6jU21Z2CT8C/lwG4/zZ9UZf5nSjqGpQBX6M+VaHaeA
ASuYT6v0kX1aU/2dpF23k2NxKdN1YwSsKSpYtDx7M5nqWIz6Z+XPc7MZ5AyVgU4KXqf/W8wNK7Ba
xWFrZOkJ5WXKq8kmtWE6wwgP0MSKSOqGPvSLa9MLR2V8ct/Vkav4q/ltHPvG5O8mgbn1to1l3g0O
GfpxPaGySMtMhLplqOPH1+1Wt+7dUZ91UFl06VCXeOUPQd00uzi1r8dBn6TnWUpuNUNt4R1g1q6e
Cy8rg82ceFNyBh+jH5NSkEEGBphckSCLXLH89WQ37wyfX42slNu4b4zN4AxH212erXiI7evg1dtY
7hQVVXOoNJ+axiH8yHSv3k810d9eT9MP8PZ+tkdhhFMfpGF/jWD2DMfb1jlARQ4G9sS5U9g7r6Fh
aofk+uPXGr+S2FYg1zaTFbvPreaAWmAoRk6QiQMMVL3xs8QMIkWO/sVss5vOnZ4QwW+mZdkTQrhp
hFz/Ao8pIjUwvgjznvFbwqg77KuFBaek9iCtKLlKV4S95UAgiB/J9YGwy4lRKeN1xoE1mYGbaWry
z7Wz6nrbV5rrCp1rmM99dzBGSYMEvDV0bIKAYAeUzCcr8yRFcmoT2BaQXH7Nej1aNkPDkZSeYHhT
jOkubpEYL3omDHruXydn+tOYDSFYnKTXtpFTaa0Y69kW6eE+38lWq/i5d/1Htht+sYutbmGwNyVJ
6ASgH9N2/Jx8xA4sL5lBLCm6lDEJzsCOaZUGh/lH3OCPk1gUAPTRm5hEh7BgJFTXll/EletzU8+/
TdHu6sYvI6dZ1uMIIhIE8vAXcxdqurl4Bmi3n5bmTQPKXSbruqhuD5h99Rdrayo/hOp9axUP4xWZ
ZqytPvmm91J1+bGHRly0qAsg+9rRpBBjFQwrjbQzmRVnWG1ZWEcl9aDTOkzmi3cOB+Z1ifXON7lu
bc+6I3Ialh+N5iIgYQA+ZLxNzBEjgHxvD+q8jAwOOvbcGHoF8ymgMWbkg3CgMav1ObBTcSrGigKg
7n/jYIDWgAX8vUz+89BLpv4mm+D2FGv2SZdmbqfVnoiMX2+qWb0D1SCsd0oBsZWp/1AV7XypuVX6
efbCjsEMqIsm5LcHNAIsibJT3mnGBk9Nv55H17NuVexjWy+t8S5uqyfRESHtdwRvZ6iUk5G7vA7W
R5MzNe3kPWPCu0yldInZUu+R7bmvsWf+jnl9gFlHsrl5t5L8Ga66fUWQbEYcwHbkjuObaAPcZkH1
5vmTd+wneH4coSYrimaf9yrfzkHxvjqcNQMdExhAKNTJcEwkX4cImvnFmxBf4ErgpClkjYlMHVbu
B8CWNl22DfCXQO7HoIvVM41EB79RWwcrWdWu78QD9AAfqcTc3XmtdRq7vHypXKf5Uf3VaG1XeUcm
d7EjhayhNwRYGqTyi+u53tQ50IXIbNZq17Qk7ncqv3PI7YIfZ4rN4HIKVm0z1GGJxndgiu52d0ZM
QbWzi+DHN8uJLpW4oMVPbmeztxibBsG2Yn8C6Ql5NuK4BuSItradxZ6CDCJrq4dmOHmo//YMJ19B
3c7bWcOVRhKF2syff9ZmCW7kYo+kwnZJiqZ0+Kzarp0jK/ABCA/jtC8U0a2MCcjsXmPIPuVfIctX
UBKHIOi/lyuqvJNKvXaz6RWR4dPFkDRuo/BwlN+BLSUIcpt2gpU6VQeMcVDMMD1JT3ujhZhIUqz4
xDrCS86k8xgaagE2+yiTaQsAu6bX40r/Xk1TgGoHXrA0s47msVuf5hEQbmS5rnNmwMJoDt9K/e5I
eu64Nbs/Ws4J+dgmtSGjcxN2COXfTGsVBlrPx55ml6dobXcxzIVrpV+wtgO9Mz9y/41ROyP+yqzq
qfHrIMrr9GstxJpsTG8Z8tDBE9RuAlZFWSQHNvgwnAAZdQHaBgAr1LWASYBtZzxntb4hy5hmCoVO
1Lt9+Wtr/z0neYKQVuGHetQ/A7B3BqsiEilsTi2H6hk+EOGWJH0f0tyztmTJDCfi9pLN5K3DD6g3
d9+njPkQNA+PSauHjcZqe7s4BAvRbsLyHqoCgHycgIJO6reaLkRZ2XdA/MOmJx88sawtUCZWuIsh
b928tw7dyEM7GXF9tKA1hpZPdPl2rS3FhFWm7m6STfzUFsr5IKvtbzpnX2udPBQItLdQSxW43OTQ
mzHcalakZ4cZ2Xnxsl9wj+MGl94fGTffps3zaib+kwBJsWm9pXomszP5jMlZYz14B9HkocxL+VLo
dQRurIetm3evLAn5IrGd1o24m5aSc2DqII6Osf3W1OKNwZvaMN/8o4lp5StWe0neZBlmnf+V5snI
Y8oIk0Eii7PlCiBfVu5HF8oFJoDiYs1s/aCnMcXpxk+J3m+L/fi7Kqzxr9m2BKeMUJGO9Wx9+Vlc
8PI2FBPZyh+f272UNa1TkN4kvihOqsoBLbis7/L8sWcLSOYaYMs6sY29pmqg/HXMqBC8oFAyxzWL
Bmnc1tOwLT2zPq+xs0MevytGJqGVuXPG4n5cB3HvLSPDRMLEdt4iTqYc4eKZ88nomN8pPqMjhd9x
UvKuq1ANEe424ItusuV1xpoYut4cwDN1hy0MnCaq/Y4Z7epABO9bYAFc6TsEqecOgRK0W2RZefpo
WDbLgM4BAIAdiifnkU7eDf2Jgk0ome4WnhPcVMZ+CYB6eOO5A3QQR0bstKdAZXiDx3Z6Hgs4VuaQ
HZN0HAG+laAcysV5wFl19lJ9yNu8O/jZdVWjxXJa8DAAPly9LQI15lwxuzygo+KxW3yrhhoxr5/k
r7a3ToapiIUWMVlX3tpSfFeU1GwX5teCfcrOBBT+MxPqCurcUwNvWuufTK8TiPnr+9SdjhJsySmX
jf2+wEhDeGvWpE5CqQhJHcjrsA8YKKC86HeFJ9MPkbTphTHi/Fi3Pd1fTI3GMNcGIVPzej/ys44/
km3mKe07dydSz84iRJf1N3F2yLlQYVHISHaF9TaxM1bs/joEtCktZUnnkeMoERZi4C7h3m06bfZ/
TauoZ/rIaw8PRjfbpQXg9LL1abzhBex5Q5fTiqPr1rDZVnMbM5ZTKLbixlGRl9UME4mhcn7dltOL
ocOXTe8Gag0XuS6UkWzawvCeh641DQ4LS+yLJfEeFiDr3CNEIX2LPoOHSyJY9SdQzXRgzcYEp+IF
BAyjorHxrly8xNs0tXPTOotxHrL6z6BByCsxRdlIRsFKkDXY+KzqnrSdvxE3zxK+9NKtHbgHFoHc
niKhYMXV/zQC+aZ8XfKwzGn+47xuXxJm+x+GMqp33CEfenaA7YkKBkgw2u6JoGGKuNRZOPunfEVC
IHM3vfS6bVrqLmQHoePrgc1UaYB4hHoPbHFR06tajeIIKbJ/76plGnhb2oy1i5FcnR6O82g0NkMa
m8W0twnSaUpZ6eT+p1dkFYvcstXPfCocN8vENJ0QKcpaq800UtRJ1h9d5zA2nOJc0qeiv5dO0//x
rofPqJd9lrug2k3+78zO2aIytbZ2mjQH0OFMHh2eHxRvQBo3ZhlkP5hvM59jDeZUEi+3rhpRERJi
EVVE3J6ICnDe2DnBrFbrW92r6k4D4OJnnDNORCFupjwpTeLuyW2ty4FU1aF0390afuHWUoqNy6Kf
2wSBYkc09GZIXTbfMTcZ9KZCPcT5mNyPsn+NY4zGIS5Yw9h2ssguTqMHk6iC2T2YVjruC1HxYHbk
FEh7si51HCRWOK9qQVq5munR5NCnkm80Grw5PosVJVw16x5rb99culnvSjIvIoV/9Oj4PH25lTHL
WIvixhi8jgFsET8jIwGBVaypPuay6y4W4hQMZGx/lBMcsok6isM6O9iF5slNrPHFw1XC/h2elsvt
Bo7L+M5HC3mh+Qt/eNwII3lIUX0y0LuyTFEgTpvVNdrPfhkp1Vd5nU1UHr1mOSZPvuINokIpQ9e1
zafCCuIZfPOkPgqjQf9bq3ObrfatzRv6VwQyeafW94tjadeKTyCt9qayjRtVT9M+mSE2UPBlpDzH
cm5eJJsIJOlFerRr48iUyoDIBKfaG/yAPTsO3UCvyS16831lszAjif7GMFiLOZzF89YfdfNXDKMR
sUKfDl0HbsUqmU6Kzh3PtOdTRLYzmoGYXbcc0p2yi/WlsIAShRys/SZeyAtrdTbvettJ77CczH9y
5J0HN2Uz1AfxtWGHUU2ozfh9DXBGcCnmNz+XAqCYWiLy8FOoauXyxlQ+/xltE9tn3nk6Uqm1PKOO
cU95oZBpjDpPX2POswMB61C/msXfjzwgL37m6BznqDIi9DsFv3tgdhE/AKAmnBkFagTGBfdjAUAK
jiub6Zx2kZmDQaZk8EmD3JPDZ63m40IYJrqE7LcuHL6v2kvlNhexDgVy0EgsJqPuDNX4aIjyt26t
8WtaS7LeqfVCPEXiNp+tPIpX1EvO8GxUg3fx7AKaGNOIjZfhIAanJkDjcvqsLNRXH/6cGoirtdwx
CPlP43ZEnfAcoNx5MZyMhauxLgQYu1CoFv4AuqXYGW6XcUkrlsyx/ZrGWY4EyzYVRNDJLu4wK628
9wggzhQ32qS0W1h/ZlpzXVVNDTVtTo35ZDqz+yE1AnDErmAr7SItTkussygDZ+VHhirRc01w1I1Q
rpr9YGETgDpUQ/vUq4aWy18ChK4JzgGHzfFgbKRX682QdI7FfjpjPGrrOt0hNd6hY+5OaBMyMxJK
UL1K9V22y3wHcXQhq4RXAlddcGOIJt/KHN1UIWb/j5VP0zlg/Yx7YSxZsc7VghLa/gzIFATpVjMr
tpM3c16HSx8zjUhG/x4NRTByhlcorzE7WEV45dbz++hgm5hLe1MoCvCrGIPVA4CLKCfKB/XIMh/t
BvuDXal3WrY+HGgfwtXJuLp7eWpHsAUhs8hT3q93aVw8IpjuTjaTISRjsmZo59whItqsfYGoOjYQ
+RZoeVaeo+YR3zlabQk2J8zk0lFjaH8+GF1DIJJU/pUfmYownminLGa5UV+PUJjgrKO0tboIhuSn
wlWAXMtG3kLL9soKQu1jU/u/sR+AK3IaxHkIp2uz4Qkvkq+Uzochil86N8pPn3NnkGEdsFGJihgZ
w3Xe48bbEhZSCJSd/cjUumfWrNVhZGQGk3T1lk2WjuaO2pMaEJlJyFw3q6BLN/HbgrWzDudFFLTL
KNCejVgtp7zqkQ4MV6VQl2f3ROWk+34dq68uaLI3KTvjzUIh4UQy0MEH+978liBWnB9k5gevzHBp
h+x+uk2HxGJmUcZ0wtbgWCkzMnQdWTyLk/JL6y1d7PQRJJcTGrgOgKkzP/xhxNmfE6uQd+US/NSm
eskyxA/wx/4WNWojwk3kppvqMhzMXoa5pV49aFJE0tkbiaqs3VlstJB9iOJ7Zo3ZsWxi5ise6UfP
w5jfrIg+XlVTe1gsVkWjKivyEn31kzjBU8vY/KirgAIsS29nj1GSl/z0Ip4+QRr8CGsI7rOh5XbL
JrLaTLR7LMnq7ZTmWyfO1/1Yk3XG1/iop874DKBxcvFdqav1ofK99caotbnz8/i5rYtu69hxcqiV
pkcRyt+2cH850BQPqRgDa40KB05j7ubfBSbY0zwZH7oSvxUX17GYyXZBXHUt+Z5XEYx38L6aczu7
J39B9BZ71nFWQKwyG5uQD3I5Ht3brF67Nw+fkSGoCcflBIOaIcYqqlCKFJEc6UhxJHXLLrlnGUkf
aLf2Dc3oKqK+IFQtZJTMIGBxppM7W+w9ObYOBLtNu6AtblbcyeGyVI/kQz3VKY7SoQn2ZjmAEwVy
wYscO9ksIsqE+mtxZn1fZOOtbxZ33On1T6Gs+IODBf2MMpf8cWZkesyTtn2AZsZPbFeWJIKs6Oso
8K8oFEsMDJIKkXn3KDryas9M3QbGXXLtXAmzsz4VdWzSgvBWhCag4tfRFYkO+9JIX6gWylPc9L+q
cdOdjCvDBMNdijxsiP5PQxT7611GpuoGGlz6jminvpNLigfInHuIZiPjT0JCMrvhFjRoennJTfcy
dEG/tan0bmdRF8+4Ga58Tely/lZdhUy4W4BYorocmCgY3ZlkBkInfjqjeRct7MfObY1tutCZtPQQ
uW7vh3a+rdNkq7sxUu2IJLAVywqRsXJPyez17QVx89JgxrL6ObKXJmUQMWdC7RKi3XFjGfE6MADI
s4wZcuktew5V1ldJGU9/MmOh4fIh42XfLfN5ze0xtZzwumTv+NsaJVT1jO6Cnm7SgDnd1COevohF
+9IBr37IOTzdT9FWzVMwZ8MLNL2MMOop1WJXFTbfw7TiZN/61tR327kp6wc1OaOxIWerrn+CoUrL
65Ers3M2mU52tIvMnI5ZgQ5iZw6Wjo+1am1zGzQrXQU92LQiyVrW4Ub3zWSFfb541wzpdqg2Em1n
vTMyaQtI20HQXGrlWP1GDQXe/2mp+iFK9VTXF7HgpI3KaWBmufRW6r8iDJM/zPoNrvoOJvYPj/r6
jGSQlQaMX1lFQVqo4W/FzcR9abB2YxxmFqm38yZtMeSUdrWTa2P7mz6bXP/sVnOO12ki2fFTK67v
S1uU5dNg++NTVmBwCn0A8EiqYpb8G5w3nXWWZRavW+TttngmpxauGuIIeK7gb4aAcEE2Rgcg5Vbw
wIhioKdgSi83IoVIy7eY8FoYaMbdDXn3jQtjDloooNiksH8yYbivSDFhINr1VSNZxBZAKi9G30nO
D+C70IqLdWWp59C1iISQx2hJxuBDIu3JLkVCS8NP7FQ/Yk67i4c30kTsajjzbkyAu58BLYrfMkcX
iarCL+4bUEEdr6kW8lDMQ8Yjp1fsBC3zovIU9P1/TgwKlBRru7p0vAW5RuHqIhPbrRkapUNmtskQ
SkR/5qFKe2/d+QyT+mixCrO7W7rKenNNCIehXnJf7ZumQmCAlKU09k7ZrmXEQ4S5kZNC4UE0h8qL
qN8QlYrMImiwIihSkc6dNcgdgrEiiajKZCI37ayH7LfF2dhtvEEg26pSNcvnHDgMY1JLZDdlO9oy
dHkM7KMi7gGCgOzwYc24SVPU/boaz5l2inbT0rnJu5oFgnGHGXNVh8Audbud2Ze2HDZN5+8BHxTu
AcErbKuoIzgzP8yYlgHMsoZkuHg1IoZ51wVvg8DedwtGQTTnrEs6bmbUh862qfEGnBGOzl1IQyUp
uyl431d23UzocstDHchey2YiUBbOHv9cPxyDQrrQ/bwaWa12J8P6CSqX2F3anz53Ljm5TP2b0LTZ
H0NrTjHKoz65iYtkyY7IG/XyRAHQUI3nsT9WmyGbKio3Dz04KVqVdPcKpduyM7gz7f3ER5bfAroc
eXgNa5DQnuXQ3jTe6n+3BD9YuwGxE7wnfLXtBgZFmkCgBeh6kQ0rHq5XhGgR1SkWkDZfAUgwpk4+
0gAlMwJItuIvPGbzQxyXLQ4yoAQ6srEBerd5njvrjaRBnTlOi+STwQlO1LYJsiYSQ+P9Tr61OG8+
Ft2WIqsrm4eUVKH6WJg96La0Q5J5l2LDoHu75vxc0Myi5mMtmAhrDV3G7OWxyZ3OIXfcHIw9zjKx
RnUH2XfrwlWsIywiCethTD/Jln1eld6VKWcDQ+LGHd/ashZqw7DFXk59KbFAtgIlHzcs20eKwwX1
LqMd1hDvq1yn+KVF+jYf8mVS5cWpHdQq7rq42W5EhenyHaB/3S+VhGyOxjrwI8tP1A9JlNOyUWbH
htyY06mIyEdX4pj0LZmEjKvnB8TRS78FIhvcTomjlluG1CMIZeIZ0eZhnvP/TmC5mrNl5OoZKTfL
Mz5LChjDlCYVQpLFwcM86aXce9pFbQmdnYJ4IgcmxbecFet2MHFUR/C9aaWQ4A9fCwnu/ALyKkLN
Wm6K/Yh+yj/1SYyoLOgG97WlSEoOi2kMkkE5wX7bVPWesyV6IZtAx7ZcY1JZXNI2Gn6wPGWDjVBx
5cooH/r1I0XjSiJ2ahYC6SPwqj1i5GXcuU2fOqeciBhnN8VDSfVh4PiNbDwHjDhYFv+lP0UFVY/L
0EZD0FrV9orY+iMR7qbc0wtLaGdY/JfACMZLA8GlDcuys7rbdSR64MhzXGS7QTXyy3ErUW6xWsJ0
WdFMQPCmlf7Dx7R07EcL/7tZRfbH8eYGubBjuPfIfhzeZf4ufRdkSu3nYAafXmICLe+yUlXrltH3
OF4QOZXYMuOFHgS1pC0eqcg5Vf/t6mH7/26+f7sGP/zf3XyIJOu/2T+b+a5//h9mPsv9d0G0AAlf
WHtceU0D+S8zn2U5/05dSZw9lhcykK4x/f8w87n/zvfmmNewJ8eyiQPnH/2DtMm/YwoyrjHekT6N
atf9fzLzXQ2f/xR9QGo/CjscJcIhdkL4zn9LRNHYeLBXzdWRPGmm/cmLQS2/TWJ41jJYX2fqmTDI
b4rpSElZHD3uTDII2ts1yP+H0Jv/Ziv8r58k8AObDAz7+nv/q61wVGmB/52Csi3mI68YK2jbyT5c
Xqn/wVZo/Z9+aT5DYqDRYwk+6n/9q1i5CjOtsBwMZvyGimBLjvzNEktxEH1qXSGVzEOSmUG6lfSR
zhrazL7Md9q20SmP+ND/6WnhJVyTpv5fVBb3TVYP6n//m3N9CP771+DwNRAaYxPGzlPyrz9RZil3
yFxc8kNncMWtiIvjA0En9dPE6m5LAs+5GAcA2qZFnpONWdIhNdQ0zwFX+t5ysuq8Lij+wlUlj0Hq
fiVqZZV7BFq/Y6q7U9m0jYP8i1ffKnERpeonZpuDQqmCXtyuN86wt317OIydTcVFX9oZ8m0E6b7V
V+3vWJ0yw0O39TJysKI1N5bbGEudxrtzcfJjgI711yID4p78rfHbJql+MPNb0mF7RrGGvRmJYTcX
k0k4A/cqfx6XcxrcJqaotkgZjoafP+ma6B87Ybgdl/q2mcaj9Ib4uyEKaJ3K6cmyluHsNEZ371d0
7gOW+fu06/PLKtMCjT1jiVS33TUKeP1OtS5BnHtbd0Jb4q4pWsGGJrurLp3UlzpB/u8jDFnX6n12
YxuPjZ+jRkVn7smLTAN8lAGCmYrZrS+vh/J4j8f/ZRaps0WvSvmYe5gm8zUr0qiyU4xGSjWbulIY
uueUSHMccxGDnvjs9SjnOQfYP7cI6CIEijLyp9LcTaX+zOMEGdkEl+cwzwjRjZmYhcAmVG4014dm
sN4au3GjsTdPvdMaF6PXP0yikluPQc82SQP6kuSaYVGhA+3aPFps3uR8tZZ9RfG6Z9zon2SZ4seP
GwZZxJJsCNP0CZGrZATx/opQYJfTiP5OldjSMKLu8Zj8yYP2VlS8GNp9WbV1qk3nKOys2K5V9Sk8
87VPh3dmv06Eo3QN/VUy0pZzdqgr+vjEZNvZGKN11mz3owL+Nt6h2jysZkVNtFQajwUTw6L3u0sx
EGoTj+oZSRiuN9dIb2Jb54+NSOwXMGvB95wmxj1c4BnF3aAx8huzf/KcPv2jMN/f4a30UEix/Qsl
B/GnSvLgnCDLOPFfJOKb2EuPqcFjn2sjebM6J34U6NdSUEju+s3Kzr4VuZneBWbvkitmIx0vgceG
lTT40LzCDp6QxTD7L5kUsWuy2GhQ138H1cpwpF3s+ljW7XTPKns5BhI1y+CW7WmwlH8cPDQ8JFXP
j4OjdLXBodQdtMqKrzpf9S+L0phtEobWVdR/7NGSb6bp9F94d+r7KUjm46hT+TgvyXyplKMvmYkx
oSqM6TJCBErC2WibMzmfwY1qYSqsevDx6uMEcm/9tR8O7WquL22XiXuEV9PFzVc2Fcn8p1CyI17B
A1pf2uIixzp90uCW/oO681iOHMm27a88u+OHNsChB3cSWjAYZFJmTmBUCQ04tPj6t8CuW0VGU9yq
2Wtrs7Y0sokIiAP3c/Zem2U0NjGM3RsN6XaA3oqgVWWmg+l6Kkz1uakb+ZCp9YPZyyNmvnAPBhW2
v7eOCoUeBtkINeY5pMrVr6yjdqHBWkoXFvCY9rdxanibUmv6O7vXdjW2hIsxu7Om35djm86bxp8r
yV4mxJPglLjRNVo1zeBskIUuMZYcSG68N3yFOLEBHsYMpx7yyLYr4Hn8GuxBXddG8cwp0RdI4Jdo
Z5plYtRzRTob0HWATrt4kcU1+VI9Kvl61xb9CoH3mNVHrx03OtNfbHnlHHrFnJnWDFSop8q9SNcm
20UqrZazUn9MkLHNa81FZBwutH6l0emahZHYOTg3xli7k/oi1Mn7CdGXK8Hc69ptQxxA7uv7sB9X
ErlKF9iLMV918q5o9wjAGEwxHBTxjHExclx6V2bz1HQkjcD1X4+Fgr6+mLEX6sQmthldJHy8tjmA
kThG0U6gM/QjG5FBOS/MhwB1V94EG1/Ngo2wpLWpmPSzgZxHKELmBtG2W9K/GD00BX42ufH1ZjPq
V3QqaVErs6r9rcRKsBwwXvtFPVOosK3a7H2sbJ2RzL3Qu2iMcm2WdPICVLR4WxftyAzYopLXKZ8k
Cy2Gw3IetsEyclNGsDmjb1ojcCWUEpiIeuljMHF1qS2t6U0zjutkuLYpaE10jKSxT1SeufY6CcJH
3XmxcsWaJUxT1xKdzMILovOyP9DDulL6wgafgWfS1pSLQFSLUY7OoWcO0PsMWXIvfcFZkM2lhXnK
7PTzMtP2FJD51+9yTUzv6r+WVCyimFRbRJtatjGFpE+Mhrc0LVn0Sjpkwt9KtsXporOL/gfFuaZx
D3hF8vDsvKlAjA6SSVnSNgMTlG1pr4XMI6ei4k3lJZ0Kjfdac5yp/MDRpxJFr1VJmQqUN5UqYypa
qG7FeT8VMuO1pskiVn7A6gpox/fVM9QlBBdazy6f/kiyq8rK3YdQb35VNrcKKjjDPjhaUB8Z4wdP
MaS+nQ7HZWaG7M5meVkqFyZ2zkcfx9JNUyvRD4nb+IzhOMperbmOibemwqflwbGIHLCm4j5OZX4M
jGrlCQg+1BCNl2wv8XzUw6hcYmdunuo4b68y3b0zUgG7yTCxihv3OMhcbCr+RVxDMiBsc5Yl7cNo
0cUyKhnt+xwHnd16TLapM2m0RHrBygHBktpUchGUvG9CoEGzGk7SQqmzRV3Zd8AFFmqrt/cxw1Z9
lvuZG23ZFzX3wVC1+bzsE3s5otzyZwyZ3R3NRKT+yGbbeOkoKj6/Sf66DMSkyx5cYC6Xqe70V9VU
U/OpuuZTnbWnipu/Ft/+tRCjIM7XxlSdu2DMGbFNJTuZqjfJa8lFMlV0clW7Qz1V+Waq98ZU+cfp
HaBNbwOa8NlTywuC5oS3AQY1/h6mt4c+vUe+vnux2L27e+F5AFYXmonwyAG4oZ+GnGq2FrQmaJxt
yPi7zUMW/ggNDS9ZFNyPsjRvswxPupkrSz/eSeZ1y9oAuz1UbOD7NfudFXk07tLVcn9bd+ukZkgD
7TQ+D3IMTUYmFtIvFlBn8kWnKvkPEiS0iyYrKt7pxiM+zmMxojXOI+3eA9S5qFW0nULbINxGCGYU
q8qqbiIFrDlzFt4IAWkuoOgpIojmVcNoL7GM0HSxnXmk0aLrhXPO/EUsO93Lb0tiqUNqZvZTVApb
cKIcBj24VoemXJlRe6e0xhyrzy4OQ5MZu7jSRh4E1/GDAxrJg9sbtK3oY0FRxH49qTz6eKc1ysrR
OmeDlM+dSTorc5oTA1Pu5oaVl8ewEcllnnraFZWOMVyGUQC9RanXzmqYvro9FjOj7FvWPhi6WvcH
ZttqVmj9ACEp4Y3WMsflRdoowU8C5s/wQs4Ct1ykJivtfnDPS+YGTihvVAwlQQMpQOiwxdR1Xj1Z
Ai7aqBCogzw83za5lAtfxQgIGW5T5WLDNuu+HepjGIuXOBoggZgWnouhf/XFzrvCwEUATHNGJ2Ej
MxZyUaffUFDWpVo9Kh7mj6rIJ4/sL6zMzGkLB8k0whmGstCXBHhin91cafnpmdn493hw1HVbmeUM
HwOWvwr7rOEYV2VZa7MsLM4r30lmpEAgTo5p56mVdyHMETudwS/k1q2tcYO4DB6Xapg6t3VjVUsx
RL9ErgqsGZgUEH3hJZNs2Ua9XnDmeWRbG2VoLsQOv7s1Jx3q3pTtg6xs4yYv00foWMUKPXqyiPRq
nrXN0nHxNCFL5J2oL0OGXYMq1oQl8a5U+2VWbCO7eDIUhE/xcJlo6lIJ2ILQ4MSFEegLJah3Soro
haXXPtAylFOeumAy/MNTxCXggBodq7LDWXCuopI2ckR6yIQoUrUAopki2w1/jJGGZRCKldonGzcR
t2IMf/S6dWBzO1dallt9dOdk5b7SroSbbf3+2Q/EWSL6Oa2nddIyOjQXjLTQiAEwgJfVlluHYHTe
aEuJcSAU9NCDYGvnVz474bwzlhmDf1NB3If2oLfv9SaDtJkuRQFjpFHnFewtKz3L66UDD2DUtkrS
X4IsvHVwX+PGcf38gpkvXkvK3ouN+QUmsVAODtWdppluxOfUtzOJVcEKzie9blOuh7Zj8z0uVUIL
aWmq/S+/Wje0wIu4OWuKYyzbVc6YDNau6QwPRvAgm2cFF2WDChiKgR0914q6TLQLX7spa8o+MhJV
XDAmXhDKNXcVuaEf1/nPUYZ8P/jdj7hKw5Wsn8OuZ2O7GFPkaqJdOXLHlPK14epqSwKAWsnNg77T
sOrzNKX+aPUCkshMicV8WvUI3VoqLk/dr6Rf2Dp7cFHuao85Vzx3q/5Hb/CIstAOu3OokWxuOcM1
Hp5cEJmEUQhXsFD3Bqs+BDD0M41dqLoLhd1DxHYU+tvMbdOpQzhHpc+G5FIvnsx0RMY8+WrWysjf
oT3p0DQWbYtA2VkOWN+EhfCT/nLtQRFOFpOvTwBrSxnlFOg7RLUxwBW4oNHiaMU+74dZgEXxr3hd
LVvHgUQk150qFlM6b1G0Kzm0kGxgpXn3qTbifV+OLjJ77kAgxYum7zaDi1AYimhcsq8Uw94SD61f
ohhVZo2rnrWjs/NzHvp1oZa3FsnvTmYcwIwdVa1d9qY5M9WzIS2ZQJZ78Dk8VjnhD8pmbI3lGC1N
A397DhrRLM9oru6wgiwsa48aeaoehwzlvGUcI/FL08J5mmoLzLGXTMsPbvnQZUc/A/ngP5m5s4q7
Q9iTC9/DNVexvnQek65zbAxrwUhiVo2ovlNO3ryEeMTQNXHXdACBNukotWUpzxHKLhEGqes0DrG5
OpfI2K9DD/zEQCd65TfsglXft/grDAD0YICY2B467HrzhsowDizh+zS/TUv/d5HWh84Pxl2YdFe9
gZ/F05Dl5Umc7mQ7zQ+vByxXrEMuUPsbrrVWDN9ZhEq5zxFq9rWzVlHmgJlAYagkL95IpYn4kHWI
ztuKHONWq4pk6Znp+v9WFstMO7bjbQFF8XxkqHxIROHeFwUqMj8CWzlTUoWprpEkHLrwV2kdultE
NfoFq53wVwzSch8XZrRGKFZ/w4GeQLd/LZ1fFx82LUAanBYsaHEaKGYjBxxclUAjL+/Q85jufeek
4bKUxpbZlY3CCc5YrVo336x6vjnsyYpdsWLmNMWQbLsih/Rh8mbS4kpnLOJcfn2kD5qcb7+gfcJO
a0jESeISQkwQdI9oeNceIijUb/YzIptvvpX2fik3bUSE7TBXmc4lbU715Gv9da2DImr2yXTNJiDp
3piuYz1d0Wy6tq3V+atout5IY9KtEk43weBX2jqe7gwV3PsfVPG/NSi4zlP++zpceMJcUIZ+UL9i
6f761yF8KvMq/11/+Vvrl/z8gc3b6S9Nn+bPv1X9OcZYPNQP7/5BtQ3r4bJ5KYcfL1WT/PtT+C/5
9Jv/2x/+n5fXv3I9yJf//q+nvCG0kL/mA2t7OxYwuN6fjxHmD+lj/hw+nP4//ocKaP/LokMsTFDp
LpTiP+cIqvgXDXyHpBjTJkPE4T74Y47AhIGMd/pJZMiwrDfZqv4xRoAJqOkkcJv0/3UCWMAV/h0m
4HTfvnlwMRJOrXRSEm0CWQUfkp+/IUi75P8gnuobSL8mFrUiaRaujdkr7JE9MH4oz9lp5QxcTfTz
FvmHg5MEt29O1sW/j/a2i66933iTsc6UxQZkDTkIbRHJnO8/RObA8ICyVm+QpUyjdjWZK5j1GH8H
A8Q++Fgq62rZPnJDJ6gI6g7hQIuUcF7WWXgDsjyZff2R4G6cnBhbNVSTEY4Dmp2ugHky1XBNv8dC
FeO4lHaiAsByWJvjomJRTNJqet+TbczuB1YNTS84BlDR4I2FkFi6RW+IEvwWoK1i3mrC7laxolQh
cFOQVg+dWfi/CXdhVw9OgfU1Gktbrm2rpNnExHG8T6C4kjbpN08dLGmkioZEFFLreuZsat9hHSly
kWy0Oq+KA8zPvp0rte7eD5XinCV2+WJAOfutQ5/JoATpqnlppJ3nL8Nk4kvjaer65eA4irXL4hwT
Ifb+ItqEWgHy120BhbmdpmGtiZ3e32t+Z6Xr3OxbNDgZHacZQ2sS6sSoyGIXJ0J7th2gOvTfA5ev
VLLFXQrDS6tlnZZ6AcBYQtEOPHx5q7Z3M2A4Jq3hGQWkSBlqxt1zUkwTbSQQP32d5KiZSKBBrLSA
ED0AjCaCz7pkOZl6aX6vSAvJglu5iKBM0Le/av4o3B+a0gUANRG5M8UP+Dym37TuGv1gqs+MVJVb
wQABvZYhEO3ahdM/0HpH6xvlWTUpTZnV8x1QwbGVUWyYeaz/WHbxTPdLOE3l44jECQmVVpfhJoZO
Ic8iXUvlkuYtbQzm7MaWHddYXFSFyS7X9Uo4dCLpxBHY2fDihXrN9H7oVeT9IRIqx+sUY+H5nrrF
6ZOnZ93gGz+7cmxxebb4PQ2jjMkizywUBpbQbqceUb1CZxpdjl6rP6HaMc4HBasVDcsuvTEA+SO8
dxk2QUzz1Xgx9LZyHrpqahCVRL+dCzOaxSpLOra1oRZx/nth7YXBQI2tQ54m+9ZLe5P+aVOggWUt
aYB0SLG5lL02PjbFhELB+6CENIo56NRnadBQ2d21rC0eBlf10ElY7VCuRStUZ9FZVcZ9PUbZNdUM
yorr0VBApowIG/C6QPe0VDKjNq5HmfjiLBwysIclbznYdSTcYwRuK2xJjsw6ZmddNNCIUmTpoZzp
2ZGkaQkfhA4XSs8+6OZuYgWs7xNn+E2PczzDJVqgRSNnzF6qeM/zrWXWLe1bTCo6RuMcaazbN2ZL
b3Moz+rB9M3LnubRMDN6BjFzTQ5OyefNzTsngO6AB+JWpiyyou6FIo5vGfDesqHJ/oD04ypqxDRh
2jI3ekQA1W51NN6HLhdPtYcOs9w1niEOMZo0NGqQLR0kBoSF/rYRYyM8VWFVWGmJ8rab0Z1bDCTj
hTOTZyqMrQXG2WdV9gcksDOfEzSY4W6sq1VW2geJuhTCYrKw0v7SrtuzyEZ34WnXORyBQWEDgGWN
z0HaqBGvGNDMtDxkqayuZCBD0AXXqlv9aGJQojjMeqa6Z3Y/7nLZWTwSiHoAclr+Amq89rsOjf7e
UYu90PgGjhlszHyXNxUXDl+Zrynsv1BP2D1/Jzpj1rkrbTRAOvQESA2mce347JxdE2mdiwHGxQAW
ZzYO5dzmLKsNDnzDBQc05PO4KPdaC+bYLAMMHsoPNZ8g1IW/qEf3Mne6apmFA7u9FIxF1Pe/yhTq
SuTISy2nfRkM5l2VQl1QkyNGH0yEXR2vkZHg066kN8+zeNxnhnHMxL3ZJRdBqG1GYFklYYXPI6t8
ofnzgfbsPMmxZiPzREqETWsPS5Yg5ISbL+7S8FZz5Y0nzXO3SlbKiLCVDlWzaAxZQNgY6xg5OrMK
GfTLqk67ranjsaOBAp+gKi6rIL3xSv3SrLIdGPuHtq93KPjlb8w68VKD//jTU3t270YolkGqYazu
mnGG5CdZ6yYJzKWv/0ibupvpVgUsbLiqfIhSiedcK72gOQKFacppucJBPRM5IEm1Ww4aCrkVbYS5
qsvfPpishW0MP6CUrNwB6ZzUsEXR5MKBKPVm6/bDsVJ6fYZRZdG47iUuqbsOmse0XHAoK2dEjNxq
VnrlTWwABvW0GXDUt3Tb5loV1w/jGJ5bMjoKI1NWwfDklM8EMayKqjy4UEu7TA7rynPzM8fTc2Th
EdrIyq2Ke6XT9lGOZoiu5caV3hFyHVpvPRzbx2FA+m6XoT63KvVGSYN11WbnDbrSXz1qwGUiVf0s
a0b862qL+4lZj9EcNEZAfoImP9fMccYqnJY3jKaVm7EzA4Rz1/rFTxd8oe1c0tS2Z4jEzqTunyWo
cWjsGQhOw2WulrtY0CeyjZ+62p9VscHmGqM4Ut0MQfkIS8XNaOGETbRRAuWmiJOzzvaPQ+NHu9Fw
77VeL9YhajDsTj50QRWiJWQCt7hUw7p8qSVb/VkU1tlZ5OUrU2PvTQlb97l942ENOdAJPhN6Dp9G
lTfwasZ5je57pGuHJwatmAzbcI0Bf+GQf/ajMKZk9WBUynntV9eZhOifcV3ZtDpecq1g9cOFcz8q
7haF6U+G49u2xYbsW62F3k1D9lma6cz0TBCAltWIy16tLhyUDoBKVEXqGwqrjqLPpel561oRtokQ
COsYB8tSa9eFyNJZGbpr3ig4tPytGiHJ7rzbwVLhORTVRke7sm+V6sbNUU2ntCGrXmlYIcGhhJdy
UdqeyUBu3Cv82AwxAaEinjAEvO9Vqz9EnprH+zRt2f0L81qzo4S2c7jzS8OYM2ELnwER7Zsyx/w6
dpDJphaZ4fgLDCS5HRvhXAZ2usYuGGBYBVcG+zETBzGkvJOAzrZzGBvdsvC9EHmEpT3xBY9WmaZr
Vxcj73LzJtP9hqWL87tQSlpKOuapuY8lFoTuGmNYuIZasB+kugMbj7faUo4sx+w7LFwvoiv3ZQED
I2uVA9kHzkWfN/0GS90Z5Te7CE1ZPLkO5MU+8Y7YeIG6lNnKNu25U5W3yDVWY9DjHfddmFY+tYF1
KEbGZsPLq5wTmzgXtoeoZMAZbma/qyohjuNeNdozDYISTzJmllxnleYv9BjVXyOvw6zbapE1M+KM
F4sYHiIljy9MP71AER6JRSk77jUTdlekPg8wAA3/CU/amR0R+5U2OysvbzNeX3PdaDdDlD0PZjqs
a81A8qb7PPQjZmvtKEs3uM+w4pcqqxlb4r9TpVDm6VDPqjTwHxrsn5R9k4A5E3QV3tRdFTv7QfWX
AFsWY0eOnh045tWAU5ZlaF7JW/IN8LaJood3g3c+elGqnO56pJCjvarTMLrsyiGQc7DBCApSP6p5
R8e6vjYq+l6zJC8ghpitbRPWIhUYE3nq/IzsHnFTHvvVfFAr51iSXvI7KoBxbNSKJx42Y81wl9wd
hlBCiUmeqWBibFNWjCx7kGbKdazaIestLE/gm/NqvHcymd47Vs82QFe6nz5h0StcUAk8TTV5yZKx
vyk8uu1SNiDmOpTGZ3qnp9Bnh9JAP6HbxqTUkA3GzqijNLYwuzmXThAv3No2HnxXYeWOc4fZuDVa
+hZWIgS+cKxw6oYxPfn1oHcSa77LdJc0Dx0dfd1FHiSdOljanFp5yOws4Xmxgwm8WU4GM/BFxRWB
lDDLbSNr/VXh9cUDLl71KUIwyzoys8M7zTdQZ1tO6cbsNVJ1m0VKfCTGszySSQbdtdGSRDlPXWCf
KzQQjliPTd1fSam6N20NbGkeeiquXl+PxR5EVozzDB5SMG91hS9kjnhEpmkxBnZYGkRn+TXsItK0
6QInsa/aeCodOrm96tQXbjxIVsmK8MW8ihXnMmy8niUUrSsmFZ5boLZXB2oGS6RsYZoK910eRNzL
tR6Md0bugQtQPU15IWKlNOdxFjSXQ4R6fVGxCKQrD7UVo5ZIfXgEsu9JHYmUhs5f0CtXmPoevUBP
z9ScdMamM7a9kyrWUtpKc5GYRfDMk940IGPt0punauHD5yud6LFJqYvzIrW6dT346cvoOJiM7K5v
mnP2JBaVCuK9twxHwOFzV+tionVi9LybAtw8XWwcvhFhIXEkEXUZw7neeK1YdFk3sD+NS0NDpJGX
j4VrMieIyyFSjjLSIYUIL2RcVrTAf7IUuNLSqqvIZ6nRyGAG4ctNN55meT/TTnFRM3dhNgPeiX48
JmhGn3fhyIwOaEL4GAdE9Syc3EPnkGSxbs3UzmDTkHuOed81+PKWXuTm5jIWTXtA1JRli8AP0AF1
tZoqq8rTIDmhNW/GexPj85UFpF4F6koA5LxodSY8buCk9UZBG1IsUpZL12oog6sCqPJj2uOtDPAQ
Bgxg8rQlwWkiGXZlU7wUoYOTQalS71ept4wnBhSEvwH+4Ccxw7z9hc1KWgsbhtJPKlRUL1W2Ny52
dNXgXYbvjVpsOsVTm+Tei4/yiSmk3lH3YGyD9yqIEcgWpVLCyW1FAc8rJQapnPlBWDz4Q4wnhcaU
ig6lgJNl+rGZXVh+xCZ47BH6Kc0YXpZOW0/k7A7LD5q1qp0PtVXcmpFVdisH++2DXxKDO6fp7+7N
YBz6OdQZtIXNaKk/Of4YsW7EyvNNs+R9uxKbj4bm1aR9Y1sOc+dX1eabHpIWNm2t8Aht1DEJd5Hb
s2cKh+YbfcaHR3FUR0c7axiIb983iYqxV0VRVNB+ykhbIVr76bsQ177u+3xwEIv/kLLCIYidmASo
b76Kz3qqiaBYIMHPWOLTcrlzqijefX2UE9HodMLYGLIcdiwDgb07NZvfHAWnfjHYelltPMtgd5TW
5rFJo25rNWH8jS7gP3prHMtGGWBjGzXJNDz9RiGkV2INgwqIo1p2syLEA6VGHXRox5L1lWIA+kBK
lls3waCzwuvZsz7r0RCls5x1STGPbRQg39wxJ+OC6QTYBi1P3RI2S7rTIMAxqmv8fWG14dF4dAZ0
Xi0TD8t5Giz/RdNZ86ZKQbv1z5bsR13GDw/qcO/QViUXzD65gUSTatIE/bWRDDJWBrydgwEyYieE
F+z6qBKXZeXES5HXLrpd7HauTMa9DAJx1PXE3jkGS4XQLrpzxFB09kTKHIlS3K0KkDHLrz/tB7eI
i1xHcMUQHVvOyS2iC0VlhN7gw0yEt80htmGz1OCsDqX/9+95RjdMG8iTnmTpJ+cFe58DfMvinudX
FiZws7ktkIx8/YX+88kyp7veptFrCyZEJ0fBPqYJZMdo1UpdWbEwZeQKhuebo0x/5W07G9AY7Vp2
ZHSTbVLcp9P65slS9NiUpcPIeOo4zyq3AXWBZa65GDHi3YRsya+JmOj/XoAvt7OpT3YAjilcHuuT
qpGwAE9rNAeb0aJVosJqgiAQZdPA4Ks7+INTSM4k5gKTgYFu6ydjIZySbtPHarYJA2ZrtsgmVkwf
fxNY/cEpNF6HT45h2SY5RienMBYB1kamzI0TdESMpcO15WntdkBWfFF6gTYDzvf3K6JJvUW1ZJHn
qFIT3h/UhTTHYhUTnVDwMJZsR9EcG8gqO6P+5sn6zzJAIYRO6iKS0jVExe8PZUZIoqQ69RcSJX8h
vY+ermFUmPIhjyiXrdXAYNazoFrhBiO3++trOH2RkxsUk4CqM3ahniGFeX90jIDhYFYcnRTrdmF5
fnZMu9IihKj25MF1DVDZXx/xPysJikYhBMpGPAbq66DjzSNhstIRZti3mwyUyTorcnelmSq4eH77
36/ovzUd/N+N/o7yJbuigfFSHx7k/w/zP87qn4/qNF78Y2w4zS//+79Q3Gfvh3/8+h/DP934l038
lRCOyrvO0Lkd/+0isvV/maqm4y0ycAe+iwQz+RHOI43JLxo65oJUgj/Gf5iSKPOgAQ1T5TmBmvh3
xn/vn3WFv81r2Pm3q+XNPcGLGZMcbLGjp0VrtrI7FSsMfSeEg0VL2Me366r3t/1fB5pK2psDNe2g
IlsIimND5yABKY1UjVcvhC9r9JLVm5P+0Rt+msn99XD9dZST+stItwb75MijtK0LrSag3dYdDBk5
LE9ZMC9wsQgXAIbnLAvmo+0ezST5/fXBP/uG4v039JliWCa5JkfpISGslfDQ9zHYjqmAfpfU/H4m
+df3m773m7M4spGIzUg30Oyr15EWbAcnOCeb4or8BRqP3QSNWEbGN4XjfaH862gnBZL2EkkbhuBo
zTBXexpr7WXUr1Kv20fSxHN0+PrMffKtTkOCA+Idpa325pG0iQfVqMDHhUsNXIzr3tdJeWXVxQ3R
F18f7H01/PNLTb68t6cQ+IulFaZtHFXmOnrGvMCLTARK4unrv/+6nv7gHjxd0na55UZ2qxjHAa3Y
nSLqfFe5LSjFOvvFisNe5exslp3ooXo6/u80q8QmqZVfvQywqeRW9M1ZfX1Pf/RBphv1zc1CDpis
vJ7LF3IL4rZZ9E9Vsu1jcTGW3a8iIu3DbGhd29+9aD65X07zw20E5wRLJ+JoDtZToCWrtFK2aA8B
lyaLundRznfrr8/yZ1fxpJzkpNsOIezoY64wELe9ALmcpqgb2mXf2QE++zYntYT9X+IbdSSOLlaN
vP+ZQyizaIlm8cLIzkfv+Z99k5OyUWslGxQvE8fMDOZD7PuL0ewOshPim6L4unT66D44KRoqkgNp
mZ0O3sRcNj5mjH4VNy9TuJnt/4iKfKVqyUKR2yA/mGKZRztijASx1mU6qwDLdYi3rW1WX0pMb2m0
S5hq2MlvPewXzhSqfOCnZdRtpl+ieZ5wj0UvtU2LCfVu9V3p++yKnxSjuMVw5rWac4yJogrbjNCF
JiJexzPk5usrMd07H5ynU7FVjXXJsRzXv1Azwjygu9hAtuvhm7rzyetBPak7mg2Qs68V/8JzmWUm
WaMv7Gk87w5Zu6zlN1bcT25adXrPv3nmfUE+SFRL5xhyKdwYjevQ9eukgCVqDatOrbaVXH59uj6p
2upJeTH1om3ttgwu0oB5qyUZwyfqXWCOZ0433g+RekQgyh303Q1w4rT9s3KfrpgV4POmXSb+ReYo
l57GvAkzARMhNM8NqNAa6LMF9SEWzq/ALcJ5L319aY5asQG+ty99yeC7aNnWez8tF22JotCZZN70
4jgxoAL6kcDvtqk0wa7Q5d/WTtSCGJTC/OYWeH0FfHSHnVQtU08stSYU7kKJe0I30CgqCIaUwLY3
upPdJDXsYsZF3kQHIvRM887G6D5qVYJhnHsF32mtk+ggO4xzX1/DT94R7Frf3y9VXOohgC7v3ILP
Iq9UBwa5d8E/fOZxbXQALQpwZfv10T5+BHT7pBCZjWsZdtUo55okqyHMi3UGBHnmSIx2d18f4pMq
oZ4UbV62msAl4p0L1XhuBgcafw+CvUAP+vUBPisSJycM0jyoazONUQm4CG29+lqNqm8K0Mfnh/ib
9xfDiZu+17EvHFHC9AeSZpRlS+vwclSt63TMg28O88maXz2tpEZh+aOlJUej9ndaT6enveysuyD2
EcZ/10T4+Dzp7lQ13hSioG1g5HTAlRUvqYBbMtH2NfWbG+mzP35SS5lb94aWgl2nk8D0DBrYvBPf
/O2PKygCy/cfHA4jOYF5FB3Vrhp2QGcZ5CtAZ+OIR8NmMWqG3RFtUDf/+ob6+KIDEH1/vJLcEoCv
GlbJBF4Vc8EmBs8AsST8ptf82QGmR+XNlXCHwpMA9KIjHFFyNbBfZXF3X3ZUSKW+/vpLaNMt+p+V
jabG+4PIMYkL3zHCoxbVxjZC3HltJkX+yCTdX9rwcgcoZ14APNc1VqPXH7VQWX997M8u2Mkj7wBU
RZtshay3sf9jQuxwJPVTshaJniPZH9U3j/5nBzp59OOiUAsyUeMj3iZY58khUNJlgdlLbO16hVv7
m/7bZ3f3SRlQoMsS69EwF/Ul1IGas9fWZr/5Z6fr5OlXzRE6ujfER9F04lzSBN03Aj9MDvliAVO4
X8PHJ8xJT71vvs/r+v+Dm8M5qQW8iy3Z9F5+zLLoohwFKP5Nl+00z70m/M1aeqW5MwgLVfw6gURs
LiLlTOYH0KM7Y7Trbx60j18N+sRqefscqDZOlgJg8LEWI2SNGHs2zWN5ZrnfVI5PrptzUjkyUDBi
ZFZ/FFHBoFIxm+Gu9GTxzX3+2ec/KRSqP7humifpsTCtdaOKR6Jbn3tFW3x9X3z26U/KhGJJoFkk
sBzZfJ/xzID9+2cFaBK3vz3xsUNmczmI5IiMFuhyp2I9CqYMh27RFc7vrz/+dC99dI+dVAESLR3N
NawEFUbjTjjyXZBl4CpxGCHEWzdatFQJhZtJV//mhH1SDpyTcqBBJ7V82meQAavzWD0Cxp8R9LQc
m3gqP9+Wnc8uzEk58FDJKopjcxwFromDAjUH3PVNk+CVzfPReTspB4XeGYgvU3msmYRlKAVltZA5
8k2UttuO2NSyObTG8CtLf7rNbhDZJsd21/cvUBnA3cLRhBHueduiPqhpc55nqwHKYXSj2VvN2Oly
mPXWdQett0HyYbQ6bJJVmt1QMAGl7vmfMn3pC9IJCPOL+mvL/vFP3+SnPmgG5QCb014eQRiwYg7y
kQyApPxJNrI+qbnxzQlgmLNYQXP+9V346Xr6pMiEGY7TMcgc1p+IZhNxibz/3DWDS6R7hJr5u9aW
OjRm94zz8PUxP6kLp9NMoqlwYw8VhySl4BWfQkqdEv694eD/7LqYy7x/eq3c0Dq/MJzzEbHFvGI3
SfJy9k/P10nViWKYPX7KOWL104j7cEQEU8/j/lrViMe6smN9Zfbf3OufXpyTQpS2FZuPynbPjWK4
8Vj4KoCSCm0TEXhlmv1lOWlGVWs1mDzC/+zinJQlC4tejBHBPe9bGIx1M+XWD31DAEk7fnP9pwvx
wRN8akgzCVdL22xKpw+S5//H2Zk1x6lDa/sXUQUS423Ts23aUxw7N1QcJ4hJICTE8OvP2/6+Oidm
N01VrnbtXJjWLK213ucFJGg7dv09lzK0TW/hZJuZYlMehpm5mlXMNCJmOBSKWc9Y5WkDCt5SUmzu
A5NlY/iQxrTNiMovlLebLsiw8AxDwXC7+adhmOacbR6jRJJS9BGCbBX6hiWghveP1/+6NTME7mSN
AH/RGxDaGlHSlhAPPJECgTIPqPrHvkMh5jMwfVl5cABszilAUeBd8Q/iHJp+YXxmjiJ3soqA/knd
JgedXqYj5LjwnRjNdQb2pd0lb1bC9zJ/uN7UuZZOlhAK5MCGNNGRkBagZPrcoGEVd6gaXbgszs2E
yYLJSypgUt4ZgKH0e9cx1sL9aQwLv37mKJ0y2rq8S9om1qBGZACsn+eB7UO0fb1rzte8C+vQnZzT
qDlUQxVgHQLhfMo1qmyT8ZRD4LQ695UjrYXr1NxgT07soofOp5NYK4gbP8Jv6oji/oPgyb2S3a52
LLAxvLfrTZq5VDnnf//r6eiCpp27Zo95JTyQ2Z4UrHF42HRgBpz9bkeYTC4Nzdzm7Ey2AIjIiHQC
DDxOArBLQywR6JZRPRESJ8JRkAdkhzVzvWEz03ha6UJQT6fhOGJEAia8oAseXJyZKDfalvAsuP6J
mengTPYEbbWBA327EVHAYXverks4vOO+A1unGrTt6x+Ze3c7k5VvmS1A2nC+ifpE3J1jdo26wxew
xWRgotvuiwsVAITFwNgtdN3sQE22AK2DNIHXlBHhxshiupVet8InDROFl90LzAPwZIUj51ITZzYE
Z7IhuK20XO7jc3Iow6R9ttSLhCz0ev/N/XHydYJr32mGMcZ2RpT9oBt3rUj/Kw7W1//6Z07xwpYw
lY42fUXKwfHkiVHvg+Y6Am8L0Dy/eyvYNg/4u+YWXKKD8lRoex3AsmBl2vkhEewmRt6zhyoqYbg3
4LKAuvalPMdnNdKlnzXZQaC6gYyq1uqEnDVqJ6tvWZXvzc46wLfo1uKQWVBph1l7Tvyk8aG28Szo
mj30KtDs5fCrrdkG3s0E2Kk0jONqTf0cgX9MOOYaKCJv5fc6ZgulVef6iEv76rRsBSq+1rc9oU6j
qjceICKoloWrIi43pcOfHJYeNIVJUyn2Z/XnaNE1ZDB728xeuYcAP30cEPHSH75HQU78ybzmWSiQ
YSDdJEW+6Tt+wyEcghvomuTw6KHQ1Pn8NjA1hIHkxUW+hLmQsvioC4LuMFgBiw33K1ved3W8lJT+
rNy6MCT2ZPcDc9GJVVM1J2gMI2ZBgwgjG1gxnZ3BCvNkGrBojSXkFdmpDOJ3WVgPWcv3sDP8VXF3
1VVdNFgSl+f+htN+11vndFx3ajVokixxM8T9YLdaiX0WAKnfm1E7BHqllPukSWFv48E/ORJsPBu8
zawywed3AI8ecuSILUDuq8QFDMUoC3hqMr2w+MjcyE4CJizR0vBMAfajmbzHtQVJXgpAhojHqFHF
aWiAgsvsBrlynAKc299gzPLR1zCWLBl0QGYCA1VgnXd9lwEv2OxzRz572gS4cQg2KQaNi+Emh29f
ybheMcN8GGB/1wj4qSl3gXsxc0Tak22eZq4L5nQvTl1pA5Be/cl1fITjxH2OX7KGmmOjCvdZ96/X
t5S5Lpvs9yKxuwDwVdB07BpbAtlVXL9aLf3WmtDtsmLcBKza/Nu3Jhu9U0M2iUrO+sSC5B3e9hm3
YNrIbxMJIKXtIP9afbv+pZnj2J7s8YioW6NOvfqU5/Z9wouHoPQjnjTAxhbdwkDNnMcol/pyl5GN
kgG4Xs2JeS4sdovfPgrpy17u4Ob32HVLxYVzTZncAgOVIHpqjc0pH6sX2MIV28EbH70YyqGkTPjC
U3auMZMdPPWBwjIaA+8Z1UaDHoDyzxAk9m9Gx3nlRvPr+riQmdk9LTT1MseAaDk+K8e/9/whyMl+
ALHN6/t16b637ndhPSGQofIHpAxHjTrGUvxQZQUzl3TT2k8OcEi2/kkB7lFwI7LtfY6Ut+yDN3dg
K6+Ofyic6rl13luXLigzZ/rnOfLXpRW2AA720iQ5wYbmHmbBFJM1Nh9HKxv/rffpZN8ygG1zOoUp
WvFs56kSYNF0I1vrNrdYt0ZZxfXen6kkotNaWFivtymgBbA110WkMmPtO/XOoNbWgKsc5E73Rjyu
W6ih8QoLvoEy8JwZ3pNulqJZM5sNnWw2vWg9JCKNIBJw7Oia/jHryp3I8tAi8mHIUdQzsOeFts59
a7rZCMFcCyYCJ+gZA7hdNURuU+uHfIOEH0TxANNlJKB9b8FlDeEAA8X8a6pgNsS7NeFwFl2aPrO9
PtmMUi8TnR8LfqrT5C53IcuFuwSMfpITkuHbJNdhJ7ZCZT9QPRWy8hmcwI+B+W200BMzO8iUgVJX
Xo98nahPrlnfEzN/1krDrC4wj5Ahw9iJySM8eFZ5i0BiB6GQcOtdYTGEVaF+WtfQ/gKlnbJqJdt+
WDiq537TZFcDT7SnsHapcUnA2wV+XXD9AudgI+H0hBryJfHNbN9P9jXM83Ew4eN8Yrx555y5ByTz
IE6UabD2e3Mj6+4dEsdXXUIaJbjaegLLrYnzMCFqYXVPBDP/G/H83Az/2kAKk9BuBAjlhE6N4GdK
YE+axt9hAUKQNlLeeijoU0u7Z+5297oenmHgmv92mlIsHIcT/NP//YLzIvnrF5RwcUWG3qlhJmhL
wOgAcFkLz7g3AFC9pdwDD6PKUG5T38VUfyvT7sayhLsxhyxeQ7Xnb3tu4kF7fULOnDXADH35MV7r
WgAEwJ7CZcjlVtp4HVBo56AyAbQMMmyQMlwskDmv9gvXYHKef383fCxLqbwBVhj0cQR8vWb5CSUW
OXSI0PiuEp49MhFRA2Pug6LsZ5vWql/aYmEXmpnmn5VHf30e9G4iqNWTE8zB7lC9dMtF8yMJ2rBY
KqmdOZzIZJvrQGOtBRnJCSCAXzA/vk11H/Vie32o5t7mU/3JaHVs6ExtnRQuBCh2ZvCyhFx4ayAd
I3wtV7RPb8rORkUY+Jxw+E4XImszFwUyuV3BBwk+bcq0TnE+PrdC7RPgB8K4TB6HxDvaQ/AMkAO0
MFWTba63dW6sJlsS1VZtQI+K8syerRnIWeeL9mOaWRXKvc3/jzsDXwyUsPv/N/X+JlPNTf7JhmQ6
dtaBqkNOIFDeVCkM1Ov+GXaNYVUgsLc4cDONmVZA916va2RH+xPt+6OIzT9+l0QwUf/T9cGwu95h
l09YMr21OACl1D1cFqPaB6QIPnwryynXweBsM59sC2Lf18z4p4WE/enrOmawKemboFBRwvnWLYPX
AqLQHpzygdRL2/R5oP+7V5Dp7SSV0IPHXiAjSxVHfual20UU1NAQC3JDXFQfu+4DWGwgl4wnxN+u
9+LlkQKi9WvLoHltxzzxZKSo/a2tmoNZMEgL4JanlgJscw2bXECytHVRgeTLCBTH7UiLnyRI1k3u
HVsCCTfMGlK/Ae4CQEzln5nrxlJt20yhBpxMvjYuh/EhjP5ipLOrWm7bFL4djQPnIgEk58CGLCwY
ggEk9Z8hNzbWaWf/tHkd3xBiQjQVaCC+Evd9UI6zv97bc3N2ssjHzpKdTh0ZNfA6HeH054tChKlh
3QFMU4S6lRthOAs7yuW1TuhkrUOBY+Na13Ng5QWS0rD3/QChjd2WeUcQRcnKce9L21mqR5lp2/Sa
Yfk6z0ovr6Kg6I8S8jrEafOPBp5TK1z2AEsBfq0yqoXVP9O4zxjMX0dbG7Ss1SPhEQFIS6wd1Jui
lK11QAepEFczCkFhjV1b47hwZbx80oFj+XUujb404QBGeaQku8FARXlX7REsXLiVzES+yfSqYIP4
Bu+MrIrEsI/TYdWJvcFfg3QfINffC5hA3Pkg+Tb/JlLBvvG1PS2cSxyFAE8UWAWQ0w78PtLQUcPB
IuomNvIK2JAeWG6Pbq/P/bkRm+w0mc9Ug2xOFQHEBTI6hOjbuv0ZjO0aNrDXPzHbiZOt5uyppx3X
4TAg9W2UnVYuMA4+zFY88BbgBlNvYXIi9jYsHL4T0OMfYXv24eVwlLr+A+bWwGTDoaWQsNFNykhw
ujGGcdvJdl8hzUPh1up5sIRXC2HkmX2bTHYS0ie0MBxRRmBBj8BFopqawWM6AAuEQ9ELoFFnmT+u
t+o8QhdOJjLZSKyxjSmQflXkFLp6MeoYPt1GSRYCWTN9Nr0r+IlKHLAzeeQ0Yg1cJbYN/Y2AQd1a
xh2gP3vAqq+3Y2YJT6VSrvJh5RRD7CKBaoLfrtSrUhb9XiKhtHTYzczyqVrKAMWv8YlZR6CB+scC
1hQofMfLlndxHzoDbHA0FA0rVQoUnvi7hn0vEn8FG6B7PeY7wt4scNccNBkIw3+79JHPNP9fe+UA
E8IONMs6Qqr10Nr0Z322WcrBWavKcZ33/7bAp3Kpmo5+ntpdE7UybX/QrnhRwK7+pozl47YlZbdP
K+kMr9cHc2YBfL41/2rUKJ3YKPKsxWtj3yoJYcSI0Xwyl1Kqc5NlspXgxQnIYgfDZxhYw3UahEFF
4A6JytLrv39u2k+2ilEUXo0K3xb7/Y/OsV6y4B4H6CoeH3wGl66MLJxbc/002Sgy10s6wmMVwVKb
/+K4bnm2qR+hrF4HdvV8vTGXn0vk8/3212CAPQchRzM2UQDzrlDQrIIhUeP+hBGyswHXrtnJDsQX
H+TUgha76x+dGaGpvkkUiQaZe1QR2LlHZ4QAKXFBr5Bp8Xb9AzNdN5U4DRSpzi7p6mh0k9OnmxtQ
wm/QZLirmC7s4zN761TgNMKFjhk0EVEuaP/gw2MsHLI6+ccuOrfsr3FhmdKCE/hXDI15CxrQfTbS
Qy8FXdhR53poeokAXgUPSFJHDJxfuCEfURO0V0I9g/F5fQxmapEgc/naBM8ZFfGVUUceqq6rVZ2k
bwUyzmGjDXYzwkJ6L4O4iCowqHDRVKAqO02L4juTDetz/LV2zlatluWgPqokIXwAEWu7/ttmlvBU
nDOCdhOnohSR0Vs2juAiW/uG/oO+Ll60zdrfSRZ0x6wzgZa4/sWZ08UkXzujatkAHNIoIwPl5dxI
9w43Q9Ibp7xhx8Wtae4rky3DKaqRFDKXEWhmYJPl3XNuNyFpYJebgn5qmt+ut2Zu9kzuFX7plG02
ljLyqHWb4k0SwEm3ycBeBtzk+idmnoDWVLfjx76mDDzniAvAoo59UJn+GwBmZQB8ir6xh+zedblH
15k7yG82bB3J1vB841B3yAk4Dpw2OpsjNtLEEhq7Ds7Om+s/7fNm/99rFdgHXwezybRv2rFsojr3
Wu8nhH2mvvNVzF8JyI3tt9IVGhTnLks8voNAGCE2cIPN+qUzPfh52F6FkFRqGbI+5oDQ8pWgTTus
YBgNTF5nUcjrAjj37vxcwy8Onn5F1Dbmcy9B4D108eCVNyno2u1Oc1gHJWkC7xRhUPihXW/gzNIF
8P1rAzMfl57GH0UUwzEJLuVG2UVuAugXmJ2PNk39n3XcgjjHkNTnft9BtdVLc4sC0HXsGMDPcbKh
vRfhfvaRiMb6pwvnfyBVwiBlC/8ybLlt6qwt1mZhbuMGgUDBNyvnMsJZ5u1Ym8iFkb48z8Fo+toP
ZlVZtcypiMC1Wzse+I4cZrYl81cgOC8W51w+SSAO+PoV4loclmgK4eQ4v/XzSATph6IcvlcGMKpw
bWv3mZ0aGz95l8Z3ZuLnVOxJOlKACqrdhUH/fBRcmtWTexMu7EjYxaVx13TOTjWoR4sDgLRN+Ov4
o/vbaDx31fAct98eiNKKMRkCo5EDXBdU2zhVABlbCSjsFkB3od025Tol8V3bKD8UeMCtPF++X5+f
c8NCvnaYi0xnblIvjzRNHxLYTmSGBY9hW8AUyEvX1z8yk/uA78HXr8QQkQXg2BeRZ1NYe99CrA6Q
JujvAm5cVQD/wWIHqvoeNZAnj1m3XiWq0ALaZqXp0tN7rqWTjbbF6/DsTsmizhu+y7PpBpdPfa0P
sCO63syZyTeVRKWesmItvQSRNlIdiFkVt5aG+c71v375QILHyaQP6y4BtjctItHa67yiOygAixWQ
wqjj6sDGtxceuucFeWHuThVPTdf2yJUlVZQir7BCERGHXUNzYE25cBmfmw3/oZ+xkteByaqoH2H3
HiPoudFV44UW+Ki2+VZXLFnDsHvj+61eZa16rKT/Gz5cjx4f3npw7XbXe3QmKQhA2qRLoViqshzR
GCSJDhJnwapWAWiZW+XtpGie8AgpVmmqt0UHLQ3o6KDN769/e66XJxuVTPKeShTgR3kMGjzP3gMS
PwMQfP2vz8x1f7L/DCLvaJZ0yHS6zV1jsajPjduish772l1KaZ/XzaV5Mtk5ZNOhxpGaoGaw5qPO
85umDtbd+QgZyW+NbEqhEPXsmuC4GEW//MICwPHreKVG5wZwNOCR3cK7yise8yHMnJcK6eLUxO2p
UwCG8H/sw8l+YTvYlvMCk8Nkslu5CcARaZyGXemtgUi/Pk4zs2CqZkoyq64dwEAj3EHePZbcsMzf
jEsazZlZ4E12DFh9Fm0nEYymcY8DMINJYPae58YaMNx/bMDkdoP4s50y+HZEIJ582AnYxGNlwM3O
NRfWyfm3XphlU6WSXfm+9F2sk66EfrUTR5XHu0ZVO47SlZaP8NFe2F9nJpc32QxGVgEe5xdVVFru
zrYpXE0teEfExavL5box2R3c9uD0sNBzM9u5N9kAkjruO9Q8V7gMgpObNOuctsADNNvR/K37ZmmV
nlfjpf6b7ASQKRmC5G0VyQLeZ63zeHZrtZ77j85XHzlLnkta4KhFgU7mOXeyaZbyTnPtm2wPLNWj
CwcWRLql92JW5U6imqc0W4mCRuPGZwvdOHOY0Gk8E+nNMY2NpD+V1vBcDfrV9OqX1GN7n/yC1ePd
GD8owzoOGej39WNc/BRJ/xNFwMnCtLncTjqNdVpNhl4cAZ1EidqLcos8zPNyK4JgAw7H42Ix8dxn
zmv8ryBGaTCRIHE2nlKveiBa3bcpCeFa/13Z+V60C425vGPQafQyADTcFtIcT6bZbFVCs5VFUJaq
OGjsCyneywsaHsZfG+JAZ1QmtemcSE6fUduyqTUMauAebfQvkEJvMvF4fW+da8tk5tMORDg/kN6p
yZouHFkM99OWO0fQXCWQ1EsPvLmBmcxz2rG4qYXtnvwaRUWDRNYB9UTpGpCENxzwwc4Bwe16i2Yy
O/Tz3/+aBJzaPo096QIqCYMe7v3obBqmaoSVKeI7XOO+RuGhTDTg//6IwvKl9MRnycd/txE6jW1q
7dhBlQj3ZDA7W+XOANMklDO8t76ud7Hujm0D0YMbI0SStZkHX5CqojckiH/YBfjYGoT0dd90+Q5C
419jBccv4RZvlUHbFbDm51QYjE2DVgcbIvJhifY1MwWmkSIaC83iofdPbudsnGIIa1k+sjJ5hrrl
+pB8ZtEvdMwU7+Iafh2D9eyfiA9T4CStoQuCZVUoEvXk1myEqacXNm4BG900yNQq9Uz6hPKdox7F
nzFL6E70zvhtoAirt2dHTNlimvb5WiV1YKwyzd1jkJz9LS34lIFEnj8kUr7DhBeMu7p6bKv04Kd9
cDYhrSEUUtk6y9zYOTpieL/explrMpm+a9rEdDwu0Y2drV87vHHWrYZY1GzJxlfbEu/TFXzXH1tP
4G0FRbg/wE8n6bDMrv+AmSU2jXF7oy6KoUyAoNPGKUiL3aiCp5SbL/aAktGeL9Vxza2vaaybAY7d
jZZlndwyfzGcQkI2EaQ71lvZtvdgmUHysdhwCoed2q4eREOMTVnHS2XmM3E6Oo2DUxUg+53X3onA
rGWVMuemQ94W9l6H2Ki3oPV/UEv7hzL9bWSgaAtY6+7BGC9XRZnj/5yN3Re/r/f57G+ZHDixnXKY
Kg3eadRgbCnXAMWKboWXqJvMK5CdD34WBAPf+KEbMGhLBrheIV8puncPrKYNDDSrpYz2ecu+tMgm
VzOYtxWiEZZ3cmBfBUuUZjhg4nVwnc7kDtJCKMk2fglrLIIkMN/6/PV6J1y+ntNp2L0kMVCBFEeI
n4ujINUPvMr3sLy9/tc/09SXmjU5oeLWR1A/cbyTSO13FT+YuIUZhX+XVeOtx9Ur/MjuCMPbvmnE
TQz3DeM1gJtuYlrjqtfqFywkIPfpKvHTZ7UTQjDu7xnCmh5fyuRePqwBuf16WBM3iY04GPUJvoQr
gw8PQVJubd29+dW4dz340DXZt+u9MbdXTz6Vp67bODTDXh3k+yBrfmb12RK1+AkzlYV9ZEa6R6Zx
cDo0pV0kpQ+SbHwqEw8qC+NYc3AvOGMrh6LoKm1O8B7cWUMDc+3qR9CNe5AtaH8AW8tCrOIMH6ve
LAs+5NfbPaMSA9v8ax/nrG59PlL/pPPCe8sHJP8HVW+dASuuzom/ToAL2yruVA8pdVC31VWPvRrh
Ug67tBMf1Ucp87A2CaRKrtvd9l1ZhCWt3VVF6x/MqsedOaDMC9mMQ0qNn0nrhZmvjqCcWBs7huMa
6/7YFlR1loDBldn9QPXIK9D9Nw4UHqboGtgTAqrQO/4P7hj7vs74r+ttvzzmMNr62vQsae28cWL3
RGP96Ja4k6vR2rO0hWhxQXr+WUHx30UGEPPXb3B4d3jawjccCBzjJDmi0Cw0rVdf3wjmoPZAruM+
KEMJ9zxEevxghzK5PWzPCYzNhKQ3ItUr6gGTQeCruDDoDj5+6Ued//2vi5yPl6UjYI91qpqzb40Q
KO7Pbzxd/NMlm0zD4OUABl/WV8EJeft9UGX7IiOPxouGbaY5wHHu4/r4XX4yA47/tRkF5yUfRnwG
5CIwElxzF6u3GKwNle9ly27tXj/U7UKbPu+alzptctPWHS1YYgh0GmZ548OvVfAjzgG/PDU+3eWI
/lhtcQu3hYXL3UzuBl4eX9tncenkrGiCUxek+U7Y1bj2kIENSyijy6eM/nS6H8qt2Cr24N9WC/g9
wRj7D5JV6Uqmzsp3HvWQLLkgzJwXQNx//TkmnHII6oh9KAjM300l+MaT1iE2b1PgfERvrzr6y1Jw
/QLg7oBzULPnzn+lQ/qLxp29bz15n8inkdqPA09hsV4cIDNdLFOfmdPT+HRXW9ruPQ+bqzT2hc+z
vcWDm7H2nnNyoHkCvKwVtlmztY1vZm3AaIpu6r6CYSLcaQPp8N/XJ+VM8oVMA9gms2VGK8M7UZG2
m6B0P7jWEavheDqOFlRFPP8omvGYdEWMBJRUR7gSZWvdD0dmURjyWfl4J+3kd+N736hbZaFScApg
YxtsvWRslubzzO43DYPLws8L+EdDGgVvKEnlben79xzy2JLpp9qjL0l303946RD28VNX269KNEDa
pMfKHHAVTfBSuN5jM/fe//hqwNTJcrO6hfNi2Rf3bufSyDKBO0mHor1z2g5KCe5zH+lKGa9pnfo7
EPHrNwggx4frP2GuLyZRgQT81JKSDNkfSuABKV5Eltx3rN25rVh4xsxsVtOYeAufYgFdtDyNPrkv
R7oZONEbZB/ClsMBsoDUFobR94K6S0zOuRUx2bBUgxS2yEp5MpP2V4w0E0By39gSAnJud5pGwzuu
MpOXjTz1Y/JkNEloolguYd9r4HBsvs3LtwZaJlM1YZfdBUh/Bi6yLV63Cwxvo/CkvD50c/vyNIhd
STgPMsPXJ7PM3pFCZLejBWvb1E12nWPcyxLpz9TUqESuoFpxhOzur3/58ruQTOPb3HI7eAPE2cnl
Wu3NuLgRZxRToJ8UpIX7MV3yDZ/r6imOq4JoM7cyyAdpAs15Re9L2YNHV+4ZgjuwgN60sC2ta/hg
t/xkcvumGk3QdtP7EWyD9ZCRnfKM79dbPTOrphFxajsQVrsjfkss7lPgwZrOjECPWViJMw8/Mo2D
ww/bcePBQDu8/qScBHUU64zszzC57C4phhMSP5smH/AEHm+UEz+2OJkhAsrAqMmX3kYzokGY2H89
63iiSY+HdnVCgvzQ1HUIlsyuSDY27EzLVG5qv4B6DLyA1n3hHfnDLTiLgmN1vY/nbo3e5GYjdGy4
QsDBsOqzAzwM8fIP9oHa4ivEwUNzjIF/KU9wOV3FBHUyuX7mLdco2XCPRsDDWNCN3dwz5u5RS7Jd
+FXng/7CDWgKdq4QAxqas6KoyO2VycyfLqaaLBSgv80xEPpO0/w2934uwk7mVtj0AmTB6YAMYsDS
FpukgL+jLm7hkbVjY/66GBKe2fynsDP4jwdad3F3yuz2XgXAomT60Qz8H4mZ7K933cyimcLOIHTN
pGo4eCOufwsrolunRs3caC/Ml5kWuJM3nG2nZW4NlRe58N5OG3YH7NEa1l7R6L1cb8DcFyZPpbqV
CBoSPFnzEpZ/RTIY8HJr9yCRgna3EGeZ66Tzt/96lZRV5TNeqRRQ4eBZgNIH8f+db46H602Ye35P
iWaeTHODphWgvvkfeD0eOy9iHEzVuLnnr73YFEQefPJm0yBZ2STZDYPz5o2b2hLPTWE822XzazQX
srszM9ud7C+tq2B3GIjk1NjNY9Bnmy5J936tno0i2MEkdskgbSaC4k42EklrAAjhln0ag/bWLd0/
cGl7IYn9rfPzPYLm4eLozdxvphw0YF5Jxh20qINNqG0oB9XzJvxsY3AbnDsVm68yRiFm7+YLk35u
ukw2B1NatqflmJwEM2+xbPnK7xOIEKtgYc7PjdHkvePBsBRBEBlErOp3Ocg4xG+PRd7duQnKhpZq
JT4zdRd21SkQrRgVk9rXWKyFXKcACBqiWjetPqhawd2Xrg3xIPhvuL3eBP3vgI13Zt/BfyV5Bzta
rFLgYBYWyLnnLv2SyTaiYeega5n6UT4Mz20XwEmcHQVkeIWZ3LGArHgGCJdCxU9jvhsx0QsPgJlJ
OiWnGYkciwqh7oilO8RjYAY+7mie3bKy3ATaxBpZL7TwvLwutXCyxSBVi3r73oijvidpWMLK3fdX
DoNBEKKdD7pFACFHtqgPjfFZJ3rH+/FoDMXSMTAzo6ZktZjJzIBFKo3AKP2WpsbBU0YIoNtejMOB
xfuFVp4X96VWTjYXAlJjhlcUiSA8DBNJfynI/oqAHAvF1o5cWwmCdwlcsqz+rhxLRNBdumkq9Y/D
Odlzasg3kcXN3aglDqAWLn2p7TbdAZiZ3vj0nK4BeyBYlz1plmbu3LhOnjpVbVp1xzI7UiLYZol4
K1Ev0fjf1OiHznteHuwh31BPHDnobGHZG3urKA9tHvy53uVzAzvZi1ppZlgPeRd1MvjljiaM79mf
RlsrWarnVFCy0NCZPc+ZbEnjmMOC3k+6yO78G7irPhKnP1bWz+utmHuIT7FoIsi4rROri5zBDM5G
CE67YhkAy87A2rWqS6RXVVEkK6cuyHcUt9Ib8C8RxkWh+u76b/iUjl+YvFNqWVZoCSp5nZ28UQGF
gvrV6q6UyTnRBVDYSxzgdM54gPfdvqBQ/7t7iBhdJ1gN1qs3vMNQfdPwXdyPu4bfxtBtcv2Uwzeq
s3+NTbpy2+Cs3wTh7azpHIJzShRlYvav838cde/hX/F/i4KsT23qpfacp8zftxpJWdZplp2cmDxo
E8Ju3u9bt9xm3iOHNZIQ5ZrlW48Z60pb64BbIcpTObHhqa1CEasQBlG9Qml6ukbAZuWBKNg7kYKx
l9AvGQwtzz95MaM8OwcmW2TtOLAuJmYK0QYPVf8b3QfYnZc1G/wsgDsOyIbe6NQ8LN4t51479nm2
/91FZY14mPZx8RsQ3Ayc86AOZReCBq51v3YY/M7rfu2CmpOq0Mk/oJCFtG9dFOWmFIfeesVQ29VS
2v4zUndpyKb7Z24h2eppXBQlXxXigAlG43s8887/IzrUCHzQ9B7z0q++axjfw7F85TgZEucszAAN
aMh3bYwrHgfhWP5SulpV2ffSgxYGZ2le/EFuniu2JcJb0fR3kWuUKW5SUe1U9sa9tSTfAwLGefmW
8iffQy6+usOHMb/H8nxhww1/bSFBy6xx0ys37CoaBj4CAUVolfbOk20Y45ZHcwGHDDhzmuvBA6PP
CbMCDsxiq+C6B8eGo6fu0bLzEvDJMTb+9BoxhHQjCFtru7uFjfoBy6AdDjmLd6p7S3Lvzk/KXbPF
SFgqRJg5HME3TfutBY7O9fU/Fz6dctuCMi0N08b8s1mza5uwB7dVVcGqoMPaRr2RSRHI+WkwArT7
FhNlLNSKovaAWL/s+B4/uKAfFQrYabJ0ns2FX6aYt3qomoLXfnkPKwtUtRh/kBd7d2Xw3Mb9K7LQ
xaq0yQ48o/s4bU8p6MVWaezpQLa1aldJV22KwFt4OMzclT6Z+3+tFZHHCnFboiKjIhsXzmk6Hx+T
qjg5rAytHJqsxlm4YM99anLYDML3K9jIqMhh9HesKni5tTesCB76pnmF9vNxEVUyc6xNkXCoOjCL
EbAAiJv9fVukd5SOv4PB/LfTeUpvEzjBtEkthSJOtc8647tFvZeBZgCV+Ddt3D5en7oz88TyJrcA
0SkRt3ldRUSm61iYkYMwWRI4m15Ux95NfhiFvTYy0awAWIfW31ongb8TZUlXcOYRGlLofukxfflG
ZE2DGsLzYSzU13VkW8YRAutd04xLOc3LcSBrGs1IEqRNK6epoyDOg9AJqpC24mUwqrPDR/6u0mAP
iIGLQ9h9paRYCA/MlFpa0ygHhauk0QERH1XKeRXD/3B2Hc2R6uz6F1ElotAWOruNwzjOhppIEEIk
AeLX36d9Nz58pqma1akzC6sR4tUbnnB0rTQYm40UNzmGSSBsg9qhLMxIrEfNRLX1cn8/XMBda2ir
rz8Ic674zkYKJFJDC5B2oKHq5+qn4ed3cdn+YbUdJfG0deyf18/S5bb93ysIRtL/vRLB42YD/JqL
qAR5zHDiI+6Ws5Hb29WHWVphdunquCotOKjkkUMaO2gTeak1oXJhEVj6rVQCS2vMLtJpQg+KWCl4
UCQ1ghJKc1NF3gpu3a1SxL9uO8Dk+78bJWUPh5xsxEax6S6fXjM3jKm7x/EPDde/hw7Fm8pWeMIL
uZE573Fox6pZrLCYn+SghkxQMdAlkrn2FZaym8tX1tXWqerESaTmN1OuIUeW9nEWWPy6ERx23+Av
5ckv35kOEq1nr1YHa/BX7t2l4DV3LoedMU/7YYLcURLzv6kY2Z7Y2bRNBIrIoje2Zpv/zFkMtNfI
2jDubP+iDXvn5d9730KJMFIrIHFinVOp12gqS/zMeXPE7yxuJaUHykXMto5U+Q4+z8hrGkjVWh1y
mAq11uAdu3ZvVfFzLNUpkxUwDYrTDfxlHKN8cmnqBsoZSTDQ8U/T/fYtA+FCZKGd2+AxZQdkDZzd
CzQzr3+9C4dyrjvfpFOpobII1oDXHB0DLH+Q6eDeElKje7dZdRKQGtZrjKmF0zFvnzRdAoVYJClR
JeLyCOvKOqQsdm6ln50dOr1ef6av72hzrj0PAWds/BDLCDF4OuceyY/2YMmTUxbq9/UlFjq05rw/
IsHaFqDfQ+RkUGheMCjMJwGhbKMgxtOUN1WT3/S8RMbvHYBc+WYT4yDiXeI/ia4Peb7znZvOb95X
fs7XfRTTnYWvnsSuqSEmG8X6uRPmWdnytq/gqtz94G26933rIZvGrQSJtKmmt472Z0jhXV984a6Z
S9TT3ByUTFyo2IBsAhuIS4l7EE58w0ACYrJ7hrDTGhJgaS3rvzHUo0YPiKPEWtJooa2b2OGkctiU
pifM+zexdA4gtWZB10JMHkbT75Oc7io4r4eOy+2w7bo9tHHPmiTfJld9B91jjbn5dV/FnIvdQx7F
g1BWJ6KG2cFo9u+aTfdsBLELTpl3q2T7hRmyOe+rFHmZWDHlZaS1uSVl9u669VaKcqMoOcdeFxJH
hWY3bJJpc/39LjzZvNWiUioqUpVlZBNrb1PSBZVLT7pWuwSSiv96y8+7KdAzLLWgloiYZruUsY2L
pAge7DBhnQ7Xn2Qh/DizBkdGudLA8onIQ8/Cyu3XJO42ZtMkwbQG7lnA/0Mg/L8ntIVCgWWlSRkN
8HebRFgWsX2fcEf9sXtZb8fY2ZFWZSHaq3XotE0cahN2sDAj3TXmxQOz3hLUZ0Hm2/e6BtFy8Arj
LGqS4K3u+5hs5LAG9Fjaj1lihbaJav2xz6LarJ5G6FyDannikv8zVcyZxSUbbsI5dAaM245yuPZd
tJvhEWQaMTAWtU4Cbk0A6iATtldoXAsBYl6Tc15apeeMxm2BOji0hH/fW9UUgCe+7XPo6ZbypFS/
8mUsXDTzarsoYaPiSI9HovP9TYNkClN+F/jy4/XzupTp/E8JbU5jlmYZj0he7SgrgJ9Lkl1SADPi
PJDhzqh+SvEyNPm5xY4qqwWVVN+gf/7amd0vu0serv+QpQed1dc+VIkb0fh51Kbm98GAZboHlIqd
VWt12sL99T9lNVwWuEwSDqV1f59AQFXZWRuAL7u3Gx52vb/pNfS2ne/9+M2rt6VFd2bV7a4/3Yf8
7BclzLzqLphM67qwUWDALAKshU3JogzCyyr7XiYm/ovWeB6TXSlgwoMOua7TndtNcAtUzxhMKIgZ
BnbXkSNmthd7+ZRdHE3sAMnapJ5i6T9f/6ELh/sj5nzqqBgkJ/ng+UXUtGUofRolDNWk15kbh+bH
ThqBWKuHFt74/8ilpmkNeQ2cPEZ8J/BK+VZU7KjilQO1dI3NJVKtCT3K1ix5VHSgpcBUrS9C6tPv
nmnnL1qm3Xnw+ifYuJOgorrbjMouttd3cSHqzZVTwbYYqqLWPMrT6T7LC7pBkvASx54bwqUu219f
ZeHWnCulVqOptXAGrGK34BTXSRxK5hdHS0OWUaBtXq3p1C2tNKsrbQqoZU8VolAV35pg1dW0gM9k
ceOOxaPb5z+uP9BCpTBXRx1MVMcCivhRS+qtQZ8nGEloR20S4J5gd/2cGxfTtZUOyuV++OqLnJWR
RS4GC3h6HrUjTbd9K1UocoCarj/KwiDbnGudNqPfdr3V5NEoRo9AenH0vTAdrEfLGynMfz3zgL6y
H065JiEfDCifF9lN3VEA730r8+59z25duBXBL0tPHZzQXVHvR6XilUR3waTInAs2ljCGoWRklxrX
9cEr8Ps9Ff0u9QowTWmhAljRsZCS9mc3keFY6noMDK4hQK33cQllqaRH+asLb2PA6caLU+hzgs4w
DA5oUr1yH9CO95B2mPCHr2j5byAOk1zCyacIBSGS0tM5Tr1rsVNFm/IujmsnquCaAdjore8W4qbz
9Mp7XPiS5xqypO46Lrwuj9CU1aFtoMLujP4HqDgaop3lyuW0FHUv//7pmUqhC+bHEw6L4/0SlR7Q
gtqnHd86AnOKqgqGxFgVoLoc8C8O/sds7tNiHLYvgoAcHTnFvoLBDbAqvwHqONd2fdPZ5C5+peU9
aeVZpGsIwqWUda4l2/dQb3DLuoiMurYYpJW7s2caoWF4/k4a+ixdtW89tmnR9pWu/8funi+ksvZk
ygGIC+rtDWofmYitoKFwyUmzxIZOJJBBmjfNLSvdx+vf7UKkm4vQZpkdMypzEQ1+/9drSHdbDNn9
OHibHOaDFxXsNZzHQvz5yBQ+vQZdNcwlMV4DT+I3lrAzg6hXeP0pLt/CV694Fq8FBI4GsJguf7v/
45D0kDbkG3SPVy6epeM6y9WYtmopJ/RjxwqGfhjFmvB3JUCGgJsjA62M7dTz++uPsrBNH2PST9sE
X79M2xxrOVQARg09pLJxVu6bBXitOdcrgCEijIvHXkRVByVIPfTf0cSHUG0mYPgi7sra2MEgE8Zw
fWBU7V6STGz6xAGMonUwuKTfiUzW2qmX/sIX72yuXVDGqdIeJSLCgLOkP3gOQ8gGDkDANrfDDZoN
uxqYZsze9iNPzsSuHq5v8MLL/CgMPm3wMKV6LMsB/Q5E8cIxbpNJHEupLqVjGdI6Djl9ur7UR+r1
1TPOYneZuZndTY6IfGvqbIggSiCqyiOVNH8ZvAzcEGVuZeFgTZ3yoznpPBBD+9y4CniEiSPxMIcq
7BrYldEEQsZpcbZlA9dk6j/kuMeDxPQ7J3CM/tyabhHWqZFucXxsUNuVXd9PLDFeJM+7TYsKAEoR
4+8x7Yozt3MwsdLxl61rgJxgZ7YhBXxwrj/3AmnbnHOJXRfKyyzpeGTk9GHo7F+l35ybPsbYK4/6
JDmQhgUljd9AFYzGpv72ry0PcrnXPr3d3pGW1fq4LQuVbqqGnCBvtDVcCeR0unJ5LTUq5yoSHZnA
e3bQnUvz5ndO/b8N8e9lmzzx3oGdIQ9ROHZWBbqDDpzh1Jxst7hJ7Oa5ZNiNYrzv4/IHbYuVZuHS
aOwDxv7pmQthUVo2+KqFR4LWfoLT4w1z+SanP6Ttb70SQl0PF7wxHGWCmENHtyqOw+pcZGEg+HEI
Pi3PrCQTfW3gg4rH97xHwDLZ04AbBIRygAeLwL908D2AGlbFzhYD2SyZBfndsxXy/aios32NNrFS
O6v0dwxj5I7UNxNzDnZBqhCq8TDScvZdW+6LftiADbMt03rloC/cnh+l2KdHLz1X9rrL8OiKvPU1
fytdE3iiKQtNA6ZZiaOer39RCxfcXIXAYBam1jmatLptjG9J6mSbtHUbDLyqn9dXWEj85vIDNcY4
htnhEOWdtes746eXtzB/JeMvQPz/bYnLlfdpt3TqFHDrcHg02b+YBKvcTt4Bx3xZ/fiXmjtzPdja
5DWtqcsjx8q2ceNBHUDfdnwILJgyT+qXlSC5ao7WPc3TbTXYr62jdqVHv5lwqTTp9vpzLk0K59If
qLVzPwdcD7qi1TfVtzcjoD9jPb1XFnqvvnlrjeOOGPWTw/i65szSGZl9E7FoaWr1FsfAQolwAsCg
F/l7W9CVzGTh4iSzLMjEXTm2iuKpEhF0/q8uM88xrug21djr7PsqIGRh/8icKg8tVqurKwZdSIJb
OaHHyrMOwJJGfgE1nda3bxO/2JsWPZnG7/VAdtmo/72twfH47/lMLIigoY/MwT/s3yvm0lvkw+UG
PNxmK7K+fXRb1I0sA8Xdx4DUVPzJcdhaFL/kql+tfokxn76OfkiaLGtaHnHPD1r6emk70IFtHPYK
/7a9kNA3Q1S5oSmufduB2cAo3F27hnP6OpSROVV96KfKygTaAyR1t4nV3uSt2BpWci8Mb0PLlTj2
dceDzIVYKWJAVmfoUU1Jv2sqee7wkfqV8ehCs8qxDFxVnXfjuPXaXb30TmcxJy98VatL10OMYzhA
62Bvi99pM733PC2h/soefU8emrhqcKRLcIwMtP6uh4GvvxcyJ6g3oMkBo4gOb1PTjdemty5Vm6wB
38S8Q9N3sxr2ljZ1NsGzofMKCh56rZzr57od72USliOY4czP8VileeKWuV/9TpaWm8UZuCQYKTSN
8sgyO6jHxRJrFGxbg8DQVHAF4x3oQcMwbo06Xjk2C71NMmefi5oV8L0eL2kd2yS1tZmyGtrJ8nTR
LOSWDHye7P0hPvZrI9ivoymZ6w75TjsSJXu0z5viYqJN9xM1v3uQDb5+OhZ2cc5Y9+DMMDiKAB0j
Sr5rK3DcZP7H00BWWlBbKYgMuhxC2egQrFSxS2F1zk2vLwxqxWyOjJvfTS5vt4Ofbwx3Ol/GylXN
JN5bCfkR9YPa3Zn7qwj9r1NEMmebU9VDJjbByg1NDlmmyncM8TWakKTb+OBGB4ntFQH8t5rAatom
oGyyVvb567wGc77/htWhzKTh9cicuor9QYNymzns5LP+9yoIaaHZg+b9f5fwksZ1XS8FQEcNPMyq
ITsqundhaSsJbMKUqvtQmJLurZHepQMNEpiXbYdSb6Eq8UCdToY1791zN/Yhpqa0hGvxDkVoYwAZ
7Cfew/UTt/j+Z10S6eiscXI0pcxCFoE5oo4sDXTc0qKG+xeHOucud49p4iS7CvVEkFsUBmvXF1+4
Xvx5jOosN9dwuMNcFFQ35r373LjLSu/ensafq/ZDSx/tLDS5eoAAnA2pZ5YQehf3nn/fqqLYNam1
1k5cepBZFsRgSVIDqAm/A37y7IYEOgMCEjoYPTTFQ2jKvV3fsIXbY05sb6Bf6ZSwCgT4Id7WtALo
uzn3HfsJ5aajh4xktUux8IXMmewYG7ktr9EIkS76j3ETJgA7e1zfr15QS89y2ctPqY3fKOZZiWfc
Zlb/DbbJI0gWxnkU+wyE1bj9Bnj1yhlfWmlW/vvtUBu0iI1b1brq2Ajg8tPEJhsyuO5jBqNMzFMA
Y0mqZA0WunAe5ox1OoGuXukpiVzl7JRwfjYm/d03ptzVuQaTbOU4LL2kWYwRiQ2Id59kUeFsW6kf
q1brgGKSG7C1Of/SErPw4JtNhWPAM5gz0cBUzYP21N8EsEC4pK4N1pbWmIWBaixEV2TQhIby+7QB
dojCe9D4w2gDH+pioIfrH89CHJhjsYHj8QeLkjwqAKA1u1Htx8lzN5qka1ZLSxnJHGKdNH1e2RXa
WTGoCRRAqUKUt6bL71D0b+Khfk+5vSXmGK1+RQsPNQdeixpOGrXVIu8q0j2tij4gphcIKdbcuRfK
ZzLHWKe6ArZZogDK5XCcRO1BkewCW3RP8UQ2FHh22uBBfR0CELbHJuMnTNaPi7h90Mhm5yYGEClr
g6+FszIHXKfVqNwEkkeRn8bBlPWgZiUJFHKku1VrVc/SGpd//xSZPBN2xw6UteGMaSRlaPnaiiof
4IxN3V2GhFZttPTfrsA5A923xeChlswvz4MBUHpvtOJcWcUexBKQEVYi4NITzQJFiZSS4KbNozJp
EWc79liP8s3m5g2YOte/roWQN0ddl3ABGjvL+v9AoRvjxvSce5GDh8S8cDUBX+ACkTneusfA2mCp
m0WTU0dOZgYlHKh7DCQzv94n5lGU9u/RzQ+xBrmJ9/I4qU4eUsfrt2lzA6aUZ3zXCYDgaQ3h/t67
S2Vlr9R2S9/iLNGgFbTtdZniXXqQqCsAgIClOEMVovbX93hpgVmaoXudVi0BDgpCgIAsjzcmR10H
4PD1P78gcULm0GrakKnxCVosUL7LTiYQOcwEv7NttlbCdz6tA57X8Q42IpsKdRXswcG9kzfNSFZa
p0vBZg6TNqiT0y6veEQtyqFjI3Y6929K9Gpdr91C5PC1qyoWguWeBr0pXxsZB1UGJ8kWRSf9ZfTo
dfsoza5vyFISP8dR9/4EiysNyMfUyJ0HR5pE01OcPlgFiFb11h0f3TMzzIdxHILRz3aVJXaWFAeD
9zetY52ELQKi/aAvH3KU/AOa0tyo1ppDl3P1RXNojr+2moy6eYNf57sQm3Ogu5F5R2iehVRErWWj
zwlDaQLFgBKDW3tt1YWW1ByRrQYJoLedF5EFXFoFzY/mpk35g6MlEHlFCtUXILQhZNEFKWrLIzdt
fG60FT8pPGIOpTS9FezGUukyB2NDB7UZOYBFUSHhD8+qe5+mVSgyb9OZ9KCgO+2i/uIFge+OAU0q
Pz5ePxcL3+EciW1ahexrIdGKxEDSzvuzktaPHLKv1//8wuyGuLOEiPR84K7LeaQTxKrWkH8tB0RN
2I3roi+3SVygWGV70P7eJuX8qYo/EAHuoM5pwaNnu/Ijlk7XLJoxGypSFy2rKHFlFfTjlor4L6R9
TzLGu/UmcbA65zwagO1B2VsJc+2rW5jjQDj6v/dvlg5DV1BkHKPz0ne3uj4ABgFH5gKe0GZoZe3D
BBnvCx5bGcUrGY3NaFi/oFL8Iqzi+frjL3Ri5mDsZDTBF3dZHtVwCXUHZ2cU7sa6SKnX/oM5lQe0
SqLVjGPh8pxjsgdH+Mmk0BXsoTHUptIC2oscsnyE8lAqW4wF4J13/cE+QLNfRI05OJt0wrVB9EI+
54HVlSck3Wrd7QCmhuIgT9Oz9ppuI7J4MzrVGEw6Ji9SofMkwa13uIoKvzqjPXNU1l/bBedaxh5I
xBw6wBR30Q2C0nMCyMW31AAn4yI0MzrunaDmVoHPnMDu8ji4nByLIhVbn12sIYGju3A3cOZ3Y425
N8slP0DjvwiSfLrtSufQ9WC0O+54dpq1j3hxI2ZpHrWniRVNjc4+K3ft1Kv70gHXlMODTk7p76YA
wqGWRcgwTRzsqdkkLnM3NbA4r7r3TnbyYk7tMSX+I2xlnlTXia2GPPFtYjC5rbzh4Lq0CwB3jNTl
PvDZFCBR33pcfZP+8MZsfchs786bBn7wuX0GCOCGoAY9cDTZndiEPAYJU89+wOV2kyrl7VKn+w7N
ensljC1QqcgcoZkOvdbQ8c6jjo2RQXtwq8s69r7FUrDXWoomSPpmPEul36tJ2LcDJH9/FZS3cRhD
08ff0Gx4yPCpViGfSHeAsi8u6i42XpKeC9QJBaR+Yts6+br+acbmYw3/uwD2G90fSeQ32FKMK4+y
VHnNBQMAg2umfCyyqMv7+3LcXW5kIA52rDPDvKffASPWQcrHI1yfr39ICzn1HHJvqT4TqsqQU7sI
/gkHHDC9A2N3sxoVlla43MCf6hA1OIClS9QhOhdHQ3s7CqwdtGoOLl1TTFoKPLObBpXOqHzXQKnj
VCc0xKDCOG1ICT6/n0Bejzxc36sF7AeZA+zdwshRWYosUhJuoWCK77MRwNzJhyuTZgjeztlzz1pA
1JhBMlYKDZQy+hjXl19oADmzC8XGNzilUNHEjHlALaJDljhwZLHvnEo8QidjFU67AHglc3w9Ba18
TBTLoopNe6GBESV+QD0ZDg82y98A0bTg0J0A7sORLiR++gOZ5S1rnDYA3moH7Oar5a2F+oWXO4fb
E9ccKOyYUStnagdvjCjryY2h7FNrN6HdrVQ9C8gX8j8QdpX1JVOgDcPHItTeRXwhz5+THrYRZX5C
NNxdApkmThpctJJHfhjHbeq+GdlfczgNU390XC+06K/rL3upiplD3ktb+8DcYvJVpo9WnJ2n0gZF
MNmVbX7QQLI5vnt7qWdMaT2VMTk6ph8Z1ZqI7tKmz0rtwaqsxlA6j7xePbk6e8vzHs6Fvf80lubj
OrB/IT2zZ8GhqOucFzV2PXdrQEgBkp62KSvvrCl9YQVQyoQhN8W04DL1O1b2+LqyvZfQ8EX+MMen
U82cIRcXMHDyoKvqVVvuHcXhUkYSSZE/5aR9aMbspZnUH1iK3JU2yFXX1/4IF1+tPctJ88kbgKc2
gI1vfpg+iP6egsQ2jEmF50VV1lEgFWGl7aE0TpAwiNjxA3AQ0VxJbx1hbS3/p9nGsCcR27FQJogl
cLM0VLVpaXyyegOVCkR/9lijjwZDBWCBiQ4Q7hiZwDMbOSY2gN+1poxij/x0rB4poTpyEFuCyqPN
QVZuEQDkDhnptA/7+PH6cy/UG3MY/eDDrbJTZh3V0EIN7Ng/mYz/WO0hXo7mF7s6h3d7FBxvm8FY
2NbQFSUwWMUWy7V8c+GPX2Lyp0uMQDAqrcuxjrzcbaER7R6pIVfO4kKSPgdxTz0QhVan4a1qtj/g
Nn+TwuC0Tqc9bH+soM3Jk4PpOgc8auUALi04SxkFhWfdQGHmCmgbWkxsa0J5NiWbNNFH+GRsYGu3
W+X7LkSSOQpbxZ3o4z6uIyoHL4TIVhXi+9pk1IPd6uWY2mKMV4L4R9j46gzMwpZVFA6xJrjPGoKJ
H7xs/3ZCb7U1NDsYIiP35hU/uQ6+EDICoQ3Z+191meldl9l5WANYNY5EY14o1KFnDBI39QTySvxH
c3h0QAo3Dn2X0DOHBPNI8T823LLLkdsHV3uPJWmAXsnkczmULGSFitsA0FdvF4+tucmU/Hb9O1rQ
qycfLJBPhxFN6zh2W1lHDXf3qFFAG28OtPSiSbADbbgKDAqzALR20tbbMQIJZUwklJsG0vtBzG8V
6fC0U/ZSNFbIfWfcxiX/xf8xpZzzztq0cUx4k1fgMmlU3N/h33aRBVhlGC/kQXOyC8/cvDfLvoos
14aRoNOdPDEA3sKbA4cEmVmjZ7rGLFrqnX10cD/tNaZsfTGOuoISND/SetrEXL6CvI2xm9haTX8g
4D6kQ7YBQW1TjGgrAvUDW4tN3E37iqV/7NQMY3gUJ2MOJZefvg9FNJSY/On6YVjqNc5B9YNMYk14
UkfJmH4fYQlQdu+Curd8AE4687emkexryELYsJZqkvvKP6lfUmcA+vs8/NcyYo6+96BMLmQMN+42
y25948UxqwMS8NfVKmIhjMwh9Qm0CPrWw+XBxns+nNPWQXfu4ulMQttZG+Et9eI+NvnT2y5ZhRhc
wb2bFMkZzux3gDO85E3+Z0z6g2t2T77otrICgVYOP0BIXnmH1te3y0cL6dOyRcOzETxZPFx+aUVm
3/3Ygxlc+efSiaVs/A1mIBjQ9d5HOlqhUwgc2z8uPYuYfPRg2adYHZntAIXbF0uSXUoA6PdrqrYJ
PibI45XIFlrY4NjZrsYA1QB19Pryl1W+iNdzeLdt9wKchaKJHJdtlcdvCln+vv6nraW/fdnsT5ua
umPXGEnSRABQm8epzYqDjhMQ1x9RyDi1HYdq+u7rE1O6D5ymOOT1cING+Qu4vCSQkGPZ1qNoQcmX
Xgg5njxsav+x5uqBkU0CS5nSTr1dO/xjr+7jTH76vaY2TJzxBKQBxjdx9sq9Taza50LIMahMvbV4
9WMVh/pRNH6187Ni0u0nqL1TXwJl3uk3DRYXD1IR51vFaHYjif8ed+kY+r3ZBJXRTUUgrfLWFs5t
37VDUFVOD1Iq+SYovVBM6s1gs/LGAAAqyBt/fPTKToVVRq2tbUoz5GYs9rzI9VPX6DtVwUHHj3En
ZPTRzpsilLyawpYxfsbcHOBFXqlN01b+PoM0yr4ZBn8nfAu+MFV+cHjyTPQIifjrJ2Xpq5/bkcEb
HiIw8IeDZWxysGwKWnn/yBr72cKdnTIb8Dj94KqDUZMN81eXXTigc0S376rEMUiJe7I17nwIZtge
9NO2VfJLPg4J3xLo3WtnhFESR3dhhCxglQZZl6+MQBau0TmSm1UZULmerKI+ng5G0keVPtY528ea
P7Z2/Stvmv3KBi/Et7mZo9bU62IBO2ZnMJ77yYQjiIDny3QpoyF54gsIRUKxIrfhBQ0eSYe2rDbN
++urL2S7c2x3m02GPabwXdegGQTQvr7HHBWZ0DkRiG2xL4KWla/Nv/XwKJsjvD3HbrpCwICYkr+u
bd/ZhX0q7eTkdOiYtvzGy4uXpiqCVbPrhQbbnEDRcnBkXF1UgJCrF6X9R+HCSMAzthAUuL6FHzXU
F9FizqCwK4xyRCWwhJChVJAiyzG0jht+77A6Pft+1MbweDOKLUD0d178WA4wHmsd+KHg899pFO9B
Y1n7snAeS1mdcJVZXXf2Yezk8gG99zIJCs5uy+qhKWnYpuK3Et4PpElrViMLxeectpV1fe6YDZJS
XcRv8DW+jYn5K+3W3GqX3sGspFKgy/TKU1AObNAbd9I3XJ93tiKQc11p1C4kQHOutN37dicbfK6T
9ZJ7xe+yVXutmp914YarWdZHVfY/LxqHd1bnOv1gKjLACd7IWv9gEN+K3LgQgUrTn0USV+esBMYt
RKsgbBzRPrLSsPZVQf0pSAG220G0M0UTQRT7Icav4lZ+apLuzZCmGzjUsN5KndknCi/aA6qsemNh
hVBS6m28zl+jLn35MvAQly38dJM6NrbKzeFt3jJynybFnQeHXRTSGpo4m+tfxNftQqwxe+GkrxrD
kyVaKEmeAtrKcqiuv+TTsWmnn2qCF21nVagyJ4hx1uQ9Y7jjuv4uGeyzXRO4txVHBUFgWNLWAcQD
9Mpd9mVQp2yORvZtY8R0ZhRRDznoXnuvZa+jhNc8MHrrEdoim9JY9UBf2ufLt/Zpn6seTaxOtjJK
Cf09Gt23tN0iR9pDI26n+aRDYgVxeq6TPxUcIOFEeWrMXdfcTmMVOIJ/v/4qln7F5Xr99CtMuP8m
lYBKHPyDHrgLT6QSVspwmjmsmh0uLTHrUsL1j8EoF6xIy5E3Q23d5WP6CqTvGKhyZbaw8OLYLFsl
cd9a1QDKsGWXKmjMMwPYzGjG720j3iUfQ0WbtbP7ZSzE2Z31H0miMfgfQd0VfgGlVve2TO/JmGyz
rthIo7jhlX+uh+I7dat3t6LPmJLfenaKPik+VuDodtdf3NcZOn7HLAdlblmmOEAiKn12YlDqDKbY
ZlDWR2U1KIhR0AR2SGNcH5KxOSYYSwYw9bwfMWAFkjs9dB2am0gsDcB3MrrvIJ1sTHEdgC4G2eQy
z568kmZnPzE2vEOXc5qer//yL2MxvrJLqvHpyMG+0IG9CbiR+HzfoesemmW9wSQxmtzECVbRywtn
Ys6jcD1ttphoicgGxLt3nqv2vu/KiGQDRspQ7xtc9nr9gb5OgfFEs5DZS3/ymkwBcYN7ccN99jgm
LFADLAbIX5nHJz9WBzEVJ6Mtt5NX/lxZd+EozikMKczF6h7c3Ui4yX6q5EYlJtsww4ZIkZPd+ROE
n1VpQvW6N85oKh1Gv7OClMCX2RuKXTfqd9eAiPbKz/kyV8Q2zGJJXjSUNi6EcC86pKj7t5PUG6SG
VXeiab2BgNaFBOyKaZdlv0Z7OJRttutgDYdJvxiHMK+7PTqnq62urzE0+EGzyDO4cKU3zKaIhtiv
4KNXvUNDBmSGMd3JOvvjySwOrMKstx0+GniDCwtye/IVIqEcELI1Au3iz5hFp3TypBYcFIcO5A8b
FiknhXkfSiGtMziIJfsL6R3htjeD4XxRmFpNpz8wc19kJHM3vmwaJ2J4Y4HEDdmil8H2k1PiH/q2
U0e36VjQJeMfu2KtCJ3CcCBqRdtA5Wl7ELXKzg21vN0IXtU+bnI/hERiem97ytloRVDKdy1Gt3ls
HuBi6O0kvNh2MXBQFmQhYGu1sfQ0AKkU27uBVbAoZ5DUC7K6cw4gxKBl38HCbutM+jk1SrFr4A3r
QDNeVmNoM4ZQpMYBcuZJUVlPPIO+XDgC4NRvUGkbt1Y8QbcA/oxbQtoKIm2Q895jJPV/nF3HkqS6
Ev0iIhBGSFugXFfRZtpM92yIcRcvhDdf/w6z6tEriojZXtMqZFKpzGNk5Q7x7DCXxXZ+SqgkAvNc
0fDd6kjxbAELCkH8JDbemNFMj6jmGyeHmWCK6458HFMuNmSVVq491aU6gsJWC2WMMMgi+aiJ7qzZ
yc6ii4ITXmu3j9xKjFO5ILGjZyPgplrA85ZcWFVU+5Ghv+zo1r4xysmtsqrzWMrp1u233C5XNpTK
CUlheK6jmQnNP50mMPwYvX7Mf+I3PPJZO5eWtc8a/aOwrC+bramViXSU6GrNNTZAjo+E8BpHIYe2
SBzwgMpASveZQcONBVu5l1QLw3jGO5fHMSgiJPsKz6gLGyS6eWJntezLdnN4bc2UvA9V5X7I4okH
+gyXxCwNqE1PtcPuenuEEYmBKxzCsrf3x9rUKRHZ6AhOZ27wIKaTK4yh8qfIgeYwAEs+I3xjF65N
nBJm4bpqMEY0Fmg29HgldreokpOJaBKH8SOiz1brbW0gJZCa4J6QzulZYEV6RH1pR+Nlimj+n+xD
4sEJWe7rEH6Atydv5XZVuSKt0GKtoCkP8tocEBRjCckKqJRVliutBgryt4dZ2w9KHpfNJs2quI7v
x7Y6C97eJcbssiR9teA3yGaAQvJ86/QuE3Xl9KpMkbKo5kInGIuN035m0T7MYQptZtpPlsPjXqcu
7KZPEWsRY/UzsLWHTY2HtSRJ5ZCM3QzBt76MIVCG4ge8zYsoc1MdFVvCUbmDpLgoRujuwAku1pDN
blZrVw6BShehIsqhGmZFQAGjh9d/ge2UB7mFzb+/kvaoovwTFWScGhrdS/JmdYYP2YPMjej4snBh
9Dx87MwBYtSbj+eVEKzSRaKSF5WV51owAlDNyl76AmU4o0Sam8gDIskuxb/xeRTzS9KzaqOEch2S
6/D/MyccaJxZrIvuzW56d/TfvWkG1ixQgWyHw4ivxiuLeZnZt36dMQeyGuNPqhnQuIBNU9gEcz5v
HJklfF3bxkrAyTKaR0YnovsibXRYUWkURRzYPtw+kNeBavjQ5fR8eqCU/RgbUmcaTKYnPOXknkI/
3mn2oXayOwyT4wlVzMNDxbT7FBj7zT7g2k5SnpZOm1gVqAa46ZJTaI/elOU/TSt8MbunbhGA3G9K
J6/ENlXWHwVWPmTEgFZwXQPYDWQUlOLPYzy+3Z7D6112h6s0EgaNJzgTcC2IYRGWjycCfPhQ6Y+R
Ntz3FBxivf0WUn+qIFxHLrahe/kALfERTI9yAMg452BoQvT9rnnW7Tv4mKIwQR9v/7jrQFH8uCUU
f1rgzIxkCi9kLUCJ4B1i/1A8hThRkd2lVTL6hQ5Jfo3m0odu9Idt5Pb+9rgr15fKJLHrzgxtbK77
mPd+U7hsOkiHLWyV/mWGgdTtUdaeGyolxCoq+EEbA4ZBzOmZfDWich+1wFU7d3ZXAFVgyNJruw66
Gu0jqOcTEOBAa0waVEyn7xu/YjmLV86oShFpzciM4ymKQUqUqZtOsccncY6r7AdJYDYVFY+9M3+n
iWa42VB7bUbuWogObNb1V65VlRjCzQKepoNM7qPqR2v/mpIfsdjDcc3vrFMijre/8jrAATtJiURM
RqkoE4ximr8t0bhanKH99jzX+jHX7b1Y/M8bcw8ZU3/8BW+oB1K29wAUnPXIED4Mcx7agRgu75qj
RrQAWlQ9uczQQ7j9+1YCikoi0UiXxDUBOdiMxmNfQvEo8+z4g+svlV248wB1v2xjcxtrE64EL9k7
BYGUJRa8HQTs8xYGfPadRRlqO3kLBmX+nYgXC+qhLjSeXmXWRt6iG97MePo3MLxP4TOTDdODlgHs
Qav0pZWFr/ecHCsbOr6QZpBnVBf8oZ5h7dWjC0V0oNMjdEcMZ9gifq59hpKOaQSbprJYfD/MJR64
2oepzXfCjv5rJVRgKjIeNsP92klVCSZ6BeyAlpFooQofmxAP0ZR6Ei8O2UHcOnWGN27anhZgkYqs
hKNJ/KvVwA3Y6kyt3KMq5YR3cD4ZCMYHYgJnVMwfZrwpsLOSpqgck3QotDGz6ug+ouS/bIBzu72L
cdqrQfhjMglPgOlaxFBy3Goerlxqqh0AbMFhazwiQZnr4g0OZa9DGLVeAwrj7dO0kkiq/AJGRD0U
eh/BVIiDghQt2A54H2p3gG1vHNjr4HGHq4wCOxIVjWCbcY+iYtD34DaTKd4PTD5ZhnyokLqaoQnT
Hee/phlfqgTgiz7/uVybRSPejfFLl5l+t6VMvnIYVIV/huIgBegQKZ89+qluncIZQObZTJ6dShyL
GsiWbtz49LXZVbMuUbU8BZo+CKVzIWmzN4bwMJbky3Y9cG1LKiGK8yEFv4HwoBR+r8kgmtLvRQd7
ZTCaMkAsLG6fh5w82+mP2ztmJf6qpAMCTH9cDnjrg7JUQ+w32xVFu7dT3nn1XL2WMwNQASKbOxZu
YZJWlkxFtI1tbBN9MFlg2iLzKpsdecXvqYDKYkO6fRLri4GTd/v7ruPsHa5yHeYZtjymLPFGJumX
rkyfoaTxKvrh2E6E75sa+jFUs859+hv62Ae0wQOzg6pL9Hp7/JWPVdkN4A1kUzpLjmpg5xv1TxZH
lxwImFjrDk5UA0HabXUt1oZakrpPOSPA0EUIJhT2jhP5sJLl35MKct729CXS5GHo6VbZYS11VrkL
KZfojYYjD3DjBRKNwHL8AVNkb/qWZ8IdWxj9xKWPfings9AJfC9S5wSd4ycY5P4ucxqwOPtZATML
h4qoSBbhsn8rkKlUMSMejaRuKapJIAZplfDzCvofIOs9LtEgacyn26u6EsdVOX8Hi5lbscaDqBu/
1Jr+HuXz0hi4/dfXFlJJ2UYtl2bUMdTfLO3MgQOgLDtLBFKtII9z6Dxu4gFWrleVJcEizgpNogIc
ToW+a6GDduiFZm6cvZV4aSrBbBgn0GriOQxiPOOyJHkOkxh2L/DegsHixo23thJKMjSnuUjGbgoD
p6v2i1EfGx042GKzb3zE2lNM5R1MyQD0AzxqAthtoKHf8sQN3wabnFk4PFWsfgI3tfD0qZpgaLul
wr4Wtv7ksJ8Oc2Fk8BSTA4gCRQ1z91B641j5CYpuhdMMuzGOfzeOriEVLSxPm+r6bFn1f21m5G7a
/GPZVGUuTHYyTz1w7kGPagl3U0LkPRzfyzONy4Lu5jyTX4FRGMRGhr5WgVNhxmFazHpeFwwqo8lD
ZRa7vpXAcBUHJzEkKptFsPDXk7yHTnG63zwGfygqV56CquY9SOQi69MUrNge/mHoWNzzpMthaDw3
nhTdI8rR545av/M58yKNfTfKOPNRtmt3qRa6nM530Sx3TVTvCf2eUxZ6cQZVbqiho2IAij+IN4Tw
3eBIbQfd6FNrRLsMvuCF00LrOEdk5rb2MTat3DgW1xFdcJJczsun/RNSAstracJkQdeGQ+QM75Jl
4o4PqLC6QhMnMGGtHQACEGRoESDhr9VfSJUcrRI1QUp123NCWFQnA8zM9dj4ipcM0PggYifSh8Gu
PINam/gRQLXHvsv7uwqAQw9mh6nfkXS6K6IZpgCgKCWuHifZAQ6/W+XolZRFhYo34wzKe5OxICoN
+IwskGrQaGFq6fdD6JljBIFoJ9h8gqxE4z/ohk8ziRAJvQ8H12qe7enAvpJQHkiCxx3Ax/t6tH1n
ohsJ5kr5RSV+xAUmec4bJGO5DWmipR7havodN8TRJOlGQFsbRMlie2oaNRaZB2PBjsutMpbJUWqj
n8zipefG6Z8uMZXFQVOjMRuCYRpjunMia2dq9IDdBmgh+Pa5vWtSsqWUurZEyiXA6oR0MZBJQZPC
PtUGwv4814/t4OyB+xYHYLp1D+YjTeYP5fR9cMCsGSLLm8VIX3prpJ4tn8bCAuFjYp4ltqxJV36W
yjaIk6op+5yxgJjaBRq4tRt23anrq49l6yS8e9qsJa2dCeW4W2ZYjCUaugG8EDyo67+jaf+87KRC
m55MLTxy3oP3tHUprg235BOfzkRhZXlClxQ+iayfnT7tk44cSTjscWPAo71Ml9z2sBmf/5TErsRn
lUfQzU6U5B2yiAiVWc9c7A/6ogETe4QtmA5vMFa3uksBJIDOjvQpjd8zu1nERlDVAQA4BKPDTt5b
BxQAhzyGjfRnvZ89W4N4m2PVD7nQQ3+pRs72GXLFCTjAPeB0pX4cQs68kCW/ajvfTTH22CykC6jB
LinnZ8MSpRuF0M6s2/KD2wRP7knGHuSr4T4jm12eJBdhU+Be5vZA47l3wbJAyG3EsWnYU9sBRGBA
EQb/GC60mSEuhBSppzvs7fY5XDnuqsQ9jBg6IJdSGjgmunQagQaPbF4AsDn2oAM2ffHl9jhrm11J
9rKuqWaroyAmAZ8ZNDnTvHwxGkpJbPlxDGwXR3HiBKG+aOPYX0/9ICXz9yYs0bbNTFIRjGj/Ri/p
i1XF/qak4PV5YypS1uiHNIygBIEnuPXIJY88q3uaTWl4Och57hxRubs9c2vdnD+Z56fTlDYtMCBs
NoJumsUhiub6qxhBvo+4mexmK6x9I0Jcsjt3pAzKQS8WvMNcJruNLbKSp6sAc8fIktYIDSOYWvl7
wPsCyggXzcxeNl80a505FWAezTaSWUhQBEZf750pCg+DDUMD4cJBJdUPRTf5tEbOLiBM6E8mXKmA
c9f78MHK2R568FvYyOurylWYeDuHsZBxYgS5JCE0i4z7PKzf0+ajRwPHFVyYW4u6PNauhCzVzcMY
BaR/kpAEjfR604uazO1DCR8lmbyEoYCEDLiZId3PfQmhFmc/jTl4jvkm1W3laafiyWUHnZreio1A
t7vdJMJ3vNVhzxqCsmp4KbfAQY+gZpEk7lTzu7kpvlGK9kNreTrkwG7v7LWNpVwTeQjF4NSSRiBA
5kGh5xETvi9A4kZHbdhqhq4NsizAp9NTJyXjSMdIYBswkLGSwngu0yHdtZ1jn6GV028kZ2sTquRN
tcFoHWWY0ETXkfvDiySP460y1fVYxlUGDaxzS2KBnAjIjfVI6vZsZfQrg7T1vy2EkiCJiid8smqE
yhxGO237Ek3Jf+j2ne1ho/Ky0ilgKii/Y3ozwsjKDqoIOx65n2cVyaFGfulkbG/F01Gr9cwduPk2
64tqUO5JCBcANb7L842c8/pWAED7760ANBuZ+rm1g17Ud8VoezSTUFTr7xEzb0/k9fjBVBOALJtb
qIROkObI5CtFplj382nQ0COwWPFk82HjS1buBMaVo1PC6wbvwsIOhp7VOUpYVrtPIejmMVr9wFOu
e2bawjnI2tlNO+en7Mpsb4XFxF0iwNH4t89VzlaOSrQ96jkWFWq30I0MdDwdkap0Ae3gtW3FGxWv
6yxnh6nw+En0dUkygYFM3Uvq6r+6tS+ag/cPS5tnc85/1Sl/0qIchMHJqyEz5TZVCufXMiBOf+7r
+AvR6PH2V18/jEzFzwOF5kjgnYyA9oC/kkT7TWZ6gALP7T9/PXlmKiy+bIdEDyNhBvUsToIC4l6M
50F+iauf1CG/4n4KNpGJ14MWU5HsZj2zQh8qKzDxkHfhBndHxfx4+ztWzoIKX+97Y0alpLRQ2suf
6rbdjfb4pltyF9rdz03F1rWToELXbdZKmET0VjA5UPgT0GpdmIY0BBSaOKPPBiAu9Wza2UPtM5M8
QuFRwuHZfrv9lSurpTJuKAeEGLK6TsArZz+Wi1EZtFti1HsroLPdUFJY67UfM8TpN/bH9UyaqZh5
PoBEpIOLEWQV/VJT+8MI+Xc08b5Aer91rZDeLU2121+3stVVQDyD+ZYRa7UTiLSQrk27B0uv31Lo
R9z++yvVU6YC3EeNo2AI0cOgcbhfA/YfatbOQfAIjdmvUxxjggbXvKeEHG4PuXIJqHL9lDOIBzIC
Bxx7fBZOvcsRGIjOH3nRbFx2a7OmvHXgF8/nMcMQbAp7H45eX5eyJFoP3cayrH2Dcl/PKQAwYYgB
6PKeDuPiLMzOA87YhvnyxhgrRU8UcP++LQcT2WGcUqx9DMQJoXRn0F3XjE9m7hReT34VkJCt4BJZ
5gN5MRERvcGqgs7mFybh7tMsNtwN+j0E0rHmpQYkYUdb66OoiLvgiPyW1t+nsdJ3Nulr0C2Glzqv
/aExXfwxF6Cp2wu+UjVmKuLb6uFJBZV5HJimIh4VonULGUPpjsJ/WyIamE52Fg2a1APquXlN6EFP
yZb70Z/q3P9n+kxFfxdSh2+f1aEeGQ/NYSDNm4AcCoPcsD12bhbjNp6IrO9gZ6W7A2xUjxDS8HC3
76lD9cM8dt9YO+7TwXJtvfDLMr7rMU+RkcJpi/cCaifl66xt4Z5WApoKrMsNGIxaoUODKumMVzMB
sQCt3zunJajQTjKpT3Exf+8KWKjMAEdsbbeVjgZTwevUiVtQCwwWzN1AzhrIN9mMbnPUHeAOcBmy
Lv+aINajPijOMjsMeIox+PhOlti4r9Zikep3kMNNHp2izgnMiNFjJ95Jq79poGNAN3Q3h4R4cTXW
bsyyRxFKsnHOVrenksqZixBATHuUpKFE39UgxDtjvUNxAbHcvoA+e6wFA0LIeLQTENhR9719Llbu
EUdJ3tIyrmvqSFR+SHbIkKISKc6Qcf9SVuNvGwIE/4hIYo7xdySxkxiSrE6Bxm6qPzut6N2MRT8m
IOoGxzwIYI/dzRx/7auU2Nv1pRFNMwRwoNZknhod0N3Mhr6ajWs5cKrIfCWzMbrTkEX+7XlcyaFU
u4RcT6KKwAQm0Jup29mwbD81EKrY+Otr50JFvIMiNxs20+2gHgmUCcFknnkNPfP+oQUcOefNgxbB
bodQOEJmz2Y3W9C0E5ObROJ0+wPXdqgKfI9qIese9t0BTDk8FEZ01+isu5nRnxKFJ1xGzMvT8Afr
inMNrGAvyo2RV+45Ffjeayat0MDEg22AAo6eAyAeRe2DrSFSmoUz/+Mwy/CfSgTwX4A/WwoibKZp
L2FpoKZnHJLYuoNc9cYULofqyiWgQt5tOBVA13wE1xaP9mLgxzCM96yJAIszXkYIVHhkoB9Zou+7
4UAhLMruNNvcimwrh0IFvtdVG8u+nO0g0arU63p6CLNwL/LsAEePthSexZovupZfelodWlwuxO6+
EQIrB1wAyS4ZjV9Qatw1Bd/Y1WuXjBJ7Oj7nqJWgGpwO9I4n5pOcu722RNjOeqnj4pvlTO+b5cUV
ZCdT8fC23hlGm5VOMEb5M4kMvoNu4uBqhqiCwYLQce5A/LCw+3MpEs/pv9lW9DZaIAOMDny8Ek3A
oUPQ9MzH5qOEVOOuEI4vJ+OrzVnjhb38SWbrvyyGi3lvVu8abve7dmhBEKeR3NmmtnVbrE2cEt6S
iOhFmlo0CGGYAvNCEzL5I/SBi4dZyl2V6ROarC1kqZ2NW2JF6YCpOPhs0QFiQ4W5q2x3uqfOA/st
OEPnovRNvXopjW8U6R8NzDaEXH3x7oxmMPfjE8vT2W2T+WI1m5o5K8dIxb2jOwAIPudWEGf6K0LB
XSTIDvAhsH60gzlrh1TQOxhFB9U07mYnea666R5vjI3JWJl9Ff9uwYCE2IWG5zKxKxeS8vsuMXCA
4t9TmXwty653YTTrboaNlXOrAuE1A91emHzYQdPrjQ92PMQ1NKfa4aGuexoEl6ysOk8g69yOUmvD
Le+ZT3EwjCM4cUFcLDCQViIrbryFP9LaxfM8pgdTzheTbL0s16ZyuU0/jQVUd0gg0mEHWjUenXkJ
e0ubvoq+5JqBm2z4rxPi2+3vWsvsVJD7XC1QOj5AvKrgrxP5wBQ2A7vLgQkIUfa2DNBTzOR188mx
cm+pqPXOttGyoaUNlRntd52mH3kGhcBy3v9r4cZW4kBnhRVLILJxjnUzAmiqgeB8AlWCl9sztvKC
Vc0LpCnyOhV8PLNWOA8wV9fQIU8N1BW4PVlb0s5riYUqukxmJNqokkJLmtcwFRmHfRrHZ3h7PsRN
Cr9BZIrmEN0Z0vaBFTjmkLC9/X0rtSkVt04J9KVqxzLOmVkGYZnttGE4xnb7SmNrO+9dmUUVnY7e
Qk4nIcezPkA2AJEjs93M1OV/9aJrcPtL1va2ilLXaJgQ08pNuOdeOjEEvckPhoiPAL75cVcdZGti
6eJ7m3/5xxGVdEnPRUSTEKuWEej3Sqja0PrcV/1L0mnHKnJAhelRnNIfCDTRb4953THJYSpyvZqh
hsGn3oD7ewvhvtPU2x6aLe4o5KGqvxRGVPuaQXYZBPlcSwbD9CbGbzaVv6T+a5wgLo0qOEg8Uh5y
iI64AzL0fysoqYD3cswYXHNCeq5Fdx/HyCvyLvLDxkaYfrr9+SvBUkWxp9IwTVGOxtkRH/NS1CTi
w4J/GXq/Xp3IM2Dnj/W04UizErz+OE18iswpDwna8ZkDun//4hTWh55GAfwyLyhrbeHP1k7+H23s
T4PoRQuMWGHb5xqQG5dE2X1sF0+N6H3bnk66lbwl2XRvctJ6iTn7YzVtrNbqyErtzEEHTcZ2RM/N
nV0DZD5MASSAAxDKd42F7LC1fnAEhGGYzijIbIy6EglUlHlta2neOMQ8Q9HjIxLJvjORQGhbz4u1
P79c6J9msy0Sva5oN53B865wlZaLkyIFNmXLpWm5la88X1RENx1CjfGwnc5Oh10YWuCOo0/cbVTo
VnacCsvWy9EKp6mYz/1snMgEeagxH/KDkyXCHaqwO90+RSvpjYrK7s0mJzNSpzNiwbkS9HVKdAQM
cWk6mMOQ6mux5Umycr2osvap3slY2Jl55vM+jGE4BoXTUX8onQFZ9BZNcm3RlaoKMt1QmCU1zokM
Jz+kwxsFhgwktG6j67Y2gJJjjKBgjgX6XOdIRPtsXHRA8ruc2Rv3yNqqKweRgSRbTmELkfth9MKJ
/bQ7+2dmtKdQazb7C+b1jauis3k/WSZlpnGWjnHMy/IO9X+XQW6wTgkqKvN+yK07Ew56LOruorje
C40sTdRmI5iu7AQVp82nymHo09Az3L1fhjbc61h/i6cRiMIO0OIbmfvKUqlI7KIzHXsGheIcjdZR
75HBU0iHdb9uH5y1v65c+H0hnSwSg3MmsfkI8/fnwW63OXwr+0CFIotkpnMXOca5QeHBrNhbMxAP
iOXXPvVv//6V6KVCdGOnhJ9COeOkUFm7ZCihdZtb/xbaVVBulJsz05rOOHdjfybtcOwgFDRrGzFr
berVQw67mXycyvFsGzTZQ/a6OWuxDP1kHLvj7dlZG0I55gX8eSoItiO2QzKJA2IeVQ9hVm8V9tcm
XznmHKluD8j3DHHg/lfRcCilb6YRK6dLpYqFRhFNA1K5S9lUO1FapywUbxC8Bz4zKkvP6Zxx44Ct
bFKVeaDDPgvGxxiJm47fsga3rKS/KicGndHc/9NCqMD1OaE5+HsTFGFS/jxO2iFGK20zRKx9wfLP
P+cIzjTDK6DBX+8KlL5a/uCUAwA/2Qm2Brc/YK0X/wfe92mMOe+yejYxhimM0MuLlwZ2l1YsoJAP
YzV4ItNjkiffyvyDFdw1wE+monrdGHzlev+DPPo0eBhngJDpzXCJUJDxIxJU1uJHv5Psh43MWT9X
UxCOk2uhiyJtGAV0MDexhncyw/eBtUeD9eOeVlBhvv2D1jbnciV9+j0a6qmGnPThAsse4La08OQQ
WVzQSG2eaJgS4P0subF11rLaPyvyeTAz7DgT8Yg/3+6KhD9J9JGAUcVC37dhB52acPqRaHKfzPoZ
fnRvt79xJXb8+TmfhrXqpszh94sF1wB2APPXKyfyA/4HGynI2poqwaOvTB7KousvekcDPTtxq7sP
x5q6PIteOjEGsfn1n75EBbkWOidMZqy/UCb8OqkfxMwvEKD5t82gAlwTk/VmmGnTuYexKuy12KEB
821Hc/JatvNrpqXxxpKsbQUVwwosCi/jqjHOBTRme8MjYGQhod4XdPSknuwdyv4zGuOYlnmQRpui
Pst1ceWJoAJao6Eu0xm1uzOEpXDAwggifI4bmuG5NAsomWsoyFrsyalh4zr1d42Wb6RYK49jFcnK
BIln0ocjtNvi/N2hEP1lLStB/YFXNKyNYAjoOn2sfWnh7vjY6e3M/nFRlyvv0+5P7TgDLnMUlyS1
v7MUMBVOeX9qm9Q+WKN1T9pyowCwcg5UrXgTNAECo1JxCdFuaIzGcaEHHfrIarpdy0UOrY7xl6g3
m47L+bq2mMbfX+aEnIt5SsoLn6A4BREoUe2sIqgXU4T8vS1/hONwLMqN999KFFHRrflkoTsLVutF
18sAD2/jZM4yPcgIuhq3T/dalUxVgbd0sJ/zMpKXVCSvqWhPRNdf49r0AW6HtqP5pPVNMETOI02n
jarzcrH+/xxC3/bvOZTDnHWWHOQF2ULiNczweQExjAL0vn/Ti4A+6N9DGFAiTU3q5BenXpyMnMKl
qNPIZpPdej15c1TULo30uUog0QusZWceu8b283DmG5fW9QsSMlV//3pawoO17FL88a74XWX86zzX
tWuOyaKS+R/UDOut1b++waBy8/dIoreMlNqxuOiVKDvXNrP8O1B03/NRn3+1YbSzpjbd6VZOz1ED
DwRHg911xHUBL6z0qeyoZxmTA1HhQXa72zvy+omGTsbfPwmeetwI27a4AGoN9tV8IFrtV2Hjw5rr
20TDD6Zn/wbvhsjB32OF04zCh8aLS0XqfdRE74Zdnchcegkn77c/Z22zKwEjNpx0IkAlX5oqdEsJ
o12Yevt6oX/djBJ/ykHXDpTyUHEyDpAQaRFuUfjNoT5rh/spjz0YmPTchLnXHQkvMrFBSA1gB+pi
ZGhJeCQGRC05LP9Ch59r3LwNw1cI0uRN7uIk1vGwKOqaIJXQLvLwX2q27UajvfxP0Jw9J+X3MX+r
tsrFf9L5a5+h5DR6h75XlWAzziC/Qg/Nyg8pCF4QaQdzjYGIuIdRnmuY6aG3yCEBNSKdUrcWYBah
VFrXF2tLhW4lKgJX/ffG6OEoUlAHFTBtvNfR/XIkKurDn0ko7DeL48o27C+UDhsn/g+1/8q3q5hg
2Kwzno4Z7rG27Y6RZPa9RYrhAvOYGggn694hceI7NUSgDZmDPxzi1WtXZH6sB6cL2rRB6x2GMqc8
zH7rGpsgCea0p7ZO8sJvsjC84yaQY1Bq5IfBysPGiwFpOIdp15OdXTcQk0gNYAALs8N0WpArja1i
8tNRWDtANqetgHP9/oQn/N8TWznwwk71srn0sbN3bHHBeUdi1CDRm04cmAdBF8JY48K2+PYBXAlx
KsrQgPton89jc7E4yfxIlDtGSw32blu995VoreLzplEUUd2nzYXEYEYO4QcVb7Sd76OpIac6Qt3u
9oescMHgXfL33HV2GEsOsOxlEYaEutOp0uyTXktUhvGUMR7wyLuH7gzOTXY2xzJ0azs94N2M90dG
HRdN7C1+0vXMEnLHf/8SKrqmtaReX/JW84cBXaY8cpdhJ4d7eLydOql7m/FtbTTlOpwrS0wj+liX
EArRfJTHzrZ8vWoOZof3lZ4HCOFeqP8TO9JRUeRjVtYdBQ/mIjM7mDQTW2Z+mnj6fHsVV+4DFTgu
qrTOhraoL6mmAQ1yn0/NiUX2UY9/3B5gbbaUO62rOhQ0GAbQ6/QSavYuqV1Iw88JFLG1agdB04fN
lVkhLzkqZryvrHY0Jg1fk5X7lMB9t//qMOanfXhIjGOURn7UmEFj9uDvEh1CUxq8AJzRc5J+I0de
qa04qhA6tDSyKo9x/oY0MOqHabEGezWrY+rIwOoKr8rmU8KKs6TTb7JVflwdVbms4gIdBtuOGqQO
4E2L5gP6dVAmM+/s0fkmteKSWvm+4mZAYV1BoqPN7I0NurKDVPi5xnvdAsKmufAod+FYgAp9/BBX
bB/ZciPUrA2h5GDzLCsYWNvyooFNwbLkbAh+mS39AQ/ojYfbSgKtgmzHFFmuDX2lCxy8XgxBglhm
L7dPwNqvV1KucADdKxqN6jLI1k1Mgc7pxcE1symxuhbxlXyrBH/L7Hg4BTKtxspr6g6uAkQQxj0r
ZXnvW6YNcT+73Iq3awMqm23oi9Jo8mwMRrPpdrxq9gI3GvjzIJV1WrHbtPVcSb5VTK2u1UWoj/kY
VCCIOYtxyCxK4LiCpH6yaqZtSzevpVgqdhZyA3RxmsY3iSh26Zi+DYYD1A6siUNSnedmCKo8HV2W
IdFLxuzj9uZYqQI5KnQ2N6Ct1MxsCFqdXSBHc0fL0R90lMnzATkeC3IOWaKEOY+NrOHTFUuxlfws
++NKkqfKSaPVbZWCVH0AI9gfHGL6g+RHpnW+1ej7uom/dSlA7IWAnEhY3knYS93+5pUrQcXYwn/U
gNbDmAeaBZM12JNNUDaOJmiZhue6qACVaEv7a1Lnb+WUPtwec3V9lRjCxw6CoHC7DxyLou40esKs
fBhaeSkMJFB9DW13rvF01AEwbYyNUVcOClUuPyM14iRmZh5EHLKXEeu9pI3fRW0Tl4bhc0aSx/9x
diXNcepa+BdRBYhxS8/dxnbs2E6yUWVkRoAm4Ne/r7PK1TNNlVfvviyslpCOjs75htvTW8gqTeAs
o8IjuXVdUujB2rB5HMIMLyZy+NifNyJM4/Y8jwq/SePY2o983s5KvDSj+lh8N6ksULRg6PfTLoVU
677ywjNg7DCii5qf4wd1bEITHmtrWTq8Fh2Ub19ZOEuoJRWoGtR3VdgffGzD1QbOwlViYl9D5rt9
3Hos7UN7OzjikTb524e+g4lrdWtYctNwbtMyiL5BvQVufDU/V6vA0oWTaeJY8wiN/taN27Sj4qjI
8Dh49g8IDHyeoKRcKhghMOcccb4SCBaOh6ncPI1ongGb1qW2jp6tYdgVHjxNi+nO1sWfYq1quXCJ
mPrMsBqjf0Nd6o21AFr2tQMQc/CVSGbl7hS6qkdq5yvlooWDaCJYq3KsZW05LFU1QMAx73YOs8Ei
69uVAZbWzMgmBuh4T2WtsWbMQ10oewKmrU8aGh6hnIWH9/b2TlvaCcaJ7wi3Yj8YuxT53Tby2nir
KpFqmKnD1BASAFRvdf214LZcuY2W5mXkFBD0EO1QAuU5qWFKstA5WtbAkjgPz0E/qDuXrelrLoxk
YkqroKHK4RNLvcj97KOUeN110p3ERlvFOvJ3Ie0zQaUQsyl6IOplCkUdeXLLHMBZXss7HSlvG/nh
yhlaGuY6y396G1PAMggYNUNa5QqiL3ZaZyRhrX0c/bfbW2FhS5tixzWgBuMsyJCKXHhJraATOuDp
m8AUZ010aGkS16H/mYSlZkjyuoJDKfOSQcasVWW2ARvt57quxfV8vJPsmOhP4mnIGMERKr0WJQF1
AI2kRoZD89++JC3MZMK99mSBf6WfZnTgIG5xJlG+kggsTdBIBHTnTJgO0Ep+bh+b+hUorTM0Lu5X
pbUWgpwJBuUEyzczj6corv2yiz8Rn3GzyfPk5nfl7D/5a+CHpZkYgcFrxlBR2J2lQwaNTrYLdfy1
96y90Paf2/tt6RVvahnXyimyPMduyFRzhqf1w6SjT1AXmvp9HUsozzTBye+jP8KVSQQ7g80UyR/K
A8UN/28loVpgA4cmEnRCMPJd6fA07oZhX3anOeyPllR76eqnbJjPU0OifVehr5eVuxoOkJT2O6uA
Fq41tseZwGi0E1c55KNj3Xl2rmDKK9i+cqZ9VvaHtgheV9Zr4dub2sQ0IrpTXiFTlLrgPt3uYDjD
IbmRjd9bsu+tbBPl0NzQmzBM+/JbPe5nJl+Z/eqjot0Pp9VNuFSFMHkCpK0czkKQy2dQxNr4iI8W
74dZnHxr/Da7cEin+fw0iSFp7Xldjn3hsjJRr2Btof7sFn2q0LyGosnOCusNZGu/daBZSaf4ZLHy
u/bclatqqTNg4mCnePZQ04q7FP/LkioL831hh/defxJ9lliOvxeom6NpEcMXTQXfCqXmpO9immAD
IfAECs2QgLpbV/4aqzhaubOX3jgmcFZSwqqou+bRJDxEDj8PXfm5Ke4Ha+dDy7S12KFQb6MVPd/e
eQto/9DEz45d5hV92fcpcXlwpGN47LU6ODCfxk95xELshjj82k9kn7G8O01k0neV4/90IUvuQW7A
G1KqH4pqXzZXg4huN40NPX7wxxmZUog6SMDRVQAe5axJWv4g0feBg9NM3NQj4FeOPbRwvd5JgPj4
AynsLTRp9jGd79xqo+CNXZ8CuYenYOraa/3txbBihM8pH0M/0mOfRg4EBpO8cY+xbX2uGHtr7fZA
xmHP+8j9GYcM6oJ0fhUkYhtwlNLKV485R0XRb/TV63C6b2yf7hzcVbbiwcaqokcH1D+BsnrR5+Wn
28u4FFyMvIz5FqGWpYY0hmjRHLX7ssxPxGl2Xh89ldLuk9U7euEYmxhgwitrzIRGKqP1ndbuJQhg
nmWLoxWB9N5Wvwo5PWux0ohZGu064X9yDnBfYuW0uDFDR6BR4COzGQ9Z3eNxa8sDuhvn0g267TW2
rqTuS7UeE/3blrkcxg5Ddm63y6kHz67gRSPd1eH0hrJTDdv7biPz2k7CGcz02uriw+3PuHBtm8rI
NBakbFSJsmkMm82APjS6vGdOe14N/kvraeRwjqXauAgL687PQrjXWYF16nmWbb2o+zbLEI+VSiaU
WRwvPLKSVi2NaRR1AMQELEQNsEGmcGOuhkQi/vr6ORrJYbQ4kIX6rVznXS7dbyaGmCo39sDkj+5y
J9/VuQOZUejjM3WBD9pDBmmBmMjvE/CKrP2aE7IbZfTj9vdbmqkRzPy8QWFsHoEzJXKnOA6E9OsH
aI6cRxoPSd2S16lyXzq2Zvm7kPWbur8k7oCk1aizT+X0FWY7nxoCIE68doUuFEn+3ij/nD494/BV
0FC5m2zr0MCViY876J133ZduhCdX5X2GJmgS/a7hsw2rWKQsFRxJvHIuktsLujA/E5IcsZDZjiXj
O1qxaC/IlB0aLpG18FmunLmlPMEEIxcEEFbHn+p0INlPS+T7MSdtOsVwVonCbemVm6tXtqqGXdzJ
M9wltsBteUV+sIsK+u8wtAY1jdbg6flsbeHfn3dganxUg+q4q4sudVr3EPHDTBPaN1/8UD/atLyM
cji2dettetf6lXlWnvDJuoud4sys7VzZK6nK9XX6zmvMhFBbIYEqTjDXuAZh8zI0/rGdmAvj0AFI
gMLblLPXrgy1sNNM9eYB4q9q6to6rWv7EAr1DAvPl9t7aCnhMnHUwg0Jh1RDnYqpt6Kz5/p5uelU
Gx7l5Gooptf9wcmb4lPfVvPeCuxoX0dq5YmyENJNHHXO7BmPLhiddKJ8ymI41mY5PcEznsKWkawB
6hd0BcB9++89GRUEKCuLNWlmA4bR6OBQtO4ujgRFi93Zi7Cpk8g/Yivh2RGM7l2kGugaVJCnr9E4
mOJdYXG17bqRbodmWGsiLOithH9j9D8RhGlQ7TuG2rrOhXwBJhjWl6AhbkXJnj3wdqzCUicI5+mk
qEMcs7ANp1Ph6U9j3n3W4RrcYiE/MpHVjawrKA6hrxBkwOXM1SGKrIusJg6CFz8DpOZBJmjarWy4
909v+Hcj/jNpBBPou0wu6vxjALfPCWbSOJMk8P7oLhSbJvZfg56dbVB0EhY2ULTAB/rOaArTb7db
SfsXfoQJwRaxngqr4XWqgux3bnUvJBz2nbsCx1zKkkwItkLvDV40XZ06Vv/oWtD9lnz6Vcz+wabR
Rs/1roEZOCr8u8Gld7GvVvDJC+fJxGPbTSCdzMnalIxXNbQ5OoZNf3axtqsiiAu3uIm97jI160iU
bdrM6rmwwHmAzDtkzqAQBgV2kJ2rbb0GNFo6ICbeWhS26mNNmjSvMRUgY4jY2LLdVnZ+JNI/hC1S
Mc/90XXTsWX8ODr2UdarzOGFg2Ff4/E/W1WzOAPBjTaplu3PEsS0HXN7uvOkP2wsrWtIBOk2BIy0
2cTVcMKxqZOiBGy66Pt7H8y+DfMvU0w2GlrnWdWW23xee9QsfWojpgGv4NSQS2nS0aqSQom3gDhW
kln1n3heq6AvjWFkbDCwnQiF9DySUOvzgLS3RTECeisbElsrWJOlJTYek2VUzhkk7VnqznApmTnk
HmWU75vQF1unaEf4gMVAoAPWczv8LNzaJjhbAxsNHQaNFGYSTxlE8ea8eK39OU5olT+IqFhJnBZ0
gKDN+d+94xWWHzfQ1ocxVd9f4HwCEpKEo0vB4naLefbP14VkId/5fbOzRP+jmHl2zHzLuuSWRnSw
4IMJs1lnV9aSJWTWW2aPh8mGaTJaDI4+x4MDhtG0BdbwjfZXxNqQBJXYhfkauXgBIAfC6n9n4XNm
67lXbYrLMk4gYXkgrX9y3GSqN4EVoFYH64Poi91MR+gRbzLRnqQcUM4k3t6pi9+3P9pCHAhMbDjj
lEtJsdn9kUGAx1LHQv3FrE1QSypH8SUUb7i9ceQSGFjjZgHzVtMhXKEGvX8OAhM97ogsgHNm16Rh
5nxGl+cQW+yTpNHe9k+3Z/j+tgxM1HgTh6TR3GnS2tVg+bkH0NR/8DHewgIv7aYvt0dZKEsHJhJc
9hafQWOEsVwr7cfCyWG1Qpr+PiKTs5kUi5EcFe02FnqTO7S4FEORJTDwAVS5b++LHk8X32H727/m
/aw2MO9gq4lRRK4ykuZt+0LmBs+IUrzd/ttLG9e8gSVVbYcy4pxGkJZMJtZtqjJ4mlq5oW20j7Ls
V6ijI8RT/1w9nSISwma9ine2Lc+l9NK+y463f8nSlzXitIpatGJmUadjyX+jtH7Eqf0Wlf0mBOp6
taWxkOIGpmr12NaQlqswTB260VY2iNG1syFV+x1Zx9NYqz1V1S70xCa0i2fmwSe2qy7uMN5XTUV2
iLt7122hzu+cWDl96N0SmOrVsoj7GnXSGse2vEeGBeONQXy/va4LDxdQrf4bmnjZwTERPropBdwH
jMRNBo1VDpnaH64lT54fbToZfKtEs/JWWRrQRLC3msejsLs2ragLFcTwkDP3kensYM2foh5ZiQ9o
AeK0CJLKdeuVNVyIPSaMXTWKDkBYtWhc94dqQHeAzjAurVl+iKmXb26v5sIuNeHHRTvbIaNdlfa6
2aELt8lLSEzb+gxn6MsHs+7AFLCWkyyj0HbKtO1z6HD2aKaUpQvFlZWIsjSLa7b/T75mobQlqxCg
VXZNStXM7r2KbPzJeskcfmrXJFAWiiKBiTgG0qroeKiLtKzsS6xj+UV6SAY57DWPbjZeQgX0Ig3g
BFsVR5oVP7XNnMd4nuGdmDtzoqO5RiddnaasE48TL1dizfVW/v+SRPD/6X/Vxb3XzOhdDbuSUGgU
6YdRqm0VFieYjZJty7BFP7ZljMCG6u4o5OwUKWQlk6zdopV5HkJ/IytI8QVrCkELUzLh0D4tp6yA
jSeu3hc7CMurn+JFdsUhp2ROLBz9obSbw8emZCSjMXhjLZ1kkWageMwUdRDPclH9oN/04JwAWqEr
a7dgMhBERvDKeVYHfjUXKUzP0U3rIMo5D0VzaLm18fl3IG0Duyy2dOxPijc4hhOFVm+nzsID2agX
Z3sKvg9wt1r5Qe+/hwMTAS1oHcGuOStSMJtKpz8rNubowQZ8ZWUXXsSByVKRuQfqLJR20oA+F1Ox
H5SG7Zr+U83qkBVlkcSlvKp7n+QY3edqpbi+lDiG10jxT0SwQRaBHF/EUNXOfjTjvIln/2v3Swwo
Qo9wfB3OhVvtPOHcqbCuE79ytxXuytvb6f2nMhS0/zu4Vcf15DYYXI1AFSOGn9oQFtXO59h9amJr
28sxtWi3AmJfSu5MMosv8mBEf7RL4e9+CiwyXhRa2HPXfmMRTepZngtBHubhDNo5xB1h8YLUvT7w
Ql+JBM+357y44sabuazE2NGRd2kdVQ9+7u54N+/0iO1ba56CM/Gl8rxNIL1d2bNdXPmXwI0fV1ti
C1eACYLH9QLBMj9mqe/8maJ8TEgwFEnNxxPk2Po1Ufyl42IEiipUQavgHZVeY3+VN/t+8u6rNbTf
UjJnyjyjHyooZPay1K+bI+zMPpVxtRWwNucW3YVQ9Z2m+cFv9UZVcC6Oqj3P6cZGF9Udprssir9S
EpUJOgGrnbGFLMREsU9cjx1vAvwiqh46X0KyfHhxFNugw3x74ywsqQleD2UtQxeObPC29F8oH+6L
anxedbtf2BYmRD1recZAYLDuLPjibbqIx/t+ttC8Rodraia+zyT9dHsiS+fw/zDplpKsgEjsXavR
kbUPARJvx33Ef5VkQosWvW3rZeqf0SNPwDVxPLXJ/JUC4MJ1aeLSOzL2HRqU1l1Y820AawPmfL02
FInfbbyuPrNftye5tB+MU049JC5RUeNr4RU1TN4pJOqcBzgMa4fg+pfeyWVM3Dmkn6jiWZ+lheR2
4nlzk1w7Tbd//kIXNDDB5j3KsyooiyyVvVttG90c8vF+LuSw41AYz5uyT6ZM3cdVkfQFf1Hodie0
7VfqCUtPicCIH66l7VFF+EzUcV+CGjRmy36K410wZYC4fOmlk+I9/GStPUKXnsMmPL3ik4ocqa27
kpDpe5eV1lOBn5Dk8IVLUPx/ZVkg/nRT89wXVbMdht95Fv72IWCYhLQOd2wY/8yen6+kAwuH3USy
O6NyspFLC0ia7jvPs8es9narJ3Bhc5rodVfqrBFdjo/LiHqQPTw0pRUBmdDGLsJkG+xWdtHCHjWx
7HmBQ9AQDNS7Z0K67mejCUpinsi3UEgYT9CuftL+jDId/Jl5ApjRW+twCBDbTb0l7RQmMWn2t3/M
0m+5LsY/mU4AUZ5WCI6oMzowIS35mFTdvL39x5dW9Pod//njuRerwsp7684Zux3MqR/rajiAAwKT
vpW67NKJNCHukxVqB35JWTqyCMX18MFFWTt+ho/NVI2vXeccxwIlYac/2nNzWS28LQRME+yeU+Y3
XYdhC1En2Sw/Vz6KzrFVfxnybttplyXhNV362Dq6/11H6UE00880vauq5lRlwcHPIQtI2HFcY1Eu
fSkzsrgjLxD3LShT0S0Ulbf1RJvE68VFRO3KDbd0eo3HiydEQUcAt+6K2bMuM1HfnSIXR9Hm0Uo5
YmEWJr49aBSXTZ/Tu1kyHKXsJfAmJJTuKx3HlRi8MAkT2955OXd6QuhdPbYnS1unueRpNFYfi3Cm
VHLdRMFcULQsgeW8K6j/0gr7rtLzygL9xXi8cz2aiPYubPNKXn8+KDRvg2vLtzYKE9t1YDOkYS9A
r1e+n3AgbGAVCXSWfgx4u218CMHatQNvC8aTAnIxOwKMDAxx3WGLvL1ZyeYW8i1TQzlXGkYGcZul
0wA9MF1DrB46HZ2e3qirD6vNyIXTayLibT2NIJYjafTs6UzC4I+K8ksf6iSS/Nto/57Eym5ZukBN
WWSeh0SoDObZc1s+6qBAA5edPFg7dhme7895BfSnL+fXuTuost27Y7yZZuvHkNF9bvGVC2chxpsI
+cnnAVzSYnoHrfwN06h3Shen+3Zs+vssfW9LGaGj7n0PWszXIM9qlBvrXhxZKI9KRPKeD0JHG9Xh
ZdmJ2v9SoCpz6GGHl7QtU0lXwb+ihjgQt7sH5XfBgyMqPHeH4aXt4cndjLED11WYM3iD+52y4HOH
TlGpIAQ5SMjixSJ7dB20FhLY23ibrIhkEmcUVl0dODu/mF+QvS6otQ0ZqX62JS8qWGx3/SdZtoBB
tE0gMojoEPmnAH/kC8fzKFcs3DaqBh/CpgPZ11kEFFJky+951M17PMzhp6ib5gEy2pZMhsoREbpa
wYCO41VXu6mAIsrK13mM2l0u7CZlgTdDW8x1N80Uscs0ABvh1zb8NvMr7FGj3aR5+y2vMzSjCmeG
+qEsNrBuVlsrj5pTgfLnmXslSj0CR9Kd6uFhbqfmS6bjNYzkUlQzQjOH6onfewG9c3r7QKP6efRx
ea0WcP/KmL6zR0xKgUd4IFBkyFJWvqFe5G4HzTPwa+37SkoInHBcB61OVAvkW1GUb32F504m6ymh
YT1vYI+GrzUU3xsOPyESy4R0oH5BjcXZSiv+lNn0APmkc8tqCMSwNdukpeTCBNp4ZAJYuu9dcEsL
OJhS+JsDs1dBO73of+T1Z6gWna6OgLFU3X7uUDDN12itS5HDpDZ4NfImlw7IRstoz2m7VZwfqISx
ETq6TgQD4m5OYvUtIvIce1BzR+oTfYqCfOOSHytHG+nFe1/tGqX/Td/AdenctrYh2D/DAEO92KU4
WCN5zafq1QK86PYwC7e2yWGA2hNIL05nAxqCcnDt3nmo8uR8ODTx8fYIS29rk7agB7fvR5/Oacfy
uzGTFUvA44Lfp2LPne/9UjFFYj1EiVOpLQAjSaDkcx/nQFA1RNwD3PYxa8zAJCpQant2hgJbKnpx
6ikgPpFPDnj4JyrO9oT3FvxAxcqzfqmqZrIU8q5o4Ion4Cxt22fH8U9Npo9BpR9rvJBzPh393PkU
j/RXxoedB3Hjv7JYa47KC7c5MdJWJeImmEvXho9lFiYi1BsHkCygYEhie4N9INGqRd2CFSRAK//d
q43waORp205hTFeHtDtrN//qZxSanyjZPrSth8ASbwbHJ+C/N/WbIgdZHgTuQbsPn0vYaUE/Dj7n
YZzk3RQ8sE7ByY/WB1e9zs2rJQOEY6AAKZhsc7fp1RkUH7SgkIavybEupCUmoG6yB8hl2Ag3ITAR
PpUbpAT34wxnkWjc2Xr4Za0duaUDYaLpspk2pejgI6b8eUsgKOsV2alqL858b48+ODPxYwYdL866
Y0TE0aPQacrQoCz4ytNwgQ4S/P2Q/wSXmsWqbufMTpmKoA7gOn2XeBY5VlzEO4uUKRL5X05d/67t
pk2qmcG2Nu6e4mtiyPXvEO5bOlTA8BIBrmT4u85bO05ip66SiHpiO1rChsh1Nv30u/xjHGdUmP+7
y7qRQIvMjue0ndrxQPK2TOJAD8cm89bezEsIIFOPvVVxPIWjM6dcBjoZdHWwXWikcmAQQigt+adK
3M25mDaONwVJaDN5rPRQbqBBtbfn2YUWWxths58KCM+5cOfE5ZEA6T0epHTRS9cDck6bKHHhpI4e
7fBTi6LfCDlBIZ9W4u37O5mYnrnhJO0Q/Sd9Aatjeu4ckIGTso/wyBg2bs9f2Zx9qSvXAg3MrZOB
ETRyPOixxviy3VjUu4qRP20TwQZZavdlql16nu1sVXP/GoH+/2YjZntwKPwOkAI9XqxogL7haHdo
JNl3ZZS9uNguEACIedLAjWGbcxFuK/IQir3qJ7qSkb9/5RFTKcnxvE5SGamLGK5VlyD/oYcWVvP8
E1tTDno/pSNmqxAiSDZEBnp1GXXwmA9euIPeitpBXn7NamzhI5vNPy2JE3JV6Qsle9+S4xbydKe8
gpFcDehvQO2vTrdmjLEwG7MP6HteXmSiEJcSMwVnTgS7fLS+FDVEu2/v2fe7bsRs+TEKFBEU/9Sl
sev7UhTfKGRXG1K8Covcj8MYQT+BXsiw0mJcWrzrzvgn/IElKduqnPVFB9mcMF1B8pU+xnX/axTe
VnnVMdfDqvLxwn43e3x2ZDeiDmHzNDqt2hDG7UfHDx84dGDE3g2br1MYsk0f+NDTaPPSujpB4z3l
Rvvbi/t+JkDC68v0n9nGNqrW0dCpyzC0b1dxpsK7hzAsPC7C+IsV/7o9ykK3mJhdvFkRMcARB34d
QVFVR1gBb1gPGFc8Aqhvt8nEITMN/8B9ZfflKRinejr5fvSh4gX5P34J6SK8QIl9Vl65H8bhIaPZ
kefFgVGWRmqNn720Uc1Mh+UxV9q1z8AK5Tn8eHn5MsXiLOv4u207zzX3j4qGK/f0whuImE1FPFSV
roCqv3AGvorXks99Pp85fRP5nARWfmkH6MeP2X6ywy+a9b+0065VTxbCpNk+FN4MBMrVTdmDqeF3
6n3CB34MpdjZkCgGZfWphE6GBwueqOaHgRAJwhRKJ5tAg1JllUg57TEBO2DNKGIhCpnNxiiai5LB
8/kSDwSXmYKzOa+bXafX1JKXJmy8uEKXNTEdrfKiO34mwFP1dXi4pptArtw+Iwu7x+wyjpZbUd+J
y4uSZRoP9LXm/WYI94NDN1IXr7wFMepjwCpithXnnim3DJv53JBua3fkmQXDERo0z3H+bNUrycbS
jIzY0keNPUyB1V6gWZFMBX8E9vXcCEAngNVOaV6nbR28qjUU10IoMxuMMOPJA9dXzlnBO5WG1TcU
a69mM3gKCN6vfKWFhxsxG41AJDcU4MD5PHvNKx/L09iIeIPC87DJ+uMA3uNo5Tu/ZRtwQHv0bfIT
3JyeYOawBshYuDLMXqPv0m60ekddeCm2+VB6G1ZCxJ2HqC9Asb9svqh22ti20kk5s5M1Tq/U6dba
OteP906CZjYeIVimg5D0GlEHMFCfvk4MNXFRX2Lok4cCMDUJCHcQDi+Z5vDFuBar4jse4R/V2mFc
OO1mt9ES1kT9oNGXuYgSmQNo7EGcmSpoKN0+iwtbyWw4KiSADdxi5SX0HHp9WZ5w9780zK7Rbsyb
Q8XnlTOyNNL13/+5fxvJ6sZWUoOJEap9w7om4d01peFOfXKYAMomXtNMX1o2I7OR85xrlWX8opE4
tcT901XTsXHit9uLtnTJm9JZjS8rC+xcefFl32+EtS+B29mIsEPFtsZjObemTRgEXzvrp+e2m0KX
H3ufE7PX2LUF6OOiVBcfuq1zBXfDIXAODS2PAXV+SS/+Oq5RaBb2v9lf9NoCLHWbiEtRjHKT2UO7
6duVZGwBRkBM79cxzGxRBdw5B+RL3nh/YtgXCsXueq9Mo0DiZhMBPJygQzWuvbgWgrRpBhsEjaUq
Ng8QNhD+pm1luYOG+X0FIjBF+DjXXevsc9RlNq4U8FVd2StLe9Goa1vMauUcZRrvvPko4xDPPNJU
mzzT28ltrVS7oNb4OeE7aNS+gmlVQnh7BOOm/Rk2WX3ogH79SrGZP3bizQal54O+3jQ2vyj0RVB4
Ct6oDRR6rrdVxGEqsLZ9Fs672aUclHL7ccYl5Yb3PvmBguO3K6qHzn77VyXj9vIujWJElSooULaN
Q30RrQeyVcy9pFF+lfiW/z0MPVQXFVtJBReeS2bfkkyxgmTDxC48hA6IAKV2p3x2rylywZlA6Rpa
ryR3VthlS9ev2YekbWD7FVq9l8g5ofy078Z+TprmPsMlEFb+foACfcabQ82LOAF/8dIpNLEjx135
AQv71mxQhpK1EGWFOodbiuNA1Kkf2MMUrkn+LqSZZleyn2MojgTteAEgHS7afomiM9xOd5AwZ9uW
R2sO2ksb5Jpb/HPtOLxoQE7qJ2jIds8wFBIz2O5FphPe9D9l8fn2NlxaLONBBFJp6bK8GC8N3CUv
yM6GIymZTEeuvZVAsrRgRhwRXihqnTNyse38Xmp17kZ3y2ifxmufZGGpzA5ZVyL4sYxNZ3A1ILqf
1V22ZWE/fpMVkvKpGLd9mb/cXrCF2ZitpbwaBtK20XgWbmOdyq5wtgA7iTubsXAX7T42iBEc7AlF
eK8fxnMZiOgIn+zoAZqAbFuLqX1GA1R8cJzrJP/ZY7wd8ThsmD5P8F1+rMfSfs7AkNfw6i7nR/Qd
wQP92Iyu+++fkSLNOyJ5rs88s/WlGP2xSazKJndlocO9Xyh/rTy/EO3MJpHrkiFuNObE+H70xmgn
s7J6i2rXv/TUsZ+gUFH8GCjbfmxi5L8Tiy3oD8bVROCc2gIAHFVNsJ/darh6NLhBYsHAcCWvX5qY
ERDKeGwGcCLk2UVNNrEnvQtGew9bCAvcj+jAqvxkjyvA9oUUyuwICZZFzPcq7yyYB+OS0u19iO5z
m3Qf3HlGUKiiUvQ+ZMDPPOjrxLaCy9QFKOFFm/iDZU+z31CzKpZDPdnnFlRteWljxACWAxl86crM
fb39+RdyM7PhYGU8qlQ29OcmvuRa/2qjBs+pKagBYcveRg3KbGg5Gyv7eXu863l5521nakHB/MMj
JfQAzpnUXJyIVdEkhzMswRvOLdTKpl6alREXCvB8XL+S3fmqUZFM42eN1mrR2Z/APnq1oCqWy/Br
W9HqY9HB9IgNnQGnKACeSOW6vEM6KUfwjGp98dxQQQLKQsXu9vr9VQp6bwGvO/6fQNRyT5VOgak5
ok/Y9D137oj6Cj/Ru7m+Am/3Wfdj8v0U0YNN87YvANjlT5WnE1i+Jyx44Vl37MfsEnRvt3/Swu1l
qkNJ5EGwQBy6s6DRzpcuGnhyr6jz5ITjTxRIbo+ycG+5RvSAlYtqys53zpy48/TYVq2SmxpWRGhB
dKV9VY0bVzEDS4MZWUUJdY8hr3NyHrEr223kos4gudXsZzE6YgdtujVhor+//73vaQSSwWo62riz
OFPyKeNPsFe6fsMq39Tk3qWP4bTvQSqzPXdLIdCfZ2QzNxNEA/ddWG6gEroRc7/DKvdoo+XC3dq6
WjlECzH0/6SiYp5XlATNeQbjIJ+yu8Fj3z/0MU2FKECCIqp7RIHa9vwdJBXczZQ38sUNqvE05bP+
dHuchWhj6i2FtRpy6arpXMLWac8ygVMviPs/zs6sR1Jd2cK/yJIBG8MrkHNmzVPXC+pht5kHM5pf
f1e2dKXenCKR9suRTm+pSGwTtiNWfGs/pZw+3X7EwlKZc5akwBxoQ0FhkSdN4btJitqwMPQ/uD+T
O5I0a2edpXe5/vtfH35qMQ0dPreOQyfQh0bRwjiADSvM+wlNrNHKZ7aUYfkjGvjrMQzOYmFvoyUj
k43vEDv2Y+g+cclCW4MEXVdI8whsGFIfvIVbJgWhbM0HbuGA8OdC9tejw9oaJBsi85g1hvA704Zh
joLxRWFJqLwS5zyhpwL5/gLomNuTtzSms6ASUrA9e1uZWOIKxYJ8gLtXCIAQBHkghm1vP2RphcyC
SZ11XQmPGuuoUjd5h3uUDDpYOu4bGC8E6LpaqyouPWcWSRxDoPdCwEO+tNgDS/R9OvZ3Ywf+QkLy
tbovXxDbWHMEg2NSaumEl0dZ1fmLSZJdybq3qLXAr6so9Q2DlOdOMnGoxHQcS+XrppjOUJXk07Zv
bflG2iE9JDDg80UI+F0eqxISkCj2W7f5xUeUbcyi6QAjFQroTeMxVECbRHX2GuprT6TSMrA7WqBJ
2+RH1OUhue9/ipHfa4mOH/g7Ow/IEab3Gc1kkPBpvGNQfx5FDLOxKCKHrGPPsXLvE9Y/4j73PgJP
uhnBsBItt2G1gsdCK02GF6y0dNvaVKK9HSnSVLm1l6nqMdVoacjkteOGRP3B6PItty2sn1ifRmTY
ABrmHQyQwnFvZWooPZKV5NdgxsLDf+mPQ2MdgUM30Wk1WLsqgnGqAaTiNV15n+A2e+/WYXgv82pD
ZdN/u+qTKtbaAa5V1oY37clw1AeoiFATd9k9KfpmO0Ax+CJUOX4fXbYpbXrKi3RX07ASADHHndwa
CT9kTgwzMlDm+9Av4WMxMoKeD8MqrMwzQ17se400DjT0sezObleejAomvdQocIEPwx0njbG1ed3f
URH7bqXBjO2LR8XMh55bD73Dh+0kIWveTWKEALZ14TcSEmyYydD5duJm7wmo80Hckp3B6fiQ9vWj
aZO7ygVBJC+T1wkieDCuSKEhqSR7bMEvFa4gPgzwzjyLeYATdqoDWNo/MPTp+kpz08e3q/ctTwD2
SyPnzLBeNomhz8SCuG6QsFiUYeg7mP2aWFwEdWqPuxB5wD2kZDsxFmJLMwhTCvD+IB6GqbI5FZ1x
EDmwLi9ZlsSpb7LE8MOY4sIyENMGcjuGZBzphpNjNbBxb0JWHx1I7rzWajga53V7Bn30rsRiNCHj
2jguVAw7R1mx9vJmgNFqr/dda58HWbwOrd4ZqdMVm7LPfZu5dvbUyLY7a05hghyi79nmQAQKF3u+
wVrAjVh44kXY+m1NXw0TfnM06TgWWuLmPnfyFFA2x9kJLn3bqbcxk7uaT6juQcEPeBIGtOp+u6mj
g1xAmyeU6A7dZNEASmAo/e0/14DJpn5H/5nY9Ni2TqYeXCka5NwbJe8cYzybI9c7F3n2PLbvHFgZ
T56hx4suSOhJquvplKQoOhRe3/bWUY4QgbOuk2mgHFzUp8Y+86HsQE3Vaf4+GHWLQWCDn3WGq58t
8LQ5LiHma1h23wQrD6ll03OcVvKjqWHV06EHuCZJtZ9w5lYiChLXONjI/vju2G/RKG7eIwdpbGoO
QCpLE0yB1jsnlvWhpqgVwWUIy4JqBkKhHB/TMCJboGyObWrBgnz4IWTv3BmJeWX+K3zZeqqmjynO
oJSM45jvEiMzoainodfX0TGnlv3byhsNorNkxX0Bx13bt7mIp23dx9aZw4NUQvOEO2+fRRcOg1Un
6DsLLLupF6AFZtCqFxoHe518RpFAG47VZT6HRdc/Rligot2n9Vsc03RvNIXaRDaNz9DAvWWxHaUg
5/b5PSOCb00UKHjO8W24PW6jk+27JRu9lhiwcaothJmQ7VMlvgPHYLy5hFdHt0Vt++pPWAdEC3wF
dgxrmCLt6T1PFfznB008WlZXWaJQhGwcIHpfo6yCjWODXczBbomfIBXmIhrlRse0ODc6uw9LN7w4
Yri/0qmqwqwBKgLwrDclmNnxkJ8rhANjasxvhl3tC+jnscDIvYQ/3zYU0UuERJLvjJXll4Aoth6v
ReiZNcHnHNbTrwp+M9u0sdLnfsJhwUEX34dB3OE5ocz+UEVH4BeCfKc/dK3rfmZu2f0krHHQI2AV
9Uuoun+cvCMn5D6hiNOYSslB85GETGjxpVZQt2J6Sot62rZ5hNY4UuRILjmq/9kzlW5ZbxuBQ/IT
dIrtJtQs+zR0q4F863GCpxWAkZOqg8hVxb4a1UMLYeo98DK2Z7EWx3mqkOHxWGm7vpO6n0PTyT2F
Q897hvJPeewJ67Xfdm57TobeFWCotd9UQ4qzlbLp2OdwhD6mjQPcurLb7yglFMDPt9NDHjL+4lpj
66kWxk4hr/Og7HnuFc0o7/Iu6rBNO9pvqkrt3b5ydlNaynMPlkLPDXWsxRRtjKhmD6mgOUCLvXkg
Lj00EQjOFm864etcPtiDcAtvYt0wBGZiRVtbjL9BhLLFidAsrj8Fig5+Oiq545Xw69xVL32UGe8U
UwrRX/6bVSz3S1bx6lULNnWBg2S3FTiJKT6y3qXCqyl17up82lfE0HvYiJa70Y6HXZ1MkxUQln7H
ZcnOUUcBvdDKrN+R2TpPpVKV32bxL4s2wFTlkVF+dLqgyNW78qNXbb6pI8sOgLCwjL0uI1BCcKbJ
QGHtWlTbYkaBUDP6e9JBvdyFOUOcbB3rMKbmC8ocxkG6bv9bjyJ6FXWl70mSs11bcMhV4dtqbFyT
Y7ryNsq2BXPuk7afHhidIh817CMC2lX3lRkO21ZNJpJjUTdN4sPfFkZ20KApbFklWAsge6Lan1dA
FspohJvjlCfdIxqz7Jcy6ZuzI/riVbgT3Bi4Jd9SpDxwQOjQcrOF7EnvzTgfy2NqlKlHDQtmwzBo
5H7SRQViUJKV3lCR8UhAnUV9OyJBHgJbGtZka9naCoaSwXM8hkMYAVw9HbJX1oTDFj7Kj2DbIysU
ZQoSaeykONfp8dnq8IQU/AaPxvVriIOYX2Z18aBlgpnLBVmpBy0kHOacLpLj2tE0KPh09Jout0an
3nUy/pXXQgXCACze4z2G4PbxfeEaPAfk9NxuwS63hmOIYuJz0lud3qRpyvOVa/ZSRXZOx8xqiynt
6PFYufkljeExno44QtV1HgbggNY+6s45DBXCzmPokHpOQ/uf26/2J+v2v8kHe56NQ0N7HTtJPMG2
yTng/gr/F9LjZMfFj77K6wsO1WJbduHBdlX2OaZwunWqoKCpb4sBm04iHis6BibmAnsoxLwO515i
fCsZ3XMc3X2uxAsxXO6lCYv9vnfKXZ7BTqeHMfzK/Hx9h7PniHdXT20UuyXegenPvFdIzrPfjcMf
bo/R0p+//vtfl9KC2c4gjWK6lDT9js7izoq+16M43P7rXy9l+0/P1F9/PaNTVnEzmi6xFbpHzVvu
OUNV+bBKDo8ZNveucFcyhwtiPnuepytgblY1DfpgRhVtivZjQNdcnCReHMV32aB3Ye5uMVfSQ7g5
S2wW7lpJY/HRs3s2hURexqaYLlGNFroJgLeNQV5Q9T4VU3c3tPVvgi6dLXpCvGKIPMuwnihOKity
24UvzJ5D3dvSHZQzNdMFwiF8XeGps0IdVNLqnqxw69J0K0cXPYE0IxfuOGsM6T/1u68+r9mNfCCG
qAT6py5DKrMAO8s34IyUhxu0AU/34jkGLdYDlxkALFVs8jTyihLu6TH2zsBm3Wus3W1o6F2ioXsu
IcWC2O3YU3GeaPISssnwBgXHOgKm+KOMybPVDCdXFzkuMRVEDp39BoMpQO6chj46igBbojNAC+HI
NME8ozikZlNskopaeRAZhQc3QvxPM60N+3V2v3j9eWBLW9iX1jV4irAT3Ufu9JqO3EcF0BvYiZfD
E3eN46SbZ9Ol364OH6tcmIUSPur1//5oSUFDHWUAijGV3+OgXd1PVvw+od9yq1nzGccRBUK1eRR5
uZ2ggqrtxyqkOIM1KzXjP0vrq3e/7iZ/fdgld1iO4K0vmKCLdOQxzummYL03tSD/Wfx+yI9xs6FR
iUsVCi29eIV5+XeSyY1CQek6SsjxErjE0J9N/485rOmYvi6N2HRW75NpgjRuPY4X2PR4OcN9MKzL
UwVW6bYncjfF5M3g5pPFh9fbIW6x3ej6S/4aCmmMbQlID73YcIATMaI/C8NjjKaEOOt9ikaViDI0
QuQ2zsjOez6NZ5lUPvxVrvY4t3/EQpydJ5ylqaKmR3oK1kW/qKo3oqvfU6B2Urt61P24uf2U6/L6
YtLn6WYSERfUFERYYqTnFtKwFspv1F3MlbdYiqPzZLNGNkG5KAVfYlE6R/QG9148wTvB7r5PEduy
3KjQbcy7cwMsxXbkTSDGJ9ifvN9+v6W+1D///tdUclb1Nne0eanHrMbdMtngehFcEb9ov3JiSLM1
zmM19nxkOaw4+ZEQHvSt+oyjOkW2izyt/JBr7vSrkZ59XpWlbAIZlQn2bbXTA73jWlxigwWqtk8l
JUdSSswuoxggLDQH/KvbT174fOY56gmabA19iXmhWh5H9AyhbR+3G5E/t/nvIQVBS3534Riwcjj8
Iw774kXpNbb+NeJoLbPMImrHC4h0PuNIfbqyeEyG9GdSRFMAN+gfypR7UdU/hmpkh3Yy7zvR+0o6
wo+zJvfsmj9PzAYGxXxPZbWTnG1Mlo17QxfWhprwg5Vj3njCCl/KkvyocOKECJxJ7Q9QBKXoCQfu
qDabg5Ud8mLv5l2+U+4UaCCTv8WsAXCaAmTq6BKuoonfXNmRLqx+Kcj8ju0EvLWC0p4CgVSFWHOB
WPig6SypHjZ1T4kbwnZhFHcaqLPcApc7Zfs+ro7mGmL564qEPSd/U9uOgY63zHNiyCutfhQ7E9bf
3LF2Q+KCYLnyYX+duudz8HeL+2/DK22eAa/aDI0Gtdv2SlhhrTJrFj5dPqdyNywG68eNrLNdXmVf
ERI3O4D/dk3EHxLhbKdGPyp7fLra+BiEgxwJYy3SJh9lkV9sSVaO019/P3xO5a7NuMD5n5hncHpg
DrihSe+DaHwlnFXjAZ7nSBf8p4sBnxO4ywQiWrQGm2ekbqAMo4+uOXmoL+1uR4KvVyCf47cNjezw
2GsDeS79hlvvqWBsAwD7qcLckYytqGYWJ24W6hrI+7M0lvb/r0G4PwW1vpTxbqi30XhPoosNu8P8
PiWv4MWFFWoUa/0OX29o3J0dFsYotkubR/YZlTmYFxrDTtXJL9jLrWyYCydzPkdQA4iCGlwS2+ey
V37Ee5AJo7umSPxkvEdTRdgggd8/KrlyB1qas1nUqIzIGKcpsc+kece3PDXpOe0AxGfRtQK48jEv
vtTs2D+GBuAWBkaNt+4nFny3uS5vbupzlmUXSk0YIlrDlqN0NCpYDd1ejwuVW9TT/r1V5O5kIqdX
YbLa3QiwD1YIJW8YQuVcSP9ZW33QgvGt04+VB173oP/dm3Ax+vcDgTuJtMJncBY1UIEwg3EQNK7J
thE9fp+xGJ/NOjuPasiQ6zqgt547/430x/+HPa2RXCKtFOcxLnZFYvV+4kRrE7gQjefI6TRKysaQ
kp/rnj1DFveMbFNgu/GmB6b49thdP96vhu76wf21rbuutHNcf/k57u1/egeXbmaplcC0uBBmEaMo
3do2TJejPoM/nEM+2ksUhKddhu7HSuDIL1OQlax2PNjwOPa45axk5pZGbh4vXKOMUnRInePc9SGa
OTsm2fLaek7ilS94Yf+YN2+TboJnIWH8PNIomBTwJ2W0d93phGQ19TMj+W5QuOWsqSMXAsa8V3uo
CheUDG2fjWr4OcITE0aG70U2wk4jD3S4slMtwFv5vF97ylKj1n3Pz3kbbzMTBzTIz90I5aHtlH3k
FPSrRzXUTz2/DCBzxuGxat5V1KOexzPPFahU4FS6cuZcCPrz1m5LOJY9uBmGGIVA5U3Kc8r/tuzn
ndy2hBIiyfCncbIawNQpqVesGv8sLI15Ezcs81SJmgE/I2/NADK0Gq8x0HniDUaImIhOuapTZcBj
2IxETXUwbVE9mUScaGgCTRC2Lqi/qk+SoC3GdjPUpfYrNzF9aYgclBbI625//EsbxLwPk2fjFHWV
OZ2bHF0GEZQSI6qgA9XfUZh8QcZgZ7MQGMP+btXYfmEhz7sxiVWZhNkRPeuwfCyq9NzZ8jnELa0t
9aEou5UNfWEO7FnoqbMyGdE7M54VbvCT6Y+PU1rfaYM8tM3kEz4hgbom3lkcxlm0ScyuVjVsK84m
+gPDzDyOyGfg+olERvucSOMCvz2UOHIkVaGVqta4OgtD+YeF9lfsNvuw6kQ6OUDziU2Y5bsKPrly
+DH0+QZe3TFKpTmlHuTHfh3K0wQ6WjK034RwNz3rflN3vDTKerq9lpZ+zGwjgWt8SyJYKJ6NqEBG
U9+lhthK0/rM2vTBWmMILGxX8xZ+OG2btQ2jgHNfOCxI4zG7oz2Ue7ffYSFPyuet+12eocIruXOm
SIrmYQ7eVmHHOw3DGT+dYL8HVcCuMPMt7q9TUI4MyQVzOKRNAycSKHEsOEkSEXlwYTGPAzW+FWUd
oEPwySrH4k4L4NdqDqKrVEBnsQFW8aTqz9gEIUG3Wn5MEyd7qOVQH5KJ/qpU+5CjO+KRMDK8hQAm
orjYjk9umKG7vBBPcMNJAhsFtZV48EfR/cVp4H8afvPRRnURLqctTr7o+xz7YmMOF1y9oSQAhzHd
uNHFsJ6d4sGyfhDgX8gYAZ9wrFDyR2uXmlz/2uJl1vQITmKOCwjuVIm1l3kdDKiYo2M9gDdrg8r+
ypRdz7Jf/eTZSVoQFNfZgJ/syh+8eDXa0jNKsq+Mb/BZ17jUjWkB76cnUGuMcBuP98NwIJZ+Kujb
6L4LBXaOuC/kSyRTwIUYdH5bF02cU/Xe550/utEGL6Kd0U9qupK6+VPo+Oo3z87lXTSqVAMreE6T
zMfg5smdg7Np5Dw59b4c3vHLRWR47ZRt6y70KGojDmk8Q6U+c+wtHLTieryLC2h3gMrA/3U12WTl
uPL7luLZnCERmqDmKNMS56RN8ffDcE8I37Qo5YO6cGjkHwlI8pTlP1eFzksf9mwaHfAF7aJyrDPK
AVAPFXABbBN75SCxcBqc0yPi2CxbpburcisJgBp4zavynGoDQp7D7WW4tN1c//2vUEx5XFWVAakX
Nm8Yb7bRG+MQY5XTGNjIb6Sh/N1homuC9OTtJy6kYPkcA6GUQhObU0/nPtfyNenFIVd2eIiT6Z9s
qIEdG2NoOHquQTYK023HoKlBndqrEmi0bv+GhXGdg+lNuEprgVbrs45ZuJNwpKxyO9sZLRgdPWRm
a6+6sDjmPfCVHAeDTAbMl7NnJQofMhIPNip+WoY7ZGl4tkvSbVEYu/B6m0UOAgId7T7efsmFCgpI
LP+eWyc1pgIiD/dc1i2EdigiGb6Rfsd99pruUPledb+w3Uqmfc2fWueSRWlQaSAT0fc9bhFsfB4D
AzKi0Lk2IgsjP4d386ktjZS24dmR9ANNttFh7NFdJPjumjVFbuE3zpqxX8uGbVHJD2w5HBmlD/qP
urNmxSVjAMC20l1DCi5dHfj1p/71CTSVgOwHrqDnqXzBcPTl3XXP6O1sc2X4D1W6wTVl4LBWjyDh
6suXKaRbeEXggCzvEkRejJXhPt2etKWr57w/X6I1ReuQuGeSj6dYVEEfPmYgGDP2nhoNZCUXQ04B
z4UnEFlvP/QPK/KLuD5vzSdGLa2wYPC07j+7SQZGUUCJEAfFkHhN9C7MHhmedwiO/Ss0LbV/lh1k
j8DsIeAr/nEF9mMta5iq9p+I6kb6cd2DMCjIQMHbBq+AGxiW+tQ7uyuO+bpPFJNn6RHw1/v1F1mI
ZvO+/yyHDFFUNDz3Zg9N5wMc3Qd8bjQuHiC83XTYvVedyP/II74aNPPf66bnkMEVvAnPIwPYsH5S
+iPsoX7Hp0x6Akk18a8Hj6nPNiM8FPJM+BgkfPY5dB9KX2j0idnsJTSeZn9snEvXRUFrXy0VkbRO
8p8rk3s9zH/1O2c7FAiSTEVQR5xx1kn60ZPsjicUgrdfV0xs1VSeIe6SYbiv3XGjE0BEwVtqYJtR
oZCqNleENM4c188C3vWY7ashBGKIFOJgo8SBKdb6iWKLz+C4jgXAoJevO3HGZ3H7DZai6OzUUaDF
lndhg4ve6A1TEf9SWUhXRmfhqj5HCojIjbBUXQXUXvmem/GjCtHotUqKXPjpc5KABePH3ERd59TF
qOs1kh/q1FzLay9M7Jx2HrXXBH3Ny5MMjdZPifLM9GJehbmMIhdrxfeRLTZsPERldIBHgthw8pNn
a3Y8X5d2gKn+9/qXGmI1Vqn8BAft1wmFZmZ1UP+RA9TdxiZ2tIBEY2UJLIXFOVIgk+hTJrlBj9im
wcbbGLI+ifyuhIeVHW65Ye0BXkPnQbFfda9ZOk3OMQKZK1MtKTT8FiNbHK8NcuhZXW9MCP5pf6yb
9kdbD+6mS9BNdHupL1xG52iBJm3sBManxtGtDEgz63NSGrsiLU9lUfhGR1cC/tIZbM40L/TU9yXC
+inNYrFjpfArI9+POKPXU7LrShu0y+RblHymVpsC3ReTU52Ktd7ixdmchSRbWXZlGQBsQBfoTXbk
jTnfxUPn1YAnWFl7rq+p472syLp/4NJynUURHce2FDhLnnjKU3/IInpqhjg51Q2gxhWM6h9G1qHV
c5iSFfnO9UP4IvDOoQQizfJuwECfUFjVw/dENvska9/ssP5+e7UsvNKcRJAXUZiVUvUnl8a/60qd
GJpKRhHfoxx9susO7oArsWbpSdf1+tcZaZIisYwyTk86e2N1kCM1MpnsHe0qF0d3bzpe647601/+
1aDNokpc2gO60wg9uo7zRNyTG7eHNIF1HVjuYkiRqmAb2GNfhBNuiuxHlSc7HaF7p2kfhrL63aD7
zecy6wLWUhW44WOM62U1QW7N4P8unwBExeEt80lcRohYNoFgc4TyPjO3Vts8lMUaJmJhZ5lDs0PD
GrNCXz/lXKAXvBqukKX31ZP0ws4yhxxYuBFVoXDpMer0s8vIq+jSlcleWrfX/eavybZaWpSTCOkR
5wavp+0RIqqrC2LiFithbkE2y+ds69RtoLYJMThTHvrcxr6OtCN7ihPrbP1oKYjAAUTym4numCm9
9CMBlb6tLM91wBQ3isBGBdCGTM/kP4tNLyCweBWS+Q7fh3ke8LXT+EI4nkMQSFcpM0M/1okI+0fC
1S40yhcriaTPqUqCga4lsJa+r1lwyrKh6FoHIuBI3zEhofpGTwwIeTIcN7Ey96vLZmFu50iEog/L
BtG/PvV2t21qd9+Mj1Snp84x/1vUm/MQEmwgDsyY+pMzGBv4Tx97JBZqiGFZ/d9UYmj7+fcCHTgy
CIULOC/n5FG74ju8ByH2WCmQLe37cz10ao5jW+gGLNtGBejg9mPzGVDozC8m9VFNbIMd+iHC261i
JRfW2Zx+kAD/x+3BoUfKId+YQrR3hRs0NOwp5XdagUB9e8NYUBLyuVo6HtBtyBWjx5ajteGjUGAL
DYBjb/v43YEXKHznPbPBWO5L491GzJr+m0USn2unkfp1cwdN40eYhmzDKH9hqXGhZvORriGblwZx
dh8rFetxnMC7URDySfMNPq0fZkzeReYeVvVMC1F9LoQeZdq4vMGBLEmqT2VVP504+nnla9+eoIU4
8IdZ8VfoBSzL7DMDEFzcuHi47SLtDd3ZtH6qLN72a3yzpRU+BxOoMCyTOsRkQNZ9nxYEBEzpd/am
aLZ62MphO9TvBm6Ct19qKRE1144isnVFYWJ5o8dAGEFag3mtg6g+wHESVA1L+lBKaSfeNVbrj1V5
h3q+56ZvFf+mRuEz+cPidBOOmS8ccSrXsFQL2YK52DSJTTskMjeOSj4Jcd/23Y5aWdCVwx1Px090
Bp7NNFkjnCwsz7nyNG57ODpIqJysvDhckbEFGmE/imK8d8an2wO9OK/XVfvX8kkFMbPQMaNTZkR+
kwLjX5dB2BT3IxUsoJZzAKfod+1C1GmpcSXPuLClzHkHRamMdNCTczQG9VZN/L0xpiAfKHTRdIWp
sPSI2YnEQZuUmqzQPhJRsq1gVoQqDbGDYQL2D7bj/w00wP9cl/4av1YOsLkTOJbkxdvQqoML2qEl
9Ts+itsztPQis4tPCAulpG6wCOz8l6uBFOxz9EXKDRpObz9gaZXNDhIChcyuqJryZCISPsow/xaW
0KXDrOIBnbGfw5quc+H4OWcYhHQEbXIS8Sl32x8hUa+TwVYkMAshdt6cVvWwCSXoDz5hNT8IQlHI
KcL32l65NC39+evI/TXHeRKXDPXn+AQD7BLwXX2orjdQuHOuTMHS0Fzn/q8HyDYnwCi05Gjp+N2U
5Yll3f727C5sD3T2fZdwFUTn4UCOlXY+U/TJI+/Y/OwyWMxGaJwvRrqnSN7fftjCUqLX9/vrPeB/
wVJZJuYR94yDTARcwjXazpw9VCLuvdm2K89Z+Cbm/RQNgf9X5PQRiLfNnaQDCsP1I2TD90lTrWW4
l+ZkdjbowpEzwSp5KsxoDLqqgGxGTivRaamCMJdSO27blWYLhGKLpva2GbJ3jmbtNgXD3vmhh4Mh
1ejnMCiLeiSSgAqzbF4FjaXLB7TWWH4lCW6HYQY+PJqZK6Cqb8/gQhcPXIr+PYWQ7prVBFnUKent
56HW35gIn9O437Kri+jIHocoB/46jTadOTzndNhFceuvXja+/tTYXJRdptwAA5qkp3pUz7Hj3E1c
BqxfswH5eoGyuSAbyXZU5Q2VnULCP1lX6l2LTkN/zIDDcKINDT9uD+PSa8wiBm0c0KrQsXDM4wH9
dWVr9AFXiUCXLppZV+bq668AfIp/T1VGwjzLxwJApxoIFYr+cm0XjQcBjp+vFXuXXmQWPhyUqZkD
q7jTNOjPLMkvsW4PNPpxe5i+Pk4xdxYvUmKikzW3+pMcZdBn9cmMqi0TtX91S+xCe+Oi92E9O7s0
+9a/ByzKlVEw2ahTZKpfXZI5aJ7FRxjogb25FX3TJCHfwWdON0w61b6Fq7KflfAkG3SS+62s8m0h
2nMlRuqDPoj7qY5B8r49Fks/bhZvrDAhNVCq9JiI1Kuy7kIhfDWT0UPj5kM9DCt72dKimR0nTI2a
nUKn/THKi01LXyP3WwEHp9jKVjachUwtc2cRZGLCHroUm0BqypcsEs85fJZhDQBoA8stdHTobWgW
P81E/yPQ+i4iJ7g9gguvNtdiuyhYTZqASBvaMmgmNOXz6JEUEHvTNZnm17spm6uvNUAynA04jDnd
5A3JBYdyncBjkUJL82NY8+21FtbCXGkNJFIyjkNWnLK4ywO7B6W7ydS7VTK9lRnYCizUtUdl/EPW
JQAaGUOJA5abe2kCBAAay1mZxX3cVlkAzMPVgUrb3wcyoP9Y6O8dnNZ8Ytn11oSrSRgkvQLBKXaU
n/aR/X1ULSokhooKVB6L1geGBQU/WK28DlesDLHM6rWhQxOYlCNdWponS8OUdmr42u1vISzMzaxy
cxRFlVXZ6drBtjFiZw9eEcpteocN2fZZjsp66hC08ZLBXVk8C4Furj+3oo60LkLdEWVDdFldv0Ei
lBflT7cX55+C8v9mqZkzi6TJxHQLqXZ5ioGwbXyTZxdpyR8AAPwESLIT+wTmTuBnEOGA194LlMJU
/daDFbvhMXxPZCQu+aghSwNy4UOFqHcYgEAYRnFPHf6m0iIFCE/WF6Ubn+Zp9lQV/Ik4mJqsl6+8
BXPazBwj8cAH4C9DRC5WZtATtON5kIK6EcmeBmli2TtpoL3Ajctn4MOSOxnZD5RczdkVvBqVpXSA
/mgsDKPP1KawmPFmyQ69S3BQRsMFVxdluskmj5vxIDLkPaKoP4Ji8PP2QC58gnMtUKN0ZMKU3jnS
DDadxqTuQ2J9AnXQ+1lcbKNBU8+I6MPtpy0sxbnsp3DcUQAKDbmi1e+rEjX6Ikc5NK/Rzc1N+FcC
+WY6dr034r5YuQ0sLcXZrgi/rf/j7EyW48bBZf1EiCABEgS3ZM2aJVuyvEGoPYAACYDgTD79TfXq
HN2WHXF23R0ty1XFAv4hM780l1Wur7jJbuGPK/mQ/fzrgPqTRV7yUc3fTYxkGsL9C9Jy/Hhd1W+W
vSBRjKVnWV1vIipWk+2S5OavjqZP3sSPgv5RhHlhE0ZUkAlgAzsNT0B9lJV8wbik0j+SOjv++dP6
ZGyUfNT0o46Lulhl7koDFfnOQG67L7ncjlmD6JuQvcUNYinnSy0nYIlpoTkCH1r2FRFG5RpkhWxX
/aaghB0BQkllfmBQX9VIKfzzX++TD/ajyN+ZRWoxATaEeWksv8V9sfSvf/6j/x33/cfx8lHlP/dR
XwdwOa6M7L5I+FxK4I35aaj7bxFYTUh4uGwLHYsBRRAUHNCF+wGaCynuFKW/DS5mn5A7Y3BVL6Te
RQAUF1KRnVn5XzTcnzCJk49eASJbrpzCkqjLLzz8XGW/J/wOAhc8Fv498Wf+4t31JKD7h+tTXWFJ
V7TxpYa5zqYwCEj86/JMe2Csl/US4uYZ5tsLHavzn9/D9+/Xf72FH+rpqqIzizpNL/koX82Uv4p6
efnzH/3JN+AjDg45G5GMl9GhqzIooaPmzDqxH+pmPtIYiynYql9M5h99/jfb+mcv5sMhQiIC3Ibk
6SWZ5bdA/FOMCc+fX8wnddZH5fiKPLo446u4zDK+Y8t0b5Lse97XXRHq+P+0UEw+ynK3oRXbgqHO
BectmJSbq3ep717XVMYn29G/UVI+eykfqmHHwGYneCyvIHhvChJJU3gqRVGP2/1fsUaf/ZIPBbGt
1iQYeBcuXbJMgDqlKII1vzNbtpVd839jzicf0W2rh6x6rGJxGTaE+FlsB0+Rzf/mif9kLpB8tM8w
hzQZXPBA2DTHvJ0gkEeAyhz6MonO0ZD1RdfOxbtnr5Y58iWQnox//qs78LNL/0PxJIa4CQKEgwtN
uvMYi6P0bN430i47j8yFcPB/a3g/+ab+f2aaNib1UkX8YqA8LBKLOO840PVLFsxvJFOilTdpiTwN
YKRr/f3PX6h/F/z/cfJ8RJyxbQssqprs8p5Zmz5vyJQ9JHGWPc1NHhXYYtw5AlxwM3iLPEp1Hlx1
XqlFJGWQ9X3iACwp+3h9Es0MzKOKT53p4pNZANE2HfJVWlr3DzyYeRdtXVIgo0KuRZICqy6bBixR
08+PGZURjA0iQ26lRLylzesjMmvyciRen/MKNMd60dMzDMu7P7/sT7qcj2JjKJfGycNMd5lzke9G
XbHThMigckE292UZ2u8OJf9fqsZPHN1QpP/v3n8c11jpMU6QKAYopjb2OYuGBQD7id+CU60KqteH
mPHHBOfwvkf88mFuxXrpK5YVCZWPaxZkEVz0t2/UJ6fCR92WCpBJ2axeLyIOd9uWY3NPkqt8utF/
W91+8v5+VGyNOVyoZlPrJUcBQCCHLpL4/VuTyW/uPZdiJf/8+YP8pK75aKWJCdYr71XrZYxdd0aB
vN9EWErF/6r++Ow3fDinB5rqRS9jeom3eTmIHtvmzGVknzVV/5eR7Ge/4sMpDWN4nEyhTi8ps+0t
sOzspm7fo5pc1z38+X36JFgk+Sjuj+KtHszs+GVTfosPLKw03vlEIJW57RwGJA0QZx62uWJlqX9S
aHST3bCkFDHPsR+3kvZdxwuLVFN4o7GApV2anDmanxedLupLXcMKAAQXqKshFwPg3P5xjsanyDt+
3WwVzHGwaxaZBiygG/sIUXczvdcGqfYcoe0nMyCNyDT9/KVBtssZwV0owSLl+FW22K+bSdTeV74+
2kmtHQivbIqPyL5aj4ER97VhniAEJyUnXSleiCwkJ/jOcKU2un9R1MR/GXx+srRE/uT//jL7CHYA
B+/9RTObP7aLeQ7VHEqHVS+SlhZVAqs0wZuxQB8YwVrWFDyh7d9++ydPyke9PesmcKN5zS+cagF8
2lTtOjLhbaXNd7rBcYLzW+/TDZdF5fMydVSemrzvTtC25viAc2wWbnq9mr9N3N5HhP9xfXzU4vNe
hRng1vgim7CPNLKek8bsPVKRdsHrDRHXPdbg8InEsyqIz8nesy68Sf2X5/oTbVby78zjf+x9qrU3
weUtlq0EeU9nFerHxUPeW3VIwx02nhSeyCdnoxfdK35jJz3vpJvuu4jeABmIXGIMc3q9nRH0wn/g
xH1RI36optWvZLUpmOTTTWjECZsBXsq5u3RjcjUjjf8CP/Zf2pPPTssPR0zV58vci3G+8BkIzlgd
EV98m0QIjO1MejBK/+3Tev8D/+vTev8U/8eb5RAniZhWuV04bO2UTOhM7fjQzx4r/vZZPkcMkPvW
uvGYIPU4Tf3hz6fPJy8w/fACkSwLyMNg0TG1zyosrpxrgTgweIkKm9NxP0+9+suvYvzfjcp/vcoP
x+kGk0CjqYaAA2RN6OwqrE11V/qIEWSw5xXMPI/bPPH+p0bXigw8s5llQyK6mUlkCy1oKuGDr3E4
tgVces7wewUK8NSUXR/jO1cOyDlCI73hOY/rEluPJnmGsXq1CfxHUGH/VmPI1YKiFMPaW8PrVP2A
lbXGcHhRU2Bog5Hs6m6pnps9cpvpUa1JSvZ95KNbtDWjPlkwUcW+Ynn8bZChO2J0Dn3HCgW5ciu6
NkzYIowjq3Q3A/9+gYQCp0w+gCR5CkSk141h40OsIwklxaaxSBhlXR10Hv9GcuD2U06QeTbALyJw
Nx9eZLbIW68a/mrzZbwLlYsOVca3w7xJa36v/Qr4crPwRt6BRzt8s0JE5Fj5tIEhZuw7HRc9bjB7
yRJtSFEzFBa5BlWqt5Ep7EbyUq31JHbdmNp9NrBwrWNd/dQ+tHDoNE9tvSXXOV4DiluYb0sgIeSO
k9qUtRktwBNI3i1oF7JDi4/zPtIRn25zJO4DVZG69K5JlbwjMtOnZrQxKUYdU2jTGtkD/rHQ9gl4
SO4xUwWC3HTYImaK0x2z9CuSKqMfMqG/+QoKRmt0hzpTKI8gsSbSJdkwkkC4brqzLdqKLhnGA2LA
+novNJH6BJY6/DFT3z4j2ZfiTG6qRV91FR7r01xtNLrLodiVx2qaw3wynVzY1+DbkO2Jd/j5cU2X
pYSNDzPUKeMWMdk8PuMD8PhbOgNH+7mdlYChcI7BHik04jDMs1RipldZX0OWsY+R6GeGkjhkl1zH
Aj+Kkbqfyq1T0b22KsIqiTt6kMoDaTiNczKSHRa/HtU8FPXVnVvG7qDxvF83azcfRtb2CFVAliX4
gBqD1Z4indw1FiiErBZNdEj7kEUHh20wB5F1AVp619oNXXOBUa9vEYZORnGTBhmqZxcCj+68iLeB
FxJ3ZFS6ytXIh5vG0JAjJo2I3y+1m4Hv4okbmwNdeyQ3UgKf1xui5PV2T6SD4EqDLNp+A9+lnkFB
8vCEh4JicD7B3DZN7prSqGHXy9q2+ofeVKyvY93jf7V4T9IHZBXAl7niw0gPlU4dP7Ae6Xqn2clO
lIiQhPCraKPGp+XUr7m4kch0V0iiVwzh5FvK3J3w+IHdZj1BFBg20oN8ADwlYwe4Dfh8qEKb6F+A
LfawElfJNKm7luFBPIpxmvjF+9YgiwvYCCzWWwXPws2AdKLpvhaj2puOyBllvgpTVvT5PPOXhjHW
voY1rdsHLLBSvddI0h7vkjFu2WkDiHP5bWhFpgdY23W4xj6eqDNC6fHIxpUBJ3rgVTv8Ynln2I2I
TD28AmqxQBTBUk2+Kpu0w4wI0AzYuaU1DJrkbG7lM37KjfctCAJI5J4ZEe5WZ1E/Hs2w8nGf2B65
FU2WLCMUcniur7LRkmwfKF/bF45pU4r+ranwHI82yo9tPebhZmNqQHaLMTZ8izZB7c2atL2KQbUO
0QhYAx8YP2dmGNzPTiLO35XgZdD33P3Un5oF/turFlrv+MSrHMUs7BdLs52X3E6Yoda4rfRuiJbk
/XQdEQTy4jbuh0M7hpZdU5xGa7r32ktzgVWzkS8TJg31V8tdzmnh3CwTdGLNFuQt6B3cnhe8JvPQ
wbjk9zIHTetsnEybVyfXPrtUiG856K7CDLGZ8f/v3LZ5ueeQ3oYHSX0foQGOa4puIZ7WGTJvN0XN
KcqNXtxhy0XvrtcGH8wt4YkeBmT0jJYfcRHBuBLnGkYCsBJm9ytDwA4/Ud/SqNBgSKui73jX7dq+
buKfWzeR8WjjfFhM0XXZtBa8SslOwftPLJYxPoxvnmJtfO8aQLTgwwdvWBEU9VFQlz7mGKD1TW6i
rdhijwsqT62W/yhkrpPHLMTg97nAq+WYwBIormOsa8QP42kcfx1qStzBIFJBfmNxh3RGmyVhQBuL
h/T3hPoiO1dY3IcICy0aJ/8kER3A69wSAjeLmxZXpNhuh1/ZNE2Ql7EJkS6wb2pQR7yGI+GmHiK+
XM+BoRsosEoS9ds4jDIHjaLpq1dYYOIJvohs7uVXsWoJVoWcKT/QbF3UtWbeEnDU1zitdpYm7KoZ
yEyOdTeG9GrGzFq/QapHsWyI5yk2/U5qms8OKXwYFf9AZgs6bvwiW8NojC9HvwKLBJHIDF4N7aJs
D+dYWl9rCucyUo6V4tPPDRKn+s241AxvA8JVsyJFgOT6VXjoVr4wP831r7HRENNANU34mB64Zhjy
7IehjRExUuGUfaCGRH11QqpIJeYSYp0hnMYqLEyd2hwhLr8sFPi4HnTKErlfN492uxANb9Ol4JvV
Kd9llY5SVCO0JdM1FUHLwuUyyXDbStljwM67oUthfMtXOOd3FXOpT47ZCPLga6+jeUmP8xY0aHJr
gsH0d8BGAnIo+DiFcW9XGSVjIVanJg5nQ0xghBpiDcpKI3xfwyDOuYp3GjUbcRfIpUb2QCcgW+eS
LTkPbwY1ZtsWrAYGCGqwgSF7J9FxY7eiEfChXtJlgtBtJ6bBZQjRh0wQllxH6rYuiGVA2wAJs9an
jLh4+p1GLc+O4O2Q9lihfUYG5cY7KMUza1AwLRqhhxo59plUTbHaibs9N9O2Hhs+1/SVyMr1+2UU
yW8MRl38K7MTqxFOG9d4AxNaNgMsuZQsaVTwOjbJEZFGSlzlikbLqSepAI8m3WJAftrKQaE3z7Y+
SDRm0VfHarXteU7kO4iHIlL9eu3JFP8QlkanJIkTcxQp7u+9crpPAfCYtlrdILA4pjd+WZe+KSV4
GdjEh1neg0nsxFNspym89Qtbz+Q9SVrNIy+bdny3L2g1ANHS2u47lJVQC+Mlg7527up8DnlROQRf
7wUTJh8K7Ntyd55RWeLU0EaPRb7AYCHSOHehQFU1J+641gOlj/HGFwVMQBaF5WK51+aBxH0aXyUp
pSjX8NWNV19mzOXVP4qw0J2Ezi4AHvgzAA2RxQmb+9e5zckIDxsYYjuTrVSc07jHJtPlvYM/nGCQ
o/+pVwkfyTZVpLqgsga3fOhwc4GUVFv6KNstqs/TIPAActAZMDHHWHSwR0TrBfxNBEgZ4wmf31I/
bIDoXJLe6p+L07gMjdxOyqfz7yzrK5AE5slN7T3j0o3XWVut5o5BhwOu1LJ0+dPK1nY9Ae1oNYxF
TZWyq6xh63pAzkPvf+UAX6UHbLoi8ZqM2Tg/pRh7iSepbCd/GPxdUe/UGcga3+WQEaB1FrtV/G6z
ufEeg4lmiPDKIu6KCgHgV5r1CRzmvOun5V1lESGsyUew15wF5MQHs/ggLCS4sHHQesp6nBVLbe4k
HxVBRYkoyMBJW+rcQkSxnwS2719SiBOnGI5y25Gn0Qfdzvs4RwHUnoA5wjQ9E7iqh0yKvCq73BGG
4mxLs5/SzYKBRDC1yNrl05zq8zvVyBd0nhZQKRLzlBkLxyNeoduA2jM+0QKRVmNkbxLRubYCAkDY
AKZh3fi4GDmSR3A/I/e9xwdHlNluwIuuRl+adl0L/HcCdVqTVuhHcUHg+MPmVmL/qXqwotiKILaf
qVzJAwcK6dDZKOuvHMr0YcOJRrvtHStC1Bc8tTGwmKbl8xmGd98hA8Gu0S3omQI8dJmnubrmXECM
BcmJF+Mef3BzQlK5WECfafN5uQl53Ab48+Sa7RrIVaMHFAo62gNbtMIOQpC3kz0C0oLi13V8FA9d
3lbzEZQUeZ2IoYfKOFVHlFyqbmFurnPk52qUJXcbykC7bymeK7/vQB3vA/grPm0DKur3gVYVT+RG
jyZMsAaaIftnBo/oeeZU/EJzisPskK/Wc/B05DLuWugif64ccw5QydVh6CO6yhJmHCRClDh82LTu
zQwfZDgmI+YD4QzEmAcXtwogQe2Skdn5S9UCjDXsgmVDUDDxboLpQzJ2dLxP8x4jOqSIkVcdAE/C
WBWdgSjZ6nQtntEZi+FqRK6E8yV0bCt0I4YgqBkaBUwbk3QH0NngimXIh5tqYdFbD+FP1YJ8TwwF
62IC4iUrrIHF51uIEb60I2xxY13U2ywxdVlmgyyoQaKSHQuTRA3dA2cj2+9Ct2Le1/hGpI8CLwKp
gCGb0+ZdXD/sDPgsQGf0AuNGS/i0AUQ0VDFFu9s205tnaRwfV0ElNMHZQjryjEPW8g69K6nX/VbF
BiSEvKNLkhbwqarxyOsqrW7WpWPsNI+5GJHh6JSrikFZLDH6DdvO9KlPTd1dW5cgjPFMUd+/9jJi
RdbVHtcjZgRYYDV1iQ6ojfdiHtN30iGju66OlleINckRyVXJnRtXQnZkwb9j2sh+BZvR9jCYYG7w
rPCrBOigeBcPKymHqWVny9bpC5AA/mnM4AQpEgie0a7ROhmKGAuatYhYnPn8C0+S5RKQ//OLmZ7N
O9/MNYIVkAi5qJw/iAktFkoSRHvGaAuPGietRG4G8iL6ub7vWYcTfpEbu2hvuyt8u/q4RPQOIrZC
vp1rEQFlNmwDqm9ghNNoQIGydEgZWoUtYV3pjqadkNaRbv2pZ6k8ZgCdXYzGASXiyZet9elNHGNg
E1etQcEG4ZgA3O0KyTDRPushHgiNqUtB2QzTbO+P05S0r/3U49DyDd0ZmcHDJ3HsEuuygon5BTik
Gm1ZgsJpQMu9NX20rwzOjBF0irIekEoofJJj5o2BB5KQnlk1DXjkYJHHQSH3WMuCxIr5hTwMddSh
Y/LDGUHYPwaowVA1KjRsNsPfR/t6QSBML/H+Kxr3pQUO4QpBnxRdAFLgQuDx17bB8ZFoMr02Hka2
kHT8nnet+WqYkWerOnkxIgCwlyOzk5HAS4sgatC12IZClMN5AR0HyqYqD+Q062HcrcGgpOPcDd/H
1YiilbmB2SvOvoCAiGk9Z+ogJLWnukURWBi7QFeaEiuv0FWjtoP/5himgV/RLPdtkeJoOCrspRAf
w9hQ7ReZCHvlxnT5B3x3FMBobpP7UHuN9j9b2l91GqJTn5D1MYG9+wgtBQJyuNvwpoEktFOI84IJ
OrQ/3DSLq5Hz/kktLcWTTzU2CxyZ/BUehkNI1QLOdYuxvVF2v+UMD3oHCW6ju3Ur13yYD5YEIDMi
iGV+qcbqO5Mz9c3PNS/oRKzdM1CfnhsnofKsoW3jFx35+qDtwMddnDTuKVWqfWiTJn2Tcat/T2oh
993MUZjBvv1184SwG8ZFdTd1Tp7B7spJsSC2YteA5QcdaT36o8ZG5G3AORhOfMOYawd/rTyaVC5z
mbRNVJWblutJ5rGq9kimRzhHFtUm3rXew1Yq+mntMDoCmWRX4/ray02u8WtvF9zLhQb++ypOsm14
pukwZ1d5OhGNzDFL+j26deRc9lte3bItUzcs5vX76DRrMESy648oWu0rXwLyoUnWbPjs0CKirZww
T8A9SfZDJronBMZ7VnQj65vfUpu6LZFPLG6VoQvfKWyX35PAt/5exSgxh82MwA7Q5j0MWgR1i9VQ
W99uKH/Vvh4SdZfQ3OW7TSGZEX971BelwFX/xjmQObCP+QPkk91vCXf7hpnnjCBTwaqsQNJfnpZ4
OrBIaiI/mpJSndwxeOaXEsGKUQuwU9oArtWRGYg7cIk6BODluSjHPmvtLjDDwrnJcPvtrWUBgd8U
eXJE2PShoqHnN6QbxE9wK11V8rpDQRsjqvI1apMMTzH8+NGeAsbz/mpHNPiNWIfvqPH6F7nl8pcP
HUuLWBAwJ/mcoDSuRjfRy7igyyzXKZ9GfFn66Jv283iLQyF+67AH+tVhD3U/i3HNiygCGHNP5m24
meecX+ZKVT94M6T/oGTLXlxkEdSHS2QiV+tc+d+VRP1W0DZZzU6hTrqdtr5CktLC8qtY9RSH+dDT
x3pA9QZyzXtRirAedUVRgVRlMI72B7n0mzsgjWryZx57C6XS+wgkwy/DkoMOAOn6xmKo0YSqKRlt
fPYCSmrS7FQ6QnpLYRb9V1uB/JwhjWplCwQU1dt9v2Q42USC8+9+20ZJvi2o6i5ph+DUGig2vtui
BRNXmEvqHCueeXiirQH+JUoWkcI0KVX+sGH9eMLEA70ZDsVIYjAkGn8dhigKZeZWcspkwHlR+cDp
S6Xa/G6ji//iY40OfMsG2ZVJVmH2MQTZb8jfaJY+PDU82X4MgxlPSyT6ZE9W6x4ZQue/E2+zo+/E
oK/GwFD+pSGp+9M6a/3MN42A7Aj97AMidtUvs9VNfQL1cxvLbsFo78AtLMDFShv72kCVe5f3k7tt
M+jo9jL1VbfHzIJPpUMPoi4KU/nxhJ/ILxSiG3cEE5qbXcI7BDds4KPB6SGirt1zDiUsCChZhZ4D
uothN3QJe8jnFR8o/uwqILnLbXeRhSYXmd5kkocFZD/w4xIv3NUMVOWbTvsekqe1wT6Dh0Qco6SD
eg7NCYrwpJ+hi5004koxnFXVrqIr+IaaLcpf9Nbgm1pj3UzPeN8U36dIADxr5N5eZjfE0ZnirXsj
I9gWZYPC5CZnCEY8yKjt13NW1z45uzyBCnj0U32fcQ1C81hvoLMXuNl4OGN4UNX7LsOA7ISwigmi
6dGKK1ktUMfSkOEacnya4jvUXuuALmEaqlJMS6TRwpkJ27nA3u9fCpZkflKDql8SHVXtQz7EFXnI
1piuJQp0vxxJ36rhUINgeT9OzrzVw4ZGOtUrxpmg8NXYrcRJ/ANGAFQgTKS9ghm+Da6Muo6NNwlg
5AN62glIMx10dtcaMv3TDaNmp7T2YFbFBIOVaJ7apsAH1rylk2G7bBsNEkbFiuWr46gMOjRm/iBy
oAY6WByyotaILgLkE4gS0gp+XLFtP2MHYs0P1nbR49Qpi16ok+BhRqMN91nFojNGkPdVM7O7WEXb
JUbbDTrT6rGk66gE51M7W7EjiI7wGDoQfl/bvFlNgVzS6Wz5YJKSarBJNjpXaJk3m+6j0Hco8P0M
7KZJ0KXPi0NQ6pKq6EiyuH0JbU/zHarezkNN7cf2iFjqGlcyiJG+aGsq9h6DSoCDfGyyxymp2huE
zpuh6FFZvmco2eGxcoh1wekyQzwZN9vPio05QtOqHIKglk7dsAc60UHcEHD0Y8orUF2k2vUK9RNB
sQYkCXw3xYCg5mq38M1P4JXkuTnVPBJAqibYtB/qpLIzSHRc5+WsonTH+5lj57Hy1YNeiokNUo7e
o09Z4vLbVJClJInQPxZW1xN6DB1NBxN1HqlS3YKaBziXA6cuNwXJGcOkuW1VBKG7t8N5c+0ads6v
lSiaZkLytw2Qge0bTJ/O2cj4HebW6c40DFhcmeA5Aen5GfRyzKuQL8MLBNxI+6zI0INJs+QNSj2w
arty8YmBmBDrxveXAhJSMeejCsUcI8KfObdFQAUzBLClKZywCKGFS2JE01/1FnuWKe8eEWi9fgey
NE13mcUCoZwBAt32o9Y4CahA0vh9pRZAjLetRoKXbOtHUgPyfBtEs6xo1mcFOAtWE+s+lWTBdNSm
roXoFVPcEl+8zBV9KzUpsEpbH70K67jDTB/3AB0x/yuGNmphwlJN9qbyqna/N9YidQ/tJaYFUQv6
bgNZk7qSHUOQtnOJmwoD0O52H7iS9bHzBISkRA1IDESDey9HJas9d7Db7TSkYPCAZ3kNbaIM6hEK
IijrV4S7fMFmrfvVxtkq9qilzClF8vsR9zxuJhXsxWIuthwYusb3zcJU3ekZz1TRqbVJr6owV/1l
1RkHbc5gznAaVW6XfWPW5g18OrlXXupvc8KnV2bj9eeKxuaCATyeOmT+fVmamDKUqgLyilqG5G5E
a3PGVwtKghXUYiRtdLCqobtpMnYBwpr0X2KfDPzIrW9aKNtzvZZYDsy3LjHcXmGB5fLv67IBMjN1
qL5xYHT2FwTj649uq6g6zNEUfzEK2zGlA/JTcZdcjYia/ImGJ+2PywYyNYYcw/pr4B2eAiWW2O8t
QtOwGObgiVnp1+uUY/A3wcX9RSAvD7xvQE2RUo2kqj6Bl5iuFWqKMPzM/dJPN0piR7h3HAl/dcLp
Gejg7nqYEXVVRWJrS4zlKtAKgW2luwD149njg8aA1MdoQbMeFxyqOQ2P75J0GDtgXApTBOyTx8wu
9Cdw7p4UE8FyZtBm+j3VmBfjqEdcu1daPq9NWDI8Xn3md4p0Ew6eOQw3KVn0b5vkKIKRApilwEwn
2LJkSs837eACkj8GUT8tpMKSE3bBrwuuNlzGPVL9UrckWAQH4S5AHcaPK2H+p6tItJ9a6pEUiF2Z
wRmDg46hMmQIZt8zGqnL1o7uMDP8+jgaqkOvPWZ+eY1LxmLJg5RjUR0wFm5hbsomjbhXTNYe6zpH
J6Y2jdV7F8mbVnuUvFO9DG+TqcNOdmmKW4U0CDEUdDtIjYhA7KwUyOxTjsyczE3P2TICAT10OEPg
Rc1uZpu1J7Yi7BK7Heh20YFh342lWematMMQQCr22jewyMKWrx6gHBC7AajO3dKm88tIQBaiWDk/
how0dzatdYkxpz9VmQQoJDCIMCMBczGmYfFxlF0EFhEGCLgL1REw6hrfIC3RlgiV0dJayHk6u4EI
1a0wh/C5eovj4K4w/wZQDuPj284K7CEk6t4yxmrrRHvMAKJO6ZuROVpgJPqeoDn0N+nSJeDcNuBm
wZkJmIEF6yBa0x1lMPekS5aerJfLKYmxjHVuXa/RbKwQ5jcE5HmiT4Y3oNs3XhwGYrcjxP3N9QDc
xR4Rsj8cHFUlfhQ2obaTuhh9Hc/F6jU4S/mS39cmjZ5n7ekOi8noDkPd5hYk9/gHHna225LKg1o9
SblbfIQth0Kmk2cVxLBuk3tZT+aNKcwMmY3UqddxtcvU1uMUJ+QNWiSJgaZ+A0PCHvksxWESi31/
LpKfGYT4Y7XfGMaDO8Oz5qHK9HDARBprUbksOwYq+zEb1owA+TD9M04Eoxkzbufgk58ouH8hs5w/
wnG77hDjHN0uBjurGXP6L5GKsiPWvnSnQek6i7wjt/0c3njr230dKmxXFDwlSY/VHloQcORwnydf
MFlAdGbd1YjykdUBKruAi/z/cXRey3EqWxh+IqpITbiFyZpR3pKsG0qWbXKTGprm6c+nc+dddu2S
ZqB7rT+a6q/rq+4EDhk8NaN6ncKmfGvswG/SmRngOBRTlmxZXWMhV9GzQyof3RzgETSrxzQHo71y
SeWhGt2o0EZu5XyHqHL4PBex29ChoV8pDGmPRBTVY4qShShOLRZNw3CxFlz2CON3A03ku2ElvWi1
yl9uhXvki8Zrb60vTmjLwN/nYWelc7EVLf1cauYirAMLPuZxMJWdX9t5cj3rYALq00CllMppp2Z5
FMv7guhVnhjbqDEGSq06yCoz+nScT4v/LWoaoh/sYg2HfUfHzvivNN5GtOCqa6zwxVQM7m2Lt0h9
ReVgdxc+7qr5Fi5KAmjusS8e3KEOvOs2tvXOz5fWfTeesw0Xt3Za6EZP6WJ4jjGb0y1fLQ63pN0M
jv4vnsdi+BtZOhhMIvvSGX9FM3/BtEFSpk4U6pwinX3MdkffOPHnrBpmaD+M8nvoz9rZj4vM/u+P
q/ZuqNRroWeyFpCXjdY+W4aKEnDthoyWvlKaTVIqfOKJ6Du3+DJD7cN5ZTRHNPdlng1vLJRUYiQN
x01Lvdxm3uwVn9NTXEa6OJAZ59hp3Az9DVDFRc5QZ3X/b7EyJV/7Shj57GAjHtO45OJfd2OoCYIv
eVmrazf1A3pEh/xV9k5oLJ8qvVjKB6kUlsOVQkOm7toAWKeNdkaoBoItO3mJY883V+SlWf6hrM5E
D0xbdvlmtNj6ZJv9Xr+VcuBhcnGkMrZ5Rru/IF4j57EGZMn/FZGS/+YQH93e6xDblrtF2BHbbAfC
cO7G2fFSkKbNemT0Ufl+igrrNdY8JfgQ/bogoZ6VNKxpjx8ELq3cmnH/RUqV4MZKLCsd51ERzeuL
KiBnduWE6slKwg5lq7MXnSI/8hDYmT3/c3RPaeEePq/76bhpinxOpgCPcsq9r6g5yBxr/qiFJfXf
GEgpchNjjesomccIg13TgWsdTJnrqYT8m9Y+f/cqC0Ycz7gXWee2L6ao3VUkD8pL4yI5+nGXxioj
zF60VKGPejTnabSmttuFUxs199M6rvExLKqoH846dHLGojwKtk9/mds8JUau7RChzTBNu7aNQ/1f
AbTlPa2zbfpht07hHGSJWsTI+Bs4m7i3SuZcSGsXhYbt8wktCWaaUfeJZeXrdXK80Gvv2EnZdhPp
kkP4RxghBAHSS1BuyH+KDsiCHKYw78YDVgAwsNnOg+Y2wIc13xBYcnufOLDEv8pRNsRkUDa6JGAk
soTfMiuEaOXgtmp+d4Im2zJy9psTSMnuVChLoU7dHAu04djyZebNmfOEBe4kZeduH3a+kG3tTSoq
62fIAqO7+8h2w9beRVs5bL8DJw/Wr4ZsbiJ4VhM0v1cQgZl2EM/Li0MflevQp5MrtuGWbxDYmLYD
PK8r8EB73PIl9p77zWM0Re+kqNqcJDJme+NXSFRUIXFPNJKyf+D9dbjn7WuiZRcpM1LrCkx2cwSr
WXfgLg1JFshmwX5iPM4JPum26X/zMlf+zVZuSbqd9jSVONjtePvrwSvSxZki/IAq/pcXdvm1MP+s
Cp6rEHj5ag95QX7s/XxrnrNg4rre7HZ85DAJqjPkVite6qicswdtN4u6Wb29mAuBY+rgkJhFbZJE
eFPxuDGbLEP0p4irGv+0Vw28ojljBSPjoKy3ljObSkm1NPO+bKXT7JAleXsnsOmMznwAnS+Rb0H/
ieLL/TN460ZD5gyBCqytI1oHIKnZOaA2vGMWjAiunC5unqO+jK02WQM6iAh6sN3xBtTYfBSIbOYH
6sTBAyFGw+FWdGVUHozH+7vvY0jgxJvXradMpHBD8aY7pb197NjrhGx23R5M1+mtSxZsultaVeCv
jxaqF3GAYiaruvKMMAwk63A3uMO8phmFIsWJsEq8SXZhrJpODNJx/M5dnwdCVfx3Wwf2+mXLCG2+
mVnIAUcX87a6zjIyHJMk+Gtx4u6o6Lcm6ikIzzExoAcQwa1O3boRKolcm1cJIIMosL4MQbBjNxBp
zD1GlQrN2DD7WxGqk+QBcF+zmsZ3Nherobymah4nPxqCh4lpl6GlUPMKW1i1l7ouw+0c4Lo+T90W
fIuYPq49gg37g1ql5SXnm51ShPDmCsodoAYN7fF5RCMQ/gnA5n9nGW/LiZIQLXeu8EEGQ5tR8BzC
vvsXRAnLk1/6JFe1rYyyZBb2cq9rq6rvqrromDa8dv7y+9hb7+017j/h8tY/bRYSeRX3WYHKe/Z9
WL283rEMSDvVcbZEKZ7HgoABX4QnYEb+ODMJQzXxZVGrtVlUKTQRSXJ5uxxpnVur3VBqYAj750Xu
3Bg2xPTjZ6HVhs0JOp27YukxjEa+W//4Qbu/DUThn07jqnjZfDF8GgtN+lPV1EN2N461Nd7Zxloo
9oYhH/cIJ7d+F8upZTDRXiFpsiXnMJUlIMoBy1VlPQfoO4j03+rxN5Tcj874B67Hsbt2M4g+BeJQ
dhQsjxlMTF55qS5/XMTCeHGXRE7k1Vyows4eAHBxUOHDGurpn6OK3NkXSFkYtux4pkNVCtM6R6sf
LffD7rJueOOtCnXitAaASw923TzEwNhjwhfXhn+nuK9/l043ODxD21wcwk33wR0aMq7qcsK7EsT1
EKab5bgnBErVlMwFwIKauv5pCdwBcHNEqlA+5m7n588AVcEzEGyd0zHJTmHP1UL/qLKeMGGiEncC
zgcM7/PE2W/NjfWcc3Y9+dmah2kYLiLaB2tRIzsNB8sv7zSG6ua99nvJcZkXljhpFrDwRA5rbh9C
qoztAwqvct7ltkai0poID4vIBzQ+YVPZ5mXgb9eR0JXO51wKfRmZaV8uI2kTXp4P7isxCL5cj43b
bt6uxjz3mKvOjvc+qiSeKyrHscmZ2ADPajdGuJKIpQu7h8LURfbZ0IwirgBCSxalQZ9FfgKItA17
bwhCcYtyRuOHttbjue1Kz4eEHgfOpbmKp4uKjH7FPU3vjyXcqcBU3sI6dFCcx9bM+TlsOelPi5kn
nQCbBiUEB+fQXW+mzb37Sa6oXzpuJUTtEmsDQvIeoPJDbHPn73Xc+/wYi15GcupKfougbONzMGfy
BXdC+GrHQfzuDjzJqXK0bf0za087gRIy++sqb/yM7CXsDisMFrHUWb/m+2YDOk4pAeuDb5ezjzSU
OSbs4jnSgdj2S1tMwxut9uSVN6R9ZH8kY0b4vvVioQLUbe4sRp3niaoNNCj1yPfVZMLAMcxzmNiW
X00Ax6GZeOrnRg7Foz/Ixn5YHHSo1yZTFh0CKFq4OaW57y3GKtTZVV3fD6qAU0H5icOoLZpmL0Kr
+ElVVhs9LraTe68S3dy5c1SQP8p2LFLNlpD0LNPYT0UQn0aJvnOR1vDh4XGPk4b4k4feIQTgUXAq
0lVYqe4Xm0mOAGDwmbo6QBx5q9tmbPay04bS96quitSO/JVDTLpxlqB5dDmjomL7FRinS5EtUz+M
XN59bKbJzp/apRrJxgi7ojqPRUNTCix/vyab8YCXzOKJ5zVQJdprF4HfsWD6x6oZZmZD+wJW+cJG
Enf7YXSXe9wv4pb32XCOmRcQWpD34T2jaFn9HcvWNL1tjYu8MtRB27yWfWbLfZmvKHZQz67VeyAL
o9Bu9Ysor8j1KqDgZVDZP8iDSv1i7Qlch7Z52/gHpv3NSjln2g9LthE11XGnFk3SaVRxIzXcyxzO
rhcHyB7hsvrjgvZp6cCZ2w7C0Zp5aimVV6pP59Jy9InCQvdLyirmJyhdxIZj1KMnSsuN1tm94Xhr
6E5clfegid2yicvRS/C4tkHdnIaRlq+PlZZd/QZJpQawTz7Btk4KEcZbntjAuJC6uI3U0SzSyU5d
vG3Q4VGtynduEPJNS42C9Sh/cBDiLKo8Al7NSbS8Yw+g/bpFCex8Dxqp4Cn0K/lPo7XmJnFWZz07
sihAFgTCoWsxD4F35wV6Yh7OarbOb15+3+wL2gyjPUn37LB+07rLoc0qGbz5sRzJI2AQ0EEqA6yr
vE0axKjK+vboRQGbXqxBo+5jhKQxn71bbrzU+ej9xk4ARhC5aqnJzy9igtenvABjcWrb34veX93/
8O8qxz9qLCnuxzhWpSY6AKntXTa4bfu6WRUaKcJ8An0HwYZ+vLbFWP9p1Bxh2524cj/cqQfkJ8pt
8N+DBj0CEKnnL3tTN4wBCcJXptRShWI7gJRn6jLUyvyZypZkqIQzgPc7RF2MQKDK8uKMKKWxXmH3
EUMagDb9FEa91Z38WlTewc1DfkLH10BcaNF0lRpEW2c+sEn/xu3EOyYBX6Gie672/7q6CP2Up3Ly
Hkh6M/wCLhqUfk7zJqi/nIjfKc272V7fWND1flLS1jkcRrhZO1+X/bDuinlkbLbmLP+vJdEI/74z
hl6+A8eOy9Rruj5EJU/EhXoBxJlbMM6ub3Df5MI81M7YvhvLaZ5t9AJn4vTE0dNdezcumBiSjhyc
Ozna7qEstzhIya1YnnnK1psMbesxA4ddzlmVVZQmV4SpJLKIY8qIEIbuK4RIjPNdmK87/tzcm2rp
3yeMcbgtakeG6Cxs0iOzOjAnTp9lO8aIZv4rB7pI63LwvlnivPJp42Um6qJZjK1248wmc+NcwCPC
bHZdSVYv/7FQ+hU34FCQ6DjUFqI7X8Xib9v6wfBf6JrFvTZFs0HzDyQO/8UBCrK8CLn9AZdYvdMY
RDG/wiTYZnZ+0HXfnAG2/ZBBk6EzlG6I0iX2Z/zRIvB08y1VF/o/UIU3BntotsgE9M0DnLu2JiGH
ybV1cnJk6Rs/V3x0w9u0LnGNjlA6EqET2ETt7n3XwovlNS3SQNeOMrElox1n9i/Pg4fKmXTmKAK3
4rSjAj5vkL2kRN3ZMp1yOwP+5UtFP5caD3njNZ6HUSBbBD6kjdunQPi8+oxHfIrRtR27Lrs5o9dk
ey3X/M2bZfGFIQeA0S+EDnfjaASAWez70fwG/+XLuyG2ij95XQT/bSx1PFhOLiruRxtpsNzA2SgS
nZJmW7YQMXIUnyJdir814mR29Wn6z8Uz0R/aKSSGBlPq8jcv+vhQBNvUn0wZ+yikZFHf5mGe74dO
zS01RyYan+U21xZqgzIv4iQr+rHYL7Gsvy3Y0+leFnk07X0/NscgtDQ5z11Dv1T1I+9mUGnzg8nK
EtW+bck0WIPoDwIf/3nI+vJadCHUU1S4rBT8sLD826bMYZxdtB7YE+z+FcKMcc/KQxv4k1TpKsmb
xctOc9e32b1nbfaPzU5JDyWv3VnWzScTUP7q9FQ+SClDk8wmEK+CFiOP5ciOqishV2tw0xOo8N+8
DjHYbJJAuPFHPwMzAnl38YES24NbiQ0ewFq3m4WGgRGGzqfTNInssdnQtL20bEqPvr9oyFsMTbtM
TOt2dauyDg8R/OInd59yUleuhSkTBKbbu61E/FNpMyJ5jYy3gLHO5Y+pFCP8zJz9a4oHyYuVjX+D
3CZPLY6By61FF++FnuQrZAmMkcjc0wy99j2UYntZVxFcXTltv01ZNQdSQatraIfBV0CB5g/si7Kr
HKtv8qF6mTauMJclF+vVQhE1pfPIsQWpNn60KMnZCfo5vG+x5F2zLggTh1sZS1gNNhm6qv8Vl4EF
j9Fsb6jH1ocN2ufcWCGmrTajGJsgPXFnrV157zQLK8mWWRzo5FT4VLNsboi0N58Pg+PihC4s9Ymg
x3rQRQm1iQTuDkffEO9xEsk/aFLsFKsCMOmkrdeo0ONzZ/r1izhCfDC4BB7XcCU1Cdmz8tbhxV4G
eBU7HOcjqt/8Ei3jeO4sF1mrVTMdEJNr7x2xfLMQYoOYiuqKHAf7jbs615x6518oNnvCs9aYxWRt
UUNkmerOWy7sk6uluYWzqL7E0nbvXY6a0eIb+S6WsvsnmwAXwaqs1xW5xnNcZPpaL+t89mHfr55X
0VFlPOsMysJko3nNkpqahFsU1PE1X36kVFPmNEi4HPx1NOYy9/TjLhQTZXKxI3NYCNvsIau4zFHC
cnKWK2KHuIIUwmQtIKjnoH8mWmVd0N5EFulE5HA+uS7KMqEtWkRVqT/apQXrAlUo4p1ZxuI0Fati
HyFyPh0rpu3F88tdH7Zunc42ar9kdSeb2QdokUswhpdW/TgjvgqH/DZZVLMEY9Y1qV07X1MdWmcK
VrJLFq3hr9Xy6bloI3EDfFa/TWXNsOV29aadELh71u4VZJsu0GWb73AgyF0WEz+UE9N26Wer3FlV
vr7BR8lrFdlrohiofmxfztFjayD+cz3gTPkKETae1BYvJ7YI7ysaenU3baJ7Aq0B9vImZJZkPKdW
H1Jgli22f1JeaR0RJdZowu34sOJ++2lf2r43B4tPhQv3PVBy/J0vrvMEJ4nTVMMQ9VazHKnXUkE6
8Bgh+xznHcOpO6VGhtsbzy9qgaGL/ssgFuqdu9j5P0Mq/R4ElmUBsvDe4Z2DNZszWyVVbMvbZGrh
pMLzHezmYljhRO32YtCHs8FUq3tjHLEvPUwTd85qQbZxHu1IoSenC4BTvBVmpDNrmPMykcBOeJQ1
QIe7kXnjzqgvWGfNi7LmPqLBzjTvUeADf4F97ONwQqQUMpc9IsZhnWZDs86mj9tT50G+RDTL/OZG
gvlv86DeYXaavwPqeD8Qxk+gzSQpi8ivb31OIGE8maB7agkl2RVF335MUmMpjQ2ZEUmh/OjeNBhS
sTI1SDlcVd/3tYd2BkXPsRFVdZnbjMEpo4oe8oUkrbL3iQFc9Hi0AL3bfQur9LouHrGgBnsRKnir
gdrREel+vffOLvApibzD8KlmLsc5wIfvCkfCCAWemzoaVeupMiPqyGJ2of6wy+40l+cuYJlDtzG3
R78y4stFDXU/IeLfuZGE1+ZrDbhF9NjsCkDhFLMwiRW9Wt9s1D1kl9FrPeMa8tVZ2Csq3mFiNSos
WR40NDSGYoDe8IIRzXvqdDA+5dtmToPTklvojcWMnGRw/tXV1pIbENsIqVsLwVfsM/yjhhnivwOQ
Vp6YH89V6nilunP9ub7lrVDhHawa0T/NBHB9QhtskJUg6qgSjG0ySzRz9slb5ug2FGO2B4WDxx97
onjpO/uNoQgGDwmO2tvToP7LML8573jI46fVMTDk+VDOTZUwY2G+wgUwH8JWOed2RCOB124+mCXH
bFMMbTanC4FLl6HJyaXu4k6uFwdTuGFeciRZ0qszAq3026MIXPYCwpqWXRg02ztjaZa2BemMxzpa
rc+8C6a/DBXiZAK/O2yisff4FrpXd4uc181bnL99h21AzFHGvbTBtWivyT+LcXELdBWuf2VVUHvH
q9B3skgLer+wTIF8aJIhY1bEC1S3BgBS1qeKcUGB7IX1f4Nu/XOrSuurptNHngzW0ztcPd0dtHV5
1vYw3kRuSdR1cTdca2vh2aAX6b4w/G6xWKcrbxRYAAGWBeaRSccJsMP6zw/Kac8WIviZbDIu6YAr
sfoKCBFkky9EGmUUiPjuPR4KeWTH6TGCDOag3JhSTitf+mJPilb3snRDppOqmXmjKq+7N6XsfsvS
ko9WHFgnEQ7b64DsBuMdKMCWqnjuK0wGFRBREMQHd66bp23T3sHRm3gUyOj+BhhDcI5v9o8Ktq5P
iryU/Qzg/0gWXHmtM6PffrQI9+xS3X9h6C8fTcH0gZFl+zM6EypdtXQz+tpNNhewC5N6hLhcLITX
Tz/uLvwGFg9F+lPWcFunFheDcrfvwva85xCN6znzovaxcrf5tzd62kM1H9Qdpz0YLxJL4C1Pyxr0
lSLdKQk9h4PQD+fs4K/Zco+Eitg1UqKoy/anChQRVjpAkpJH3X/Rgllxz01jHnJFGex+6qXzEthc
EzXGwt/r7KPpWGMYwHsbE0z1VWYOAL9jkOfGQ2f9oyW13fvj3Gx/S6txDpPy5+ghWhwEHcpq5uuY
I3i/0GFlv01Ttql9IewB7ZXqw+pc5JD7HWhcrmraKyrED2VVNJxoKOXal1XK2NlPpuhuSDSt/9we
9O8QS3q8D+xp1ky9riFMFReH+NMXWdAdzYBFISki7u+EOqXWfqudIHCO49ICYZmGL4Ekg2XZ2IMa
KbHDrrOVXSazrCyCPddAhSFHOJlJCQLXwxV5k5HgOyM+loSguUVgtigoRcWeERrcPpZXbdyNP06u
USlxtkIzuJ8tTGiqmsxZnrkEQ/WqdcQ2vnWu9p9C6nDXpB4s3lxpR95daP6v6yXe6wHNTdRc28xq
SGFikK6mezEN1aooJne2AxEJaHHXsfSjndUPi9UdPEFtMupftwIhDu2+55/mnZntnSlCW/9CFf3D
05R5ZbHM911EngTpHFdaphfvTQLkx6+QYnXHydjU5r0vgL7KWx9MHmSyHKg/slvS1cxx2gw7M3xY
LW7EVLg6HTc9IEqLUUMvzytV3BYuB1QHbWb7PYXkwp/GG/xFFCHzb8WYI+AJkT0lIpfjdtfPsSef
txHJ04Md2KhuU3xe2/joRSRfIi8VIn61pU1Z8rr483odrN58CeIWfyLZu3o+dAUEU5yMGToiBupQ
BAtAEK4B3OJq3MFid08Zygf8Gr29fgZrhDD+BxHwUoiL8pl+u/EDgma48BVOL7GoyRK0LB+VfCj8
3wNE42eOW+AyDz7yaEfjne9A4bi4oSp+87qASI5EhNRjMT4UjqKlRCDtEtEI969VgIwdLOCX9JRk
T4ybmyn66JVbIT4CanExlTV3r0sN64ZgkB0B8HHH4uz/ChrbA7HTBDmB62xOWo0zcgQgrzZtIhat
XRla1HvVHf0yDRriaaoakVTUC/g7pB/uY93k4k6NS3dBUtQ9o2H+7fRxiV+qmn4xNlaHyQ2qvcl5
NWK/dV7sqFePcV03r+tMle+EY1ukyDftWzCGGJ/taVqoFbC9mHRba8mX3bBZ3DQQRt3BmQ1O823I
6w8/zgb9prMy7I9xVdhrKm1O+71wxpxrz3f8BXmcj+0+0ghLd9wa9HGv3SqLYyE4iZnIy7E/BNXK
xbpkCMWwjoMtWA74OZUzrnZO0J/RE99HRW7ZGjkxFaGRRyKCQk+9q5uo6P4UpCxkh5LIjOAesUZr
UhLOx/YWyrWsDm6xDcNRwBhyMqyhdWuwDSCKwTP4GdAZfmuJYfqaXPRHlJw63qOdDSvzZdDxPYGq
efEv8m2gA12UDf1hAP3w7taYeJRzkOFDOQciGigsHOX0pVE4l2c8LY2Fs2jtyMfGyBiTM1IhEgvR
MjUXGfT6a9DhAs8NR+2DRJCemHijjd0IfHasT0srORbgtif3cSPvdH4MorxSx1G4JnwNkRldXWX6
cm8MCQynYcLjf+qmuVYpmgLV7nORu9u+MW7ZPrugCizdoLso12HTu4+6pUPiOkg8vrulqGbmaNE5
BA2hvmLJYRborwYj/nAKbdiIfQ2KkK66XZdHaYf8lHXVW3LXZ90mDn0olh79Qj1tCc4dl+WmmoN/
wEdcKVwx4dvs9tNJrWX9GaHmEYid1oVTO4jPNneLyBIEl8GM868W2S1c0LT/GuwY2wRCmml+noTt
VteREjrw0hlzRgoLvUyPpoBaLdvSeZl8nEM77KPmqPCujCgDZdQnboaYILFrDD/7brXaMHXXXLpo
N0E8DoA0VkThQ4i2fsltODhkO2v1gPy//wym3qGfq/dnRiHS1NZE46yHsshHTpppIcOYYWDZXuVW
5Z9VPWmOx1D6ZY70IiB+xCl7LL9YKtZrUTXhh9GFL9K6D+3yPNMZtK/cVVpXv6/r6ah+oh+OSNvI
QSZOLl+Pzjq61l9r8JYqncp8/BFGkCj33fCy6SkJFsDD1DikUn5ZIu4RDZKDIutnE2ctr9Ksanze
c+YX/p+lrIb2n2pDqNU8IM3mbHCMM6JkK6kkxdgUyy52R4nqKYpGpPRb0ZT5T7xv3n1iGQ0JW5eh
FP1zLO3CL1Kf9Wm5NL7W4REL5TzhHOkmANpSh+MJn7d8Jgklfh57Z3lVul/d/ciX0u64j9f2Zql2
1ndgJtWTpK3sfVsC06Sg3bqkDL3V2aGBFzh1vd/flbJGD8/anwPjk3lxWXnu0qIeordSjUj9fQbW
79LNTHbxOqaLXxVJLAGSdFcQapAb82XQ3w2pGPX0hcqW7KplZsS8g1fIwqNd8sjtBzSCt7x2yq8V
F8iLZxn/XTH7wEyiM+BQEkXpX2bc7CYZ+5m8FzKtxuilsXM9vFRZR1XzD9zUco/2UXyXYereR9WM
rShCD7/uCbdCRg2vr5671XYOrtrse4Mb/DapTkDBW7nqjxNRMgROAbX8B3NcoQys8+zwo2ZBeFOh
mWA/E2XazmI+V5kj5kRrF32H3cjPvIFlTrYl0l+zL6qXYl6bv+taT1D0PCBAhgxBOw6w9gR0kx0o
M60lxtasf5vJgTouYRHctRnOfT92rfs459qZe6xLpM1rjabRsrtDy//5PlZR6B6bTU33E4FAeOOm
LLyuAXKFKnanal9kTJdpbdf1azxbzoeMW4/QUnd2zmyyFct6Xq177eWdvcuzTfSpQEvNFQFrglwC
gO3oZ57YxZEDkdmbkLbyGPV/svWtgwulVVaW0LdQAuNRl53UE67wkbClq/A3cxY4vqArBn87Zqwe
CTGqy9cQ9pTU97WK9XmODV1tjJ8HMVbyASEKCSjoC6hcqlZ5HcZG3zdt/TMpZMW97KoMJYPy/gtb
y6kvFaj4cZl727qP1BAfvSq2dqOIn4ztOxef8JNbRuprfGEX7v8oUzansFqn4FEOWTzdyCn7L2d9
2Veh2+0GsxLqA5rNySTg1IAdtyd+CnEzLgtBT7XDQbZakdEEY0wGRnvBMOgzn0pxnlj01ENDugdu
ITI+czzhEQLMrCzav9YYTnfdOtQXnD6UPgYZtqp6yr/R7KmPqJQjgivc0fi4J7IcAuIHN0ESWuIs
gNL7fBsxE3peUV953tWxIUZh3zTzxL6AUe9nM1D+3tfziM8uQF66y3yPJgu+dSJfTPFOPIBIA6//
07q9c68kiWacMDg8i6U9yngTr3NpT9/tGo2PGvf7eSxr7wXKtyOXlKUy51VwEDdEIfx55PRHzwIU
A5hBWUZ3wcCogc0sSLCTmztvWjUzB5Nbwjvm+MCFvq9QskECAgq2gEt9VwO+BltxQ8QXXdplWPlv
sum2FBOdfFsHp99nBGdci96PvihAn37TwGVfTfATBhIY5CcYiU/4qByUNh25G1NAJkPo+vk9tFrw
zM267FoHZJUMAvHClmJdg4aux8EpGrXz+fblBeWVcwl8svZ5+cly6PAF4knr5vhNImx20pU7ubz6
TdN/DSMhwX0R8bGKanb3ua+qU1tk+V2dzbRRbaXSpyUv5Tkb+nmX5cr9zXhgXu3MLXhaaAocgary
gSDzODhobTDCVVV8ciskB3afNYxcRdX9msSAWBruB9kTEs4jqCmvY2aHvYFDspf8FHX18BqNjn5r
0ewl+Icsosd6sRery4MJt8wXiEahT5ZpYfyZcGlujILPRNSJa+QMBNPl2h2YuSwOVVq03T5plS3v
GeUUgh8BEJBtSHibYhxOppnkTRRxtld+pu7WioA1ZJXZxR8s+3+cneeO3Fiapm9lUP/ZQ28W0wNs
uIwIprdS/iEkZYree179PsyunU2xk8FFAI0ZlKp04vCY77j3e94nrGJ5l+pFAc14OkK4VmUuvmU5
x7s2QoQv6ZJ3z6Ie3ui6l29cWc+exbCO9qZMyqvSFlhiyh0xIOOe9yLIK2vDXVp4JLDxXKN7fvJd
QePQbKt40MEFsutwkDWxIR/nqhI230Wp117ashZ2QqcGV5yayFKV6mhrKOje3NRsoGSBp3kLybX9
OYzxtjfk8IazmtRvTD/urqQ6JQmuHqpgS4a+RNJByjkNhBGwxLZfgwZG83WIZNg//c4Ceh6Q3e6D
ev4ZBKmcXQYsah5pIK2Wl9d6i7Y5WkFrYse8KgRDc65Fj00bt+eVZdT3qNt8NWBTnMXcewYgSMDf
KZ5lxojswDQhOkGKEd/qnNN5ScPeoiKwxno2lNdce3O+4OhSxeEN6zBppatUjxC3XQ0cfANhN8B2
cN/7GFvlnTkgM7oX0Pak76e5mDOk/A9Y7yceZ5/qClkPinLk5I0sq0hhXrutKT+dLv7D1PILEqY6
Ms0/lV8gHtSbMFePXkdA9mX9YJXXStKurPoHc6baMNo8TlvSnRCIvyWrtjUcACPFe2OfvAA3nfvG
Cf3aL1XJiKJEOlptAN2QtNZdGVVLrmrSDIBWnfB4FcENSQYhezVIrKfUE6+Qf7FJ74/kU987+WDH
ev2rSpO7qO82eLcka557hwUe7/gjX7XviOn91L5hGOs+9EX5KAihsha86ighDyc83fO/0304Q/xV
J2YKgBBio+0z+cgg/57p1b0uNlve4leni5/rnQkr1cjAwMml0B3T2FRueJPND7AW6s3p0meI9sr4
55/aB1kFiXu8ih85bgc3qnpXDcalEuDYG0M+6Pr3whWiDX677cXpH5xpLWUy4E0FNFMllc3RwZJk
y4O8tm2N4VVEyLPAl53p8g/frE+fRIaMFLq+Jx3Rwb6VyD64UOhhGzThj0XLgZlOUSZjWsg/ULKF
fFRr/dXXy4s0jc5DjX/YAHyqfu+w2iLckwGFISMIfBIN6JpVumRrPdcBk+Gqt2IcyDLJFGns/Kwd
5wGY6N4gNi+M1xmSsKL8OaIEKa7SkHP2cbRkUUtekEL1jXuC58EXvwGOaxZ+Z64L5D9/xxUc7kmL
UD66ZX3D1cgL2+QFCvM4Fr8IGsoEhlywjfI4mWfHpBfNepN2tYyhg2w8JbXR7HTFlNWVbg2/yy5p
Flzu53plMstVmLGamhbZUZfC343mIdUWtQtR9hfi4EyvyJN53uV1waOdjzMOpBCnQV+IugFkAXuP
LbTj7enJPWcEIk9m9yjNYY+ZZEc86mwzrjZ6UK4ln3f9ZliZVUA2THCROcgtEi4ionBH6gIJzaX0
43QFZppRnixlikKGr8w73hEJCVBlCSFkY2wEHtYXgstMvJQnE59kDDPQxBGsIYY30H0PfuZeQaDZ
tml6LEUPqy9A/Kp2e/p7ZkaiPH7np2AQ5xnoD1/LKJpzqHRHU3Jl7B7apNyHtfSQx+pC2JnD5n8Y
M336KZ6z1cJSjPpYBc2tGTygcForqXRQ2qvMEi4EZccTOXfN501feRImcqUactb55pjI1RYT3e+l
US3YA80NgklkkFuSuAJZLOyYJzZBrY6dZt7yDPn9dJ/MFT+JDiQ5W6TkurUdu6lx05IQFZVGcocQ
4HT5M+vXh4nXp46wQivkKtDHZFfpjlnmHXjA597DQjK64CE3tyWTJtGA5IKY286+tnVy29ZOKoVb
nz311uK9x+HqTovNnW7yhFiazhq37PY+soQX3cu2pz/xw6T+iwj74Xz86Rt5QfdFjXOiDRZUvyQJ
j4sSzoOSc+jMytm1XW3sSI5ONz0cuhXyTt7LA1KXw6q9RPd/5+qghEgVuyPT7WWhTmOo/apOk9hB
xlEm4/rS2BWZsttOaX9xGcGI17vrIbiTJJKYccRY+VJGxrcRnNsUk4iSBujWyPnA5jb9FYBweczz
rmZjZOwRo1x0OSfq9tDl8jMY7miDCIL9QHRIw8qFq+6E42XnW8lhdmFDOBfCPzxyPnVNBze2ESyp
ttHxSbsw0dw7HFW2cZiVayfJSXXmMvPQDg3ZFY3/rXYfsvKQlfojEDxhYQrMTLGP09KnOoBKLjtB
SuGN9VzsoYUtjygKpJ1pkIB3urvnfmISf3CZyPS6c9Alw2E5RkXpbUqFDE1D5YngvJ+YxCGrEFMI
eUJra41osSL1zV7WksCWSmdprzsXtaVJMIqh7KM2QY+cGekrCSzJ1jJ76GyKyMWm6f9E6YI6YmsO
OPflC2vgTID6qMun3lFyjbcAlaYjMSjdlEbBu5lfFzZODWhOxKo5b88iTqKUwbxAUaK1jAIgQhHS
nufQj98NAXadCIl1p/R1sTAcZtZ1cbJxkSw1w0ObdsTBLG6KtQ59zDDZr4j3gEFRKV7gz3J6WMzN
MHESaMrW8FVysXrbMw61VJIENDyIZXhdtOJbnmhwWeViK9SyXeXGi6eUez9i01b47sLs+tj0fRHp
xEnIAWkmdjm3tXYTF2+DHpDPdgms4iILapuMhH0Fl1LL96UjvDvF7xHzIObAzl1ksGFcPUZR912M
pXuxEg7oTK/cItiIKaSouLfAsAzk4iA5E5hQNS8HHXk13TUXKQsGg3NDXhxn9KfhZ1nsjKHntfYg
k3KJQjkRdNsVRTSSFtoc45uYpTeB7PPCXqvvC302ztmvmmxyaoqERihzIBx2IHi/2V14eH8PNzhG
7PqBG7lDo5Cp1CkgLZWRma5ugE0vmU/NrZbiJFY1suoVis+PI10Tu18JpjeKeo+VG7TzdIc+BKfp
VOwRXMCVEZ+NXtuV6VUdOneLVu8fAeWrBpgEswBWFI8aSmNzpX5pkmdfPfqW8oJ9w94VS8iezsYx
5R9BTdKsUKpLnT03LyfxDe5rVpkIcmxyEXLbikOgUw4KLt0F5ugDIyf997vPveU6NHSMk/vwtgMv
HAW8WQ6mY4t6sZUGWOmOkbhHISpfwTXGV55XLuzQZ4KhODm4lb3YhgmZ4uA6SaavIHzgVZQeLJds
9GLhcPj1KUCxJoEwkdxAh1aB81AK0zKLMZjHgshqlWfZbe/l1j86lX531khXPjx7Pk0v7iFJ4gep
a6euom5aK77pIYIPgmArHdJhMZOkl9wr+luTROSjAUzURMxS4ZeyFB+/Ptkr1iQ+su0A8tQywdM2
4sUfpTQC0mc1JlE5kslHaX4YQvFD6JWV5+G9xOsGubVZytUeQel0K3w97Ehq+zPGoKbl0lqUWxtY
+4Z0hud0SLepIe5zB/MZUbJpgaPmaL9P/9zXgwi6zJ8/h/pdjVJxqOyUXBTkVdG+j817SNuAj7+f
/omv9zuKNQlgnmNZ6Au00gaz+K604dHw3Ccplxf2OtLYOf8eHxRrEqOsHFYnqhLJlpPrWAr3nIfX
hU5uotRs0AKu3VjegowJnfai4Ha/d36WpoKsAZ+DHqxi9VIvnSznvnQSqbDCgJqS+J0NIX1dp+XP
XhTfKm9hvs+cnXB3+rOvFBwSFQSVrW150UWt7obUsPl/UN5WQjIc5W7X8yeae1WnB7LVT/fe3JSY
RJkqhgdS8TRvC2qfXstZ0uzDipT506XP9J05iS8ZJlEGBJDG9nH6SszgHunKoanzfabr16a38A0z
c8qcbLFqtNwwoLkXGgbMnfWhuEJth8wgzoWjCzlzn6uoDlDJJetBMBc+bWbdUsxJMJFCeA+5RXeZ
IIyGIRq4xkjfm1i9UoXh3szjXQZpcoUCReeM4zwUvrYQx2bGoTmJIf1omREWKtt/rbkXAuFHHys4
fUWr0502+2WToCFWBfk+KSCVsFbIF5fCa9f0i43Xji9JmWGDFXwSK/OmwyyFpKAmOA4yZ9mFXx/n
9Rfz3RxH6qdloujaDtZ3WtvAiqQbR1bhXY9+JmEV/hYxG9jIknGrV62/9qEiIIZida4R0t71chBc
g5b52x/3P391/8t9T2//9Zvlf/8X//wrzXq2u141+cf/vnhPr3/E7+V/jX/rf/6rP//Ofz+mMf+b
/id//A3K/ft3Nz+qH3/8wzZBsdPf1e9Ff/9e1lH1UTo1HP/L/99/+R/vH6U89tn7P//6ldZJNZbm
+mny19//6vD2z78kkUb9z8/l//0vx2/851/7NHH/wx7/z8P/Zln7V5H/8/fef5QVRUjqP1SVVBIS
oU0N8B/BsH3/179R/mGqoqSalqwZpjReLWK2UHn//EuW/4HiVeS8g+xMRnDBXyrT+u9/JWmSDsbZ
ghoy/r2//m/9/uih/9dj/5HU8W3qJ1X5z7++nBmAQqcjlzyVFvmIaLsa9JrhaCXRWhYWwsxc4ZOB
2fRlnORyK9otbnJ6XT5nmCPD79t+auu/v+Vz3cdi/m3cU/fJOteM8DdEc6JtoSrIBYQK/sKE/nKX
R8m0+ucZZYpZADKqFu0cP5oITV3Dc34woDbvrmQNkVDzft4nTFawBCa67Az8UGGS+3qJI9TCF8w1
/WSVSmt5kH2ZfKGam6BOBneLq2BqDgvXljNNP12mfMVshJZsVJtEST17MrIfp9tjnAxf9el0ZRIC
ePAo2iXA7lhrK+7Rwlywgf/SGilEyOamhrk4mgCSkrQnkfGWKw8EyxappNllZ2k3roQRQWTaJkTK
wAP9JR510pOg0WUL69iXS7SKuvfPwZFmmgm8QxTtTgu+Ye60ygLkoOFvBNVHkuAuTrfEXAtPlixS
RaXKIbHelpJXBalMt3TLOTMyzPHPP60WbiIUZVQy4w3xGT7ASu92sbkgX5iZN9OVyEXQXekilY5r
ZZspW2PAsQaeIXzAQt476fZ02xhzo2Qy86HIyMhkBtHWlHe9YyMd4T1ZIoJGFQstLb6IBBMZqLGR
UsR8orZzpfopDhOYCmMuRLlteySHeKgUjnNRJ9lOMIYbdqsbxGcbTyPBxBW2vppc4ZAGphgbOact
9p1orRs5goiK6Inz/YBqqHCtNV6nG6947vqXrK52XqfZTnYFl20lkDOqNd51LyY3I1vIzIddKkfr
sO6uWzgmrsntgYbVobyDCrCV3GprhMUFgWczyk94aCJDv70W6lcY+qSVvqWyuGp8xFgF7pDGWzcE
5IEE62HERKj3waCsgMssnD7nxskkBiZtoHnmEIh2nzzkxasaXEpAaU934MfT0hehm7Xrj0EYBE0R
1xFziMM0jqfAsasItNmYDlIG+64/9BUeDuotlOt1LcOESzTQhOam9T07w0RFU0iSB3OhFGjSqvoY
WgkZol68wSsJokWzMNC+3Ccz1SdRFOw22s2C8dw02baVv4VQeYr+VQJRnBbfsJAeaZILbaKN3/5F
mxiTrT/TEsixUIm2YjovfUBqlXmrl8V6tMUZLNJQo3c4pEwt7abSq3hVidIGqplN+iOaP+jIPENE
tfjiRpG78iDpuwz4QtJ42BkzLguSfVAXOPFattQ1jiYkPSM4Do6WgmBd/a4xtuANXUqlvNay3xKF
FHAhUV6ugpDbxrBeJyhe5Y4sOt1cu+JDKz2n6RU5qmRDPZrhe8q7G4iT9ekxMhMAjTHGfIpTJMnX
8HhoexnASYDMEy+J0yV/vKN+1dLTCA54nYxSiW51tbWHuUMNcFfstkgOV1BBOwE5bMG6T+KF9Gr2
MBhCJPbqRq77NQmp2Aa+dIbPH2ksLxISvDtI0Otago0m4yxwupZz3z9ZAPQ0UHIcO3qbPfAeyedV
IPw6XfLMAmZMVgALPxUnS2SWFuAOlrIVYCEob3G+59JmYX8wEzyM8aM+dR4mvAF8TxaZSmDFfm7a
H4rwfrr2c+0yif2oY5qwREBpW9Yqb/a9trDgzrXKJN5lEYyITKJcnTDi1PVKKjt08QcTH1a1eDhd
+bl2mcQ9PUrQqJf8CPaEqX4d5L/0YOFmcq5dJrEq1VvcAFwscbwCw6B9tfR0ps7EJX0Sl3IrNw0R
ywk7gxgVB8UFzNwtmRpQ+UnbCsyD4X8vSpJsiic/OGBFvcbf7rGtqo2RuWtfKDf4Ca0FTDXbMaGp
8XdWqaHQGzETxc51lF0z5BdCDPg/lLCi1w9+fVv63V1jXMs8wZTxj1JNcCo5kD2XVdnBBzAk7oC3
qm6wsKebaTx9EmyExsAx1zHYFBUYN+a7wlp63JwreRJr9AwFrO/H4yHlPugxYl66dJgZr/okPpD9
GsWqpKPZLCvyP8Kd2HhbT7/rMHk0InFzesDOVX8SK3I8lwVcCQmVHjm6h0JdmAhztR9/71OAqGMf
jmbGBiD05dXgXg7By9D/7iH6hrF0XgTVJ5FCVVNsMrCxtCP3V82LDV4m5zXKNFTwotHKqNZxLt+i
8MaV/XS5M9FBn0SHtvMkw3DkAc4YqZASjgmJdyO4CzF5risnAULRYAwrPs1BRj9w2VHvtdAeM/XW
JhHCDUUnxblxsFPnoSyFleqwC2/ThVaZGSraZG6KouqqRV+w2bfI1IB4gW2H6q/xcFrJ7dtZLa9N
ZinE8rg2uvE3Cp5cn4ywhLimL3zATMNrk5nqp1FR43RC8ySbnDm6dMafK3cyN72hiSszptz6R0Su
/9L2aK7Y8c8/Tc2sMgUQG9pgt+Leg7AzbE638Vy5k+nYWaQCFxHVHW3TWnI19YWVb274TaajIGeZ
Vo8Fu+5NI95JnMGUhbvVuTpPZmRU99zFw0q3kwwqz8ZL789ri8lchOGArefYdRbnmmGvaQszcaa+
0xwJNx4sEgjH+noXxn1ab8+q7jQ1QrY4h+QY3BOtr3xlDQnvvHIn0y7M2SQCPickuXed8pq37+eV
O5lxVZj5jm4RkLDe6cIrLyjObN/JlBO7Nud5kBhqdlgVbLzwzIYY+/PTnIMGAoCwUQdb1R/k4aFa
OsCODfnFSUedzDnPh/xmVDREkN3pYXVXAxPtWpxMCvNAhtmZrTKZgG7lYY4I9NP2SCDqhWPaLelj
5sbzZP5lDcgKYHyiDU+06g9dd95aqE7mX+z5If9TGNDRHteUwDpvokxzOGoB3U6uUm7PoaHGVuC8
/ek0VUMZpFxQQuJFGx8TdeeceWiYJmi0VSzVQ2516HM3GoAfYWFEzFycTJMyTC9JzTylHQbrR1v8
VuvoAtTyWnHKjVU8qi6s/+r2rLk+TdIAECo5TWEMnJO5SqofpeTn6YLHOf3F3FEmczLO28yoMuak
iMBVFsULuWcZWHqSnBnZ09yMEDQgWePs9TpZxwBIXXuvp6s9V/BkMgYKEJHEoOmbYqsbe6fenVfu
ZCrCmsOupzPZnBrmapBv/HMrPJmLvSLDcK8oWMVePj7U9YJgaaYhpnkWPCXHgeHRf4lnRzX8sT5Y
GN0zI2OaWlGobqlYY/SwMGYyONjW8m0CZf10Q38or78YeNPMCdGQW9ccN2BS8AoL6dazorU3ksWS
lSRhaKE9pWR6g6lfw95a9QZwcuk+wqZb3SmY2ku9uPd9d6k2Yzd8VZvJWurXfiooBbWBdbF2wD7D
hVt10rGuQK4zM6rAX9fGPW5aq9PfP9dvkzW2gecMeS7qbSfybnMEhMVC0J/rtvEHPy2yHWR6L4v4
EoyjAqx7UudmZEedrvVc4cqfhaM2w9RrHG0VSJqcdBpTfPCBE54uXR5n2Ve9MJnVePcqRVnInS0X
3KU0HUnI7i7Rawgor5jWbQRyd1xZOMpjJoEkr2It2GSY9bTQACBvrTRZ3uHDc50mwiYKMNEzxGMF
OeR09ea6bBIbBl0q4XUwhT2R1PHg0OEzeV7Jk+DQkUUcsVkh6uBjmh6AMp8ud6a7pmkXKg6DQHIo
1wclApFQBWiIzchCe3xM1S+6a5pUkQdFn+hjTGtL2N0gQcJ+jeQL7Av0OXm46ALltxW8iI21DZqf
ifGoyhcwjrHh0zdJ/ha1qg0OqM9e1CHelmW40ePwIsMzM8CVy4oUVP7PmnB/ui3GmfxVZSe78EIM
SqtsEUFn+HyE/l1JungsVWtVUs7rxQ817aeZx3NPnZdkb9vY8kLr+91X58X4aYZEpGkZbIakt8Ht
9xxMzjxaT7MeBikN8TLh1g5G5lqIEcnpxXlb/Q8p+qe28KMMqH1Aa4NR1MJ10iz04swc/BDJfSpX
kbShgEFHADLgoJt4i0dnXqR9yJ4+FZ1HsSmp5NmiyF8Nxap+OT3u5mo8mdtWowol1oS9DZlVvnWL
7VnFTnMVSFaJeslUexv3HO367GIn11D4MOEDkDud3TwOfvMzi8pfp+s7E4qmOQiZhi9zAVyCDds+
EL53pr91lOi8g8M0vwAnCF9DhtbbeBbxZlict8mcCv+bnq0xQNPeBtfBBW5+Zm2nK7RTuWOuESCX
S+2edIXTDTwzzqaaffxX/KxQGRCJdwvE6hVSztIjnTazOxLlP5f9Qlf+nnVOma6l5rvF0qxV6zx1
dvpwEIZ+5ZbunRgUK6HQVlqqQn+1tp75XjrJuhr9Jp0HQch2aWpbJtgFad3zwCE/hsWLjnlNj7NA
GYCMTRMcmHJUrB3Zd7/aQjhoUr83nb1W31ftUTf3mYXRAfQebhq3kYQbQKGu+1yByrONK2yRBvyS
xQKKoQR74akQv53XuJOlH+VrXEAV7W1o5qW+dorN6XK/Ts2BLjOJDobl+3nvip3toqvRjQfXc9eh
JO7i9psj3In+WxS9C/FD3r5ozStmiGcNFnMq8Pc6sSK1jpO2KWyTZI974unv+XoQmlMtf+i3Inbn
AjcOP5p035+3mphTgb5hdaDBtLHY31p6rJuF7dHXWwJzKrpnxZP6aOxVB+saNnPRgKvGL6c973Gf
w8yf00YBEaObWBXwYvCs6CtfXbgK/vq+y5xK6/HWSnRI9x1P25iCQbFqEE+owb2GF1y8tBmf60rl
z8pbUaWwA+cSUGouXOij2cKQ/3ohQAz6Z7mAy8qmQApth7jhkkQFpAUn2qXHpblaTyZq2Js1GGFq
nSLgSA/tEsTi48bi37ePpjWZqE6UoSmrajZ3ziVuUHdyf3RbdeOQLes9eYixBrXdiI22i9Lg1pck
mJ7XkiVA6YSmU+Z7zSv2mtofEx4uFRcGAgwrMTXuJEHbCAKnlAwA63ud7Qv/UcRAOJHKdcsDEATG
TUTO2en5KX2sXV98x1TTqDZSY8oKp/q41ME7tts6U7GN1NZt/gZlb51yv+S6Cs/DcCdFcwuuejV0
3ibsDk0Ec702DuRIrcriuslaJGnJxlRHk99oH7Kwgx+WxQExj4tKTd0oSLcyObnUk8tOU0EPE7DD
CMPEp059U6BuBeE3IxMeVKnZaXJ8k4Y/xerZgP5VIuGGBb7SBX2nJMU2afxVr/4avUM8AUWLvqvS
W897iYIdNJkrqRk2HYAsUzskyO6b4a6JqGSVrlJ4tYUmrUzzScniTYElZzQyy79HibwuRaDKBR4K
crGGgrjqjHJtmvDP4yc42UYqkwpsXGhhsMLlZtNCZBVh/Jvr2FW3WBxd6+azqVyGqbXqe2tj9dbW
aMHWm2svEEEa6OtOF7aFLK3S+Leoa1sveFWq8LZU6rWSL2XrzQz5D/ngp33roAJJxwCaexpcZwKs
fpbGytencdOYzCUelc3IaNlrZ9ljal6abynY65WJwH7YZYBqw4OTHk6Py5mgYExml6+5HopCTpJO
dGxqeIcQ3fPFl8mZeDnVdjSSAH7M5ENEQVrpxQ+MDfz+d6RcZtFjROpcDYv8roL6ZRm/Svchzdpj
VD4I4S7W2lUOrbDRi7WWA4RWrzg07c0ofxDreu/hV98a+DVk2HSZ9+Cpn71iF0XgPUt9R/44ANZy
JVjbOAsv0KC1yOvqrZzkiNPajSofveDZN+4S96Iy8Fxc0h3ODIipzAMkbOf0gsiAwOPJEXgFvzvd
S3MFj+37aaQ5QCiLVqAdY2vt97dF83i63Jnen8qhB0+X/Hy8WDHLy6A4dsFe6Ba0ul9f0ZtTGTPy
8FwD1cZ5JlSRCr6BZF8nlYRDVrBriNi9nh9b09+c/pCZDcU0A8dRyDdpnb4DWXirlY9FeKXq5apq
Fj5mrvjJfsIEsjvA3Ge/4ndw7/xt1r+WuIvp5Led/oCZmTKVNpd1Azpw3LGIia0m2FCZB6fEufeo
hwvfMDOGzMm2QsbKkxwXFmiOakq9i9rt6ZrPlTvZVmA4HylhRrmhtsMvHsO288qdBMFWkWtN0bnx
1MNDJ66xpzhd7lxfTiJekmWFlBRub3OhujGKBPl0vC7V25p7tIXOnBn7U6ltIdSNCm+b67n8Ocpf
VeG6CNuVIpa88+AP04+C46WNxUzzT3WsqR7WgNe5ouqqZC3XJv6jznlRx5hEnbrP00T1yt6GD+P6
drD02jgz1o2xZz5FMynE4wPbto4ntfJKavtDmvrrvJZoneiIl+hCTFDGEfjFjmsqRNVTH/9qmehm
KJeJQJ6Kgl9Ivh7E2yGt8G5ILzLrZ9XfCmjpTR8ISwc/7kZr2lWbD/ipYdPQ75xCwvs737SCf1H4
1rrLhscsf0rU6mIAPGAm7yGoaZNUeL/Y4U9n6ubu9ECdueU1pypXUMeJYhbMrKT6FmHFkXfNOqg5
Y8fNNvF+Bvgtd7q8SnlkyLO7zLmJdMwYfxZZsc5Z6oIY1fGAK1KYk4jJDYFlbZpgV+EmUHp3Uvgc
9xtg3QutPbOUGJPw0nUCDgX4jNhquGmrTQOw+KxLWHOqRDQ9CSOrcZFyi591V2+wLViYpzNzR5+E
daciL87LxwFi/krSW6H9frrnpBkJOA5Pfw7xoRK9erA44BY8lshFunKL+7B9jaWbAt+AVe++jhZH
8N/vtFVRaxtDPUbZs+S+KjmeAhis5Fx24BFzocKFc/vfbc/YDL5Fbb4mawCZ2nepTTe45Zb5RYCf
gypgDmE0a7nSto0Bs86VoJKTWALX0Rnd42y818T4XsquNFyIkytxuIrwcujfq2Kf4UAvfNfDB3+4
FcrS30WYFImoz0WhvzIl994oTEZ6IWHnHHK+Oxb69769Afa50czXqrgs9I3bvCRR7q8dz9oOWYl5
1G+julexOqu8q0FvV57KAUVF8Y6TmmJsFNVaATy58ioRKdyj0WNqeyu3j3l7P9T1pnZvxeRhgJLt
HCBghwnuDJdZftODQVdtXTkOGFV6g7sxPDvIg5XV3oQy9PLiKVTtTHkrMaTSJZjUzoUfNBuzxBK1
3YqqcYODwktP0pOnY++Hj7hwR9XV+u10z8+NqMksaFylzVORjRqJJUF17QtnzoHJIqvGuE6lHeW2
MskoV8NSKP54U/4iRk41oUDuHA8DKQoWHcDyESQVa+M5d24sYEL3FEkbJfwWvHx3dtpwKRjfBe2X
Ew6rwTxY5ovuv2tdfJ8V0Z2GGxI+trg6SkGx0zidYqGuKucJo0x9smhj3tZmvoQKA1vdlWbYorsw
Vc2v14iptjQffAUoP98/YHVCMPTyi6Z7AsfWiBs8Pc4LNFONKWauYV2UFft3zGF7EqbP2yNNdaWm
niSqkY1KgfAyMDZRszk9jGfunc2ppjSM9ORfApuG7FTo9VjX/fCancySgj3FppYwf/mlGL/y/pjh
uDuU9aZNj3ECoKbYGx35smW9NrCb8xtQ78PPor/mSiMyMRXMRbKaNmpyLYA/1skg2lby6IQUbX35
N94T+wSqvJkd6iS5zgpnFUlHKHlrxxx2rt8A538qixtcXKv6ynBvNOVa03aWpp3ZU5MlwdKFXood
zvR5fh9KlwYXGKebdCYyaOOff9r04NosharLCJbkrf6r9hc2CXPFTgIOXk2KEI93EKJQrDz9m8PN
1XkVnoSc3owyASsrHkt+CXiudUaxIHqd2Sl8JKh9aomk7lyxhdNrlyakS07Knv7YYNRyutpf40lU
82NIfyreSzxF9DSVoyCWnIVn2CoUrnUkytxKVTtXeTd5wMQZpsSrQ1nFYcR2RYxXfh5cV5nM0iy8
Gon/DkPlvNg9Fc0OSNdjkhx66NfVmwLmS307/akzfT+VzbqtE2Ko1A4o17GV38hLW7m5cif7fteU
/UwpKLdmO+ttvPfzqjvZ9vsCz1WYAw62rL8U4vFMUbKpTqZsqsR6LqRUN8Y81dzVi28f4+Lyxdo4
xX03YlBnXk2FK7BHhjGsLP3JjJVVllyGRrNym99Jz8Gi2gQ5bs3eHReZ60Alc7S7T8xfXqCR1tuT
7yvfpAFZKNG3rG8eWtIowdlvWGWcmIw+wI+mtBKrdF8iemu+DfL1kN66+UUU7WvpApORtVLdtOU3
xRUP53XEJGYEMkZgOT4ltvqqZMe8PS8UjSyJzxGu7Ltg8AeaS4Df31yI5cL8mTkufiSOfZ7QjRJI
laTwjq/eAHzFyDflfsQLeNYxccf1zpxNky2G28IYJBmPsISDYmNUu9J4PKu9p6rdFHNcMTPG+dTt
63JjnPnKNVXtCqnjDqlJuZJ4WX9rl/IdZtp7KtrtFKV2B6NB3V486uT2JilvpE+Ydqflw3kNMokE
CsYSOlhd7gar+KouuYKtF7ZzM2vLVK2LwYhkaTJ115XveTKsZOWyMK2FpWUmLk4Vu4qWqGY5Fj5o
27rfleJCuXOVnsxHOVPdCndp4njwXbd+RzynFIa3Pa+tJ7PSd1Ktw96ODQ3Z2A4mTguVnmuMyfWc
Aak+MFJUDxW+oPskuzivupNZ2Fl9hM8P1TWcH650qbrnvY9P1bqDUBSAy2piXsRF3LbOz6vvVKtr
4hWiVmJI0JM2crnSogUx6UzzTkW6PZ44JehhbpwvnNvm6azGnSLN/VrD+k+n0Oay2C4BP+ZqOo7q
T+G5tVRriPBxHmvKtc/pmn7ce3+x9k4Z5U6ZcAaQus6G8LYOQhOFSaz/bKV6narlMYrLdeLYlS7t
gkhZh0BoIESyq3N5RbzF/UtalZi3ppwwgjsBsVqSXOXJc5x9i1R33ybuxtewu3TbX4jltjmQCAOj
dUw/1xoGx+tIkY8lyAPNfzL924CMk+KgNdcK/uk8lcrNRY3plFG8RE1+iBWup4PvKETwpByUQ4jf
5CrUMZUSSY1Zd5i4CW52wNH40KTl0cOIXuv6DEO261ZOjmZ1UTn3XceFiu25+zKSL+SyLldSJyN1
1Vy8fAX8D/3boU1tX9j2eruXWVFwhmtXajwcrLQ9WFZyobrSBY/nu6S1Hi1f11aZ5+rYikfnHQdG
YNXnbk4x1jWcNuWpCGfddJWpC3FkJvhN1VO5yCjv8Ku1/eqylL/pmABW4pmihKl8ynJrP0sUZmem
vdXyQx8/nh6ec5WeBL8yC8WgigayK/pdY0pbtf5WMKhOFz4zoabKpDIu2h5vRpYZ8hiDja8uPHx8
XWnAXn/2YBH3RdZItLTXXLATX8XxbtxFna70h9b23ycsYPxJ6T7oRwBKrDMdnlyKtKkSi0j7XHgp
Fl3Nuqg7PEfdTRzLm9r8LejfMnSvYelcqE1zp6pLnJOvW8+YKpYC05WqALdVWzS/CelzfN6exZhK
lnzRlywXtYMtZ8+leaPU/4ez61quVNe2P3RVBSLqlbhy8HJ+odzutsggBAj4+jvWftp7nbZd5VN1
Qtfug7GQpmYY4Wdfm95c/vogpwrugiizI/4w//r6a/x9EeA3+9+P0WhMg+tWhqFQxPfzN/vnmp39
7xd2/+EO/CvQm7JlYhjTeessLDDR015giFwSuEF+x9f8JPO89UOw+sQQSoCaYSR2VEMGSbOmoES2
n8n7cn7+0drcQvMzwEphFIwFL9di/8MZxS0gv9AT2yyuGFAIPTwI/Jv/LFX+p8vxr0UnUrNsE334
bW72YWXctSBXfL0Ofw8H7i1oXgyqmzQwkGHovB4mEyMkwPLz7ygKn+zAW+Q88H100ge8dy0Byrlo
YKH97LWvP/BfC0KdBQ7tE6Jj7rwKspzdcvAgevWdp9Fn731zHKtESFVn2B1iOcr50H6H6bkG2b8c
nlv4PJmbqSAJZqkJfDYgrHwdCvkFWDRVUvhE04KOZmH3Hf/7E3Srewup50Oz2KPEVNhI46VlQd+8
Tui0WdoUq1LGZjX6kJIM2w7GXC6mMsOpSIKvP9BnK3iTwRt2o5TMEHuKO4xsvskH/2F2/mX9blH3
XQ6QGWsRfGqXb+EU3ReNN7jWsUZHPSkzOJx2q9q0wha50wxDM00j6FTDCBaok7qOZ3h9V/oLnuCr
Oi7cx0o7Ls2m4OArj4+5O6w5WCkJEISJPv5S41shL4Vcact6EGM0Oa7fsd/E+U5a8u9mgKZ7a0KQ
V8ZcGxYc6w0dvZ6NCcR401awFiKeNtRboHDMYj0XR7AXKqn7Uj9n9O7r7/NJkL3lA+SpBcpzjmqz
SvcDv9phriV9KtlWuT+cq96yAmbLtXvsA0BCHpe778wUPtlXt5yArstlWRrutC0LfEsnHOfvzjzF
v/56PJ1bwLCpgLkpmxrZrTV6/eDT5petdlx7duW7ArqwMlZ8PBYt82vnbUw5hu4bYEigCdpB69bx
xnGV8p3bTtAqe1LOk2tvlP6MHevBtDN2dZhnEHAZIbfGtJMud46xNvB/GU51AkS95Q9GFy/NEBMA
/Bp7BX3XlYQYWp/CLTTdwPV1MpNNy9qt3r07DE6obQHXW91LJmitmH8aS66pc08699D0QFGaB7TY
Q9dy40lrY5pBBaLJgrGZ75aJBkULx7aT0mu0Hm2YpCeBRhK/I6vEQWllt+B/u95g1PuGwdZUyRAj
Zx9U+aDL7yo0Jqql9Seol42QpE9bLbLIY93+aR0dA238icWKOX7pliFNLpDiT0q6TeC5PRmnZdkB
2OzXIoBcq+eQPay04Erqp8rw+/FjJjuaZn6jr8ycR/CQxmoqr4EnjUj+aOpNTa5nOsB86vlHiyWy
x8HngwqJdmDVSlN52IlmVUBE37s6qbdw0hpnbT0tMp41SBqSP7CWP82IuqL+ENqm6OXKcF/VFXmb
NWjhRhZmaTl9qtotU38ybS2zR9rAxLZq0WhMg5kcJneMZW49yuSuAIa/66o7qwL5FweYYZTNVQQ9
hEAVdmANH6ppg7pvwVmksWadWD54mXEQMMQlCEuemiOds6jkWmA5nW8gGpGk83vW473fi3xvtnpM
XcNvwX7QpxaWrktgOhd0zdAx8uTkxsnc+0NW+gxzOkq3XVd4Y/HHEdnBXCCfBTanMg4LFBBdafnA
YnoGeyunGPjjQHV2vKS65wxViIsUaBCpBYKFZpibF4ueJLvn0/2Y78byNM7RhD/21/9tkaucpC8E
lCUf2uKA/6zxn+M9i4dwEREmpx0LfZjY5+ibw1UavfNYwsGDos4ex8MIHEqK+Z19qLqtoM/9LICq
QSCuP1z6Iot3Q766bjwmL3Pyog8fJf6Zo8cFpO8yp/LLkuxL2NqX+2R5Tegqt4ATrnw+nqby2JYH
Wq6RTvsEC6qzBNxloDGDRO2rag+zJ6XdsUzzrj7UghwSYClyeF1p8xF9nIgTsRIuD2T1POY17hcw
pZBddK9Vvq6Hbp+UM4QKp0ijddQLgCtAekkJW7n1tKrMIwDBfk8O1rhXdu/3fagqUKqrN9e6r+cG
zjJlMHfD/QTpMoqeBFTy9siTwl4/VhwvLDfdQvyqeFqatdVP0ci3Q0MDmwsvszZdPXomNikpmDch
6hDYQ7PrYFZEFIHIAdcvh1+8WQCSjSVXeeENkqE1AoDJMvnwJA6EG8OT08twptJy2LPsZJlHRztV
LnDZAQDpmInpQwrthDenO+t02nGT3k0lUCiG6ZHiMUdfFdbzpMZsF3W6W1+KPluxjgSQjwghkFoT
zIeBwi2Hu6r93U3FyXYtWJk3XmLksWHcwbHeK4vOawhEQjAgmaQBpDls1GF0UlVDwNQ9Y7PXSjN0
xIvdFWC2An/ecthhTQ8lmikDzKZz/QJdXs8yldexh0ECA4Wz53IzYOnkO+6hwAqw6i2zALwRjp+3
1Qozfp9A6WMAmdmwdvBuDpruwdSBy5PZairXFnjnzhiAbwCgVRF0xiOzLwl9HLLuQCE9ycF3ZIB1
UKONAK0PW/nKR/RdavncadMvHYg+h5H9JHEJ1Et51c70G7vykm5Y5Vrpc6Nfd6iYxgIcBK19gX2S
V07C0wCSGEoraN2rdlMRmfJ+FjVcgZNomoegW7LAqa0on9ew6t22ZZTyqCdoEdtxPV1gzuWPeVgP
21I+K/M4iEebgsB/JvUTWqgE/oxIePA3JlZ5Bnmt07PCDoJHPMq3q2Rs5eWA1BfGUceOocOFN5jJ
Ux7ZY5x2oQt/HYVG1WOeXUwclrTuMarfJJRtMRzza5YHdvE6Ne0GwZqBc0aMFB06DfhrPWy1u1Gn
cY6bbzQeDOcOLs+zVgalAvNMPDUJuJ6swE+C4dC+qZsQvjNoq6WhQ6f7zHitu41O0K5NYSJM0I0D
vQwoLSjQEvUq298WXcMxqTbbdWOdW/6uLxInYgcRnVUuVn35S+83OV6p4RuApdb22CMj3I4W9ZL8
Xs0xGYdgTh6BINIbPWAm9do20hxgr7L3CSQ7ps6WDLi8MPHcuVE1Hcm4GWi27vs7NHtwhZazel9M
3Ru7PKSExOWCXfRi128StVSqd2jSOZsRITZvIaiQr2kOVvW+rnWoKsC1h3cr3sxe1UTlfGiG3BM1
ohfMlPSTXjRxDTVYIZcocXJP5zzMrBPIgOuSH+D5FZZypcgfGxqGAO1oDU6/jsZn56NNiMrIgkIf
B8Gvrme/rZh3jTdLA1s32d8PuOTluSqimR9heDUVuxQ0SyeLNSPGZQzsmF9krZeVgaa/adpqolvL
fFiGo24+6uXJKAeMx86CAMAFAvNgegk9jq4b6ZhBQQcjx3Wo0qeeB129wigJog532fhAcPd1LpTU
+xb6x0uH5i1+BqgfrOaw+waWOifbrn/jI8HBND01dms6JEEOYBm87keGhGxcOc2wd0vpdX3lmy7y
gkUcaZeU2NCHssIcAllLVRQB5IV93q8Rng9Oux0QnZq29TPO/ZTJmCjLp45CqgVZ1XoMKajxQ3th
hEfFuM+VjBmM52198FgWgUd2StG8SiXasxj7ZumHNu8Luq2aP5CKJPqpTDf9cEkqWBuKl35JQi5P
mUAMnvZtBjNcSOIuXeAaMHqXsDJ6kdVTTqNCQW5uiAbwa+A46zWwEXKHPHKg1dIoDQH8o8tXICr5
WZ1hEzmBRA0D45h2emLsvnRWS38Q1tVK3IpLePiw6qC36lBw4LQgDDSRbCegKdYDb08y3C/25KAy
+gPmcjw18q4Vwm9h5ZQtZZyO7Xs/iRXcCB380gnr/CYRu0opKOOekRwiFLgR0DZ2+UarxsuyLJh7
EshGRjq9B/rHq3kBF6bdaP2i+rpKrutqnGRCvRFnSPbF1WoxsFFhZCS28xF60nGttVFdvC+43ypk
LwtyesNFDwKb2ECGLYw0UoUV0PkXwQVnQw146A4zf2uQTGtQqHDS1YJVrgUcdK3lOFhaWJvm9QCw
dFhxyfY9iE6G9dvpZFQ4bsgJWGFJve5nzTM65gvsm7xtVqX+OtVtYJc9EgFf3+u94SUWDbs+i/TM
Dke56uB8N5UgE5KrFsamGPaFPVxy+8M2T4l9V1QnJKC9lHHXqHAptowDXqILv8lXEInx7QG2B8uA
+A42SrUvdSsw8xTG99bebIpACuSGDV1V7ezJpYqbEhebKGMpQAezdByNxqcIz72JVRsoaFVmPFq/
FYPW34zBw+i0T4ZzMKaHdn5GzrAaNfUKMwj8eGPL9cIHLwXBTQG/9T63scatMEcrdrEP0+h4OkU6
P2AzIi1vxXjKqtKX9FwrGbhWi4PR+wQJ1WBPAGkrFARTrMOtrjKiZah3Y215czpB3kmcO6hVpp1+
Mi1cOWrwpCi21KhRCzghz7eZCBL0IljJfDm6vqggEmab6Ag3HluQ3XSuLzPHdzQYTyJbLPCACovS
ycAqosWZoCrdnubhKNo6agu5v/rHVG66AozcJ1C/cPFQB/gMeGtiaRcM+dyV0Ra7EYLfBpZ5IcuO
1cCPmdZLiYDaQV5HR1K00I+ruZydOB5rqrVUa2sqfQEG0cSQ4UOIhlplaFTTXbGouMbhdJsRIiyD
NyKTn4r05OrTfukhvmFYmt/Xv22nOdJs2zVv0khC26W4vFRgz3LlSKD004NswHFyt21BPIhQh1DS
Q20LnlsTQ9rYSz7GJIM96+NgMxjy1RHky7cG2+D3KPWn1ErjdI5g4moYU5hAdmg0YrhI/clHSOWw
OiycKUh50F4Z07tB9VEzR71zdAy8OFh9tQJQfRgOcI4JbZiK0Tnu0QNqNNeDEl80ZfTctdVO9ABE
doCwuigc24DaKYZjDz1KRG4/8rTxBcDxyBxznoQub8JscUBXVevRFR8OtME91SO0OYPct+0F6i2e
Tc9Dk/2qzPQ0I9KABVmLOFsyH/CFqoIu8rSrYSEF6Rzh6YjaGUy31xWEZWCvc2Du1gJPDAI7sGmt
wdlqgE52V0l7J7u94jai43PGfkGYr/VaCHkWGQypMlRAWQ8IP6I4NIGNQT8oF32epeO+LqZI15qg
6Iy9gsaAoxsBzlbcLg812JIcF6+lLpBRDFsXUuVJc6+s6V6DfjfMrH0MfUBsjKUelyZ+4EK8Ypp3
jKhwVE4ErwgABfxBJaFIB8/O73VeBg5l/jyjnkAhqfLFVziCE2w8h+XRkUgJKtOvbHvFch0XOnyY
a4AgK4TKoof2fjedmIHbVdf7QFjJ49IVfmWlh8VkAdXWWlGcmPhwhemZIHBKYwoW0JMXYM2nyfR7
FAuzKw/mfL8Yx1ol26WnIW1xHq0tS84LivI07eOEoQrmIqC96cNnJq5TB/YT465tzA8TqvRQ6RfN
qTcipz5wfQNNaI/pLzR7HNPzyFKP9TvELaDZu2wvcrQ1xAAkdGRDWt/W5nuS5n6SUL9oyhPGXMgf
Wg9j3tie2dnI01Uys3Vf8L1Zqcji9HeBDNUe051yHudRYFqFjIFVaMEsXtYZEasyvwY1ti4QPGwS
GyzdaIBiyXFGQY4GA3TbIA5NPcOAAg+MKlvUEhjyRnZCtol9MFBpSAfDZHU/OAv8aVD2O4sRc2M/
2iDgXrXsm8krYSxIWeNZbuvDJNejpn7MSLpXGBkrLTBBBSPIdCoOjhINCIXRwGy/Tu4HK9OtkIWn
Z7/6OnvAVOaIrgjEG/RNneKGKwfn4JrdvewTOKVBMN8+uU1zbNNzPt1dC1O/QjKc9Yafq31ZY8Ds
0L2tZt+Fa2eG0DO3W253hzbBNbC8QRbRd2rDozUJF/c1R09R4RShbwQ8bpliRD4uXokJcf3alKCt
Xzs56V3fveVo19imicysDAT/gPsF+lrclzhrEkL1s/E2ARhJMfW12XvipBd3xA6eY2twV/aAUkUY
u7QwgtaGoc2VStOFaWXFFQs7vJmjPhrHhlOks7LaAzqOvo5PDynxmLurtHY8uxx9RrLIRuvNHE0U
+DgTsAXoXXC0p2vgWRtcrqBWZPVPid0hyH7AEBoNmS7KE36oyLjiSFpLA/WEXgCBnPs0Kz8m2BgD
mg7zgfO1LaLjHlNmf8npyhUHDN3AgoG0Wf0nE29MJttM62Nd4N7R55NIq9ApP8gSW5UV0WRdukY8
pcxPly7WsGtzA/nnZK0sZA+ojXVjCdN5QczTjLVwXNS1TZBXfFWV46lmr7U+HBp0oyzL8Ab4KOZc
Oyx4tR70Vgkrhsx5rpaN5jyNgOhw8qeZT2hrzO7FCopQZb876u4YukKFc5gliwrkVLUqwPJ+pdZb
lWwUOu3dSvV1LM1IgotMin2BTG6Uz3m9btDEMIfQ0vZJ1ns9YLEq/VVDSDlPba/FYeoymNstHxMS
lgXV5QQxbliaFroKBRrEOUSVLNCd0F8DbFsdK0WeOghbDkV9yBGnRQnzhKpcpwKMFrZ4eg44Wnuu
xykoMsNrUJcuUwCfxyv2e8dHd+ekxqpCClfZ3GPTa9UPWy05tlkGJv6x4W5AxBD07M2UJlSzsn2O
0YWG9+WajdUf171ZHIklkBl/VO7o98kYjgLZXyNhVD0GI8/g65OgXfmQLMmKubGLGZcNV5/MKbdV
99jWic8W5FaNtR1cUGo0dHL7ax1p7UU6b5j0wQvwOwfYdLvySQloiaz8GTh1Vpi7dkIQZ7AzTGXY
NBNaTTrID8qvkBVMwkTHDkBUGK6IERtQ6OC9gKmMzKlrYDNWPzr8Kk2fH/nshDBs87nNAkskQdUq
/NUhSHPhp1TtlIuNUhU7Ph8mWt7lYjp1Uw2mPYJYTiJTz+KxSdAHALe/VqsCoapzXh278ATwLya2
C9WQhpAMT0PcsJ968LJ0op+FyR4tqLqgO/EAlq4Prfe9WNhDUau1KfV9b477OZliCSiths42Jeuq
hOw+GpDXv56bBNl4HTpT7pUjWeM6pHOXosZEOsbHfT//mu7c3tj2ff9CFaAoFFXokKiI0wQt3cYC
H5hc0gEttg54NB3NESulJ61zkf12Cy54aDI4Y7ZSc/eusTau6BIIDZS9ytxUOgn7xiKxql6XxNxa
gBvMFqxLipBmBQcDCuR/jQdz8zJJgKLFfKCJHtTjroFIx/RiOJNXJPcWf+Yd2wxtsYW23UsKo2nC
YFi5zL6V44DYT+4Iuxv9Q4xPAv4cZuqEC4GJTp+EadGGFVVH2ZWT59jpHYoSoAOCsUahzp7T3t2o
tH6bFKC7drOfhbXWiw6KEhosY3Onx0gKcygUQgqBqMiBg1fYX3OoTOI7Ykd0tTM6rPF84fPOJccp
xydbyRT2qBp/yJ2wsZHmsx42BS60KmhjB6bVwcxl0XzRnS1ouA0k50iiLH9JDnciWz5aM267FlYq
BN03iTqDdX2kUPen7EHr7py8ORMhQlbQTS1n9K9FJCHrww2goaYLQ7oqBdt0LUVthh3mjgyCQa1n
Z69KXio0LhJGN1rvoLMpGq/vYETYLU1AzENerDlA29duXcS7ZkXp2VwOKbD4rlJBA5OG0ChFCTj1
ncVBYxnrN/fKbCyGKGUUQ7Ahuv4ZZjGRgVmVwH/3GBJc/3zliibNEi5IBpXuei1oan1WX+seqCXh
wdWgI0UsoSlpXvHYaw1yLYbY9UgY5JKeHTp4xErRS7U+pqSBuhCkaGTl+nYPTot9Ap0xKDDWKbaq
QhOmQyo9Gd1FNk48qc5TmDonkxbxAf0nduQZTB8Behk04ffzcIGVy1vLwD/oan+oXhOMXKcPq7t3
kvdlwDVJnKi32liYaAdD62NsfzvtvXA2FRtx58qwU/sprSM5ZKExHG2XRA7+erv8QXUcjla7gc9m
LJkZQOwVHArmIQHY9gN8pPaiy2M+v9bzOrVg41x5Vb1j9qPQZNgq3eOLFhB0DXItdDVwNXXqZ7YD
av6bxN5v0eLVMWOjDHl4g4bxDC6FDtSXnsYZ6Z6zkT62yipxHFWM1tdd5W5IuyocHqp+PVvLm4a0
s5t6CE2BAMnXiVolQqwGAmHPWovSDF2qYYgS3Yo0HIQZiz2kv6eifoNXOk5YGRBb4ar97c6T30zu
Y2ZAZpI5xcXNdV8vAKYnwJ8tOd1DECbihY7cejOqLa6NNTZ43HfautMRB4rxw0aUamS7WvR7DusS
G+8vsPpzNqDFmDjB7JpvfT8CKZedGbc9Y8QdbdVQ02rQQFqWelWPbhU4mhlMyxlGQbrP0O6bpjms
jWwH1ZYzPGN2ShY7115WaUbXCdFWWu2iqjN3aVafdQC5+l7GCWoC2JFGohhX5gjnEYwt9HLPjYdi
fmryd5a/5+qN4wrQoW1S7HrjrVFotfdHbh2UfR5Rs9XQCuboRKJhQkgZFst7Lp/Y/FQMHxPoVvV8
MMcVeviACWpuhA6qkVqhXYCmsL+Orzudg4J5wkBR72o84cTp2UVXhmlr0m8mdS66PW8PZrnX032m
77X5faJXPe8LtmEwtkU0EHKGKGiN0LRouV8mICYXan5OQeyUzmG0juX1BrwXaXE32yhIRRWWYvSx
GL+b5r2zohYG6rrEjTuFU8LCKfMRiVwouKQXG/muhSZ8nULjkwfCgLU3oCkQCNw4JgowcGWNjVEe
ruXlzE4FOXYDukf1niTG3WJ0OwtXGjcxClxBlhyjt1haoA0j+19Ollon1QdESgG32A3au074yjBw
oNQ+z0NJHqfsoZt8qm/QKqihGlWoq06N3FIrbg0WVM28QflfutfvvR0c40Cyg+yPlgnpEkx7MUzj
6F5uYbhcD67xki80BrtoWzavdGI7Y7gz5QQt5lqDGg17G5rhaMFpMGDjm6U99qkeodKKOMvgeAi7
qx4OpL8Q888LZyuTGPurPE45nN30qRoAbB8eSPZYYV7UX9w2yFt3Y6YbF6n5ynR+E3WxXup8TToZ
ytmMpXbQqyOo/Bhr+DJ2R8BNecgTCPZI436udL9EPFaJwL49GOV4zoqDI9MQAulxSZMXOz2niAia
BYEf5IgYGKDwczOvduJujXKmsk1/cC8DKdfEQP2j4Qe1cGa6B1Iy1AZ0Jcml5b8rXr0z0YTLyHaa
wbc2XXa0xehZSsMXDrC9EGAtkYezzA0thO9MRDaGj3BCydAFuBQoSc06j1QPC53eHcIuBW4pNQI6
PsAXEDrBEjPnrda/005FwE15FK2PEo0Mq9KCXieXqf0N+pWQ6GW0+Cd1/jCo5uIOF10j4df4ir/j
FJxbjTAz5bIbFICCpQxIjfn9N9pjnz33BpmUT1WD+w/PdWUk2L51foSMd25lwbQs0xprxnNzDDKH
lfZTwOQNRraGhRltXSDA5g5i0vhE3wDAPiH4ObeCYLwSxtRXBJeSYa/z7HUkY6jbOu5YTGSpGU+F
8HlJo4r9cZPpUqbSa9F/5awLOCjv9S+7KL55l0++ya2mF1j+Vplff0dhYTQVFD/71LeyPGOhbLdo
8Em06jBjlIUB+I/2pnvFBL2/3WU1h2ev/n/uYrMxqyowhvRgyMPsO8DP36Ghzq38TmZ0bpFQ8Jtx
2dRWFRvuAWW7l8CD++sX/0Sg2nGvKMZ/vXmm8Z6MGVFQMUW7TvjD0se8RY6N4fior51c8yYCD0LD
WKNi3GaWFZr0KZlLpKHHmmG2MiIOozOiJ81B68ZjX33D1Pj01a6b41+vVo7FoqUciOMKXW/YxYKr
voL2AG/bXTH8xgx6LYZV3T8A7WPa+xYS6jZULIhwIONQeCVqCFRCcAXcJdU9tX5G33Vu5X7wORo0
ExhkaqsAPWc4pX79JT7b8lcE1b9+W+FWg5QakK49RrMz/TP8TJf96jf9nwerpmucbsGDzZj0Hjx8
fva+N3BERxW6SZgNyUbqawbK0OBHz73V+HE6sxAq6/C6Mw040IcW2iA/e/QNlB6OeLReBjAR636r
lVE2/SzS3+r5pLATqPk4z1v9fXlqfn/9ssbf8YTO/6j5ZJQ41uwgHJtAZwHmMVpXNVq0T6Ylw+C6
PGaVgRQwOTNynVlDGKTDfFGVu9Z8wQiCkJ2ZbzJkE20OWyxqrjGJiAo45Yrldz1CVlZNh+t0PtNY
POrPWvI2ijtGtdgm9ykfAYja6IsN+WEcpkq/+/rXuq71/+JNHecm3jg0T3WKjv+2VJcZWiWqG+HF
INWL0Yq3rMWvmCbTz7borc7PXFiVXQpsJSc/Ll3kuI9f/w6fHNVbSR6jNodaNzNEe75r8mut8PVz
P4n2zk0IsM2hhdYm1mYkDQIxXBhJgsaSCwfw7wRi/9mTf1v/m2gw5pqhCQtnIKepv9Tnutlp5n0z
vvYlQ5cxwQB5PRo72eyc8rWWR1zrTf0kCAHQrfDQxUTruvQb8V6Nr4xcEucpoy+wV7dnNGzhqAEn
dHmdWhLI7HC0dpoyasQfA3NSOGHbtMV1/pAVj1YWAMvsuRjZ5CzWIb7kiNTvnT0dYkedNPQRtV9Z
frb0d7a8oPvsj+lRn06LffViO1UdO5BuO+WHrAHsoBEYMr626O/Yojvx2gAuEggefgc5Q7db4LHb
XCZTC9rqcUw2AvhstuHDN6zvTzDhjnMTCW2Qwvp8gCbRVZsDxSCATxjVQFtzntDotwF+ZL7FdThu
NEGLSthE853x9Efyc3CW/W94lxNriALRazuJPU9W6jso9Seb/FZzkTbcTAnwA9vhw71vv7nTPwtq
9k2iNGekcUcBuH49PlmwFwUUFO0xH6pbJgfzV6IdN3TRxPVAn21P0xY4TGMiwZ2gleu0WKPaV31s
lTOahlhsTDUci+55szxrmTwyswbawD67dRpAWTDW0VyeMnvNl1XFDT+tst2MfnJh7Cp4s2TGd8zu
z9bqeqD/dXf3ZqnqpdCRE2ygQKB+pkLj3MpojRLT7C7FY7MDpnHZd4opfyeoOLcaWlezgaKqsGMS
C2O53yBOrOzuh3fhrXlnJtXQCWjPbbMFGgxhlX+TqH720jexUScVGNctnpvyymcjOh0Ak6ifeSc6
t2pNGuw6Km2AaLn+junoz6qNW20lSWgtywlcEec5ubd/fX1HfLLVbnWVCptLMgKmc9UmkXkgf1hx
3Sop2Uo2ibquwPK8HL5T+vjkQrNuTns1QKfdTCrkckzEHQMeHRgkRwNMwu2Dn63HzdEzcwQUVRrT
tnkdgvrPzx56k6TkUGPWMhebrXsWToguzs8ee/2m/woTVZeh6G6QJwLFiDEXe/n6sZ+tsvHfx1KL
d0RRihLOGFYOAMAVb31HGrFRfifA+9mPuDl9BYW2pgskLnTlMZT4M9rnHEb1rPhGueiTVPdWuWjQ
8tQgeo/4OavdxEePlWrrop050xPIPD9L028FjPLSVPZUQDmXVoCZr1jPo68/wCdn8laIiApzHGap
g1P/yO/Jzzb2rQiRbTYY2GoYEVh6skZTH5z2r9/2k0hq3hxKO+GQ3rxWK1mxKgByQn7VpHX49cM/
W4qb40gZLIUrsB2v3Vo1rmfjh6txcyLbObfQGccSSxnNV7y49/X7frLzbqWIIGEgKPTDZljCARTc
Q7i+AGbuLOY8TMzlmx/yyekxbw+oXbi8z/FD0Ba94jowXzCB+jLkzy6aW4Egw4JfCJfQdLCFzDzb
1IMGcMOvF+izD3pTL3DL1YvBxQe1EqjBQfnhm6z5s+feJM0u9MSrecY7UytQ7ySPv37df6rjv9Q3
t5pAZq8sVjD1/9Sd2XLcSJamX6Wt7lHtcAAOYKy7L2IPBklxlUTdwKgN+77j6ecDK6uaDFKMYY/N
xaSlpZmSYnj4fvycfxkOAk7YiCZgBCZt8M8j1Fm14efkdyAe4RXVcDXGcqUNAgrXXoG5FHKhKGcl
OWiuT0o6AICheZTBNioMip7ptp/uzWycK/2HwJFLwJKzOqhRBPduaq6dUW3ziayssdVVtyJhtjSR
0PCy7zM7QosFUIVvE48s3BzOFYJ9w5QcTNEA1bytgXaHivo5arKp/UiJfq3zyvJJ9SlKLkGSbadk
2MumWjfo+znZSpvUeeKPezfix+0vi2Jqcz/p/iaAmdSlVzV6/p5540iQCamEj3qPgB3oghNRiGXP
8//WOB/lUqAK6zqxaY9ydwPX9rM33FvgjTQAlLlzm4+Mj/etj7StdI396DabJq7OxlpRwzizm5G6
fL9L7YvMQ7kcfKqJcvngUiovFp3zc85KxPlZZUMmkvl2liAZjHUMDMAXZ0AFt74JYYefjtOnMv4Z
yUeoDzAc7jIKh5m5m6g9D+1mMMGxTD7yhqu+TFchOO+w/5HD+0LCaGnW9SIBLGwPAzygnalHm5jq
xgQoKaFQb/3ENVr1B6N96BJ3mzr91gpIkoDQHr/n8nuEU8nQ7yNwGfqnJtloLrgbaralvqyK/SB/
k6Zf9qq9j+vsU6E1hzGmqNRRqYSkXBv5sgJS5oExiQ00YPvPYw1Sursagcz7KSMRXdrU5CCogZFC
BS1Edl9rb+qgBANm7pLAXA6jdpM3YD4fdX1ctDw2iyDfxFP8ecD/Owk/59OwzquDoTa5oFaPnmOr
VyubH/bp5wkr5N7qrzUY5KXJL8uwAyGriZUBYLwd5YJtUKhLdLAWQ7FTRbOo6utAOMssbNeG+SMp
z63RWkUqWxq9/iWrS2iKYNL5Vl1ofFfIuGM1tQtdVNf7rt2ICWdrOClpUN8MZTGjvwyrvhm7ZuXA
pGiltgK3sR3CK3DTdpqtEwTKbU1f9mG370Dh+3ayxFZyKrCdCKa9BsHKvMRgb5UAR3etGKMMZ6nz
FSyaLkGydD5QrLnAuJamtzK9aq979abrFUqn7pkO1dP1BjhV6Tqwm11Lra0Jg3UCWCGuhm2pfjed
twlDd5ehrSkD40fmA52GoOVToHVSsVahXGXJ7VgZs0TMUmlI+1bJZSJ/hvbVCJWBJOmSdAjQVBf/
vHTp2O2+CazlOPMOJw8w0dfELa6dCU0mKijWQoOPoGkXbtRcFBR+y2Gdml9H7Hen8NxG/q7d8RC6
Il/2yZn6c9290YNfgw9bUweSUIBst/LlYN6Jvj9z4y0ZJeqi3tYCb0HTi8HfUKVDg2PpgkEHFuTW
WDhc9LoALpYBwizXfTLdtQ6EoBLYqDAXGTNmZl+q4YtgJQKNGigSeJ23TL0cqFS6qH1tWY1okGD7
Mrn2wui/oHtch8EyHqCYpCBTp3TTG2cCmINqAuBsVC0L0L4JJIDHPDagFe7LyFgEtoFPIjJ/KczG
6jwchw0qUEgPrqP4Nk4dgAO/OsNZ4FCj12daBjmdPNHQMeGdWhroBRnixoJ1DXEH+XCJfFZtfavz
dBNQzXCiu3S8qQUAc99dMhlgrA4SxrCbgbd3WcckI5v4i5ZWKBMZcDHkLumda99ybzv7AHwrBfZc
hGc9iubFsFGVumg5oO36q5bACYzhiob1ShSINUeEVihuUTYBPZsE8Tppvg4W+7MFpoPjSGf8QrFx
KQUErNFcFdZjCbq1GT43Q7YVoU3t9Tp2kM10doCD9CZetgHekTP5sYvP8umTzhWmh1/qFlR89Ogq
c1cUCrhhtXNtQXauW+RQOROrW2iCTQfh55NKr/OYZTxYCwdcv3B3o3vh2di11TaK0fmya+4dHfQm
GPtVHge/RJSc+cFtSn2dvTRfiL0FAMr+YvYZR2S2nhr/i0e1qwEWnLrphfK/OT5QeBZcA36uxx9m
MQIaKtiiwvkcgfTIsNDJ4+lKleI+BRM/ptCLh4xzOXK/pRonYjDE1TYZ1Eo1w7KyyD1bVf5QdWrf
iXNAqQFqMWg8QB1GgVRlGyM8NN13vboIkwspHpx+2EQ5t/JAUbKeJXP7gzS59n+OTbmvC2MbRzdg
Ddejl13wAliazBtuMFV8axVoMkMDbFzwtQ3FIy/d6bZ7UcmLrvpeUpH3+2WDeL1q0DH0i/Xo7K1q
WJT2feN8I7e0isJuVarPVvrbULdd9IBv2MqESuITdLTZdxsew4Tzjqzt6yq6KmrsUvzbqPqchht2
1Lb3+DQrCS/8eLzq8QQLtbO4t8HScQKDwUVbdUnFBSKeVS7iqIYT7JzVmVj2KeCBtI7WbXTj5c2h
y+BpgMVRwLxLsJuKyITHlHLdB2+8EXEGDhcAix/c+dMtX2MlAB0Jp/tudN55Ja41874Ptw05YahU
Q9jvE+3M9sgJuxcxJaQCEPssl5KO9o8258bpfuVw88Ix2aTtcN7YUN1c9m/51XP1/RBQZa1Bdmos
1kQI+DLewqJIN1vaauFAKNwTqN1Y7SkFvT9oWtjHGm8B5okehJj+4I6XTa2vQs7muoIZXv42+2ib
EVo1AF3CKsMECjo7/AHcf9e+0pZ9APct/D3J9Cb2uNy82ypNV6nlE+fJVc72jHLyjs6+aTtAVxDe
w2ZZBdquanNQ4S5czVs3ARma5RvVAKoCGPx+ZGs+KRq/FXIdPdzyJmjjIujI9HbgFRNY74jXlNeB
bHe1Vq5CDmOYxrve2JbFdO7oD5XzEwzsQiZqZefdIpjgXkLEKkB5DJEFI/sTDiOLCVpEP0Eg1dal
2R6AFYbDdVQk6wLJeRVftRmk1Uge6hlLWBCgUuprTFjxdrFMsrtYv24QPpiafuXkxlp444q36s8U
EqobT5vQR5WKosF4jWH6JofIGe57eGJhc2WBYjJGPIjEfYc0ow2ZJPIukuAHUFqr6M56dRNxT0V9
tvZ5SzqtfRHFINLI5ntEVhDYqDPkMTaJPdTp+gylIH2RliGU8k0F5b6nOl0BCuI4mKpvU3lA84dI
CLqynX8RGtLXpBJnGdpWO7dK/6bh4BphAgz1xi0vXOuyqlZNeC3zaSei/ci817C5PB9UsZbvDOkv
AacRF5x5xdZL9rKvl0oFq4njzLLBc0K2cEzA2XqxNp1PGYeyKNuFbHJOcSCfEImMR7O96dObAP4Z
Wdh8TlWH1wVAORQz3MrdhDEBqLPVFDw1Q5yHyeWkfePKAJHZrwwip6K7GSPqpP5GeBcTl2dV3jqT
s/LlVhsW/Y1dX5TDtPDmWos4+NO1zO5s/cqKqzVmxwuTInnYXrT21xpeZrIfONYU4bKls5JnXDx6
AjHzPoXfHMQmYmj/9a3XfxbiOvC/d9UhjL54cKtD1kLK+jOsy8L/7lZwqfjg6C6vwtnxmliDA9eB
uk9JC38Fz3euAlg4gw1uGSO0dQsRsUrF3ZBc59TVbZwHANqunVTuXalvHOXdYMq9jt0DRhhOXG2K
Avi9lOdNHuwzXj8eEPE8USCnmB53pFxQfs7rb6l3W4f3euqeQRJCENC484b2qyaKQ8KWzu0fkxqu
O7w/cV7A5m2VYXxWk39q8zuz4YQQEBmC/MwD/WmEDABs6VDzbwF4LWtoop3gEhiv89TDqmxYdN7l
iHtnAdKtfPT0m07miwoihmujX2DeWwjUpiFsWRGfm8V9l2zb4WsUj6u8PUOubDYKJWwFhWVyMOrG
RcZWNIprXIcXbDI48PCYsW5gsz/q0U1LeCGYffcefhe+I03/WHkHg6qwvCJdQri/lgCJm+nCMs/D
btg6jrtCAaQRh5H7IzW/RTAdBvez6fzSsfRTYb72u/zGNv37DLJ2iMwIGigNMvCr1gMaH3ADxbw/
fbS9t/xPPUHUYQy2qf7Da8a1MxAGgApfVubODLZjX8JkP+gUMRPF27f+Ekc5hOgY3FwLqR0Zhq6+
d7T6IHJMY8qg4c2svN1EeJ239dcAgWzltnCwgq3pImRAlUjBQewacJ5ps/ZhHdRmeadad4+m/mUP
q98eQbUmq1Qhn6ZDvNPdZY/FTjQ/xXtCIdj/rbqyIP8H3uXMokE8xXM2zeBSm+MY92ErIyyQTsEG
QlPJG6Cfgzls9Vxt2ATAfTN/WDmQJuz6LBTnMv88kEAzkhGiyLSMPSJyuBy6cm6KCZ+QeT7dcZt1
u7rbz5eQTMrfoZnsIs9YQjlfOhWECPN2JIWQkm3SoGRNib+C8IFkxT5sgUGr3TCc1ZHzyTZTiLXh
hWEgkpsAKiybdeBvI0RXnDq98XRz28CE8av20jONM3TTtmMAdKrH7K0adpPp7O1WHOqE9ciJ5CDE
3FsPGrQfL+OAqm98AP5V9a2rvI2dgm++w7OnGL3zMbNvk7jf6Q7IQ4RwTlxnf8gfHCUKYS4xGHCm
DyPEQnjRQfXr/Q9+0pt765o8ShX2eqd6U5bDwWmbew6zSw+ZnkERhxoIQ+ARNRL/OymgT+cXcg3E
IGoJuewwafqneHD2op4+B87vyPUvXe/3+19qbvut7zRnwZ5l/qvJLcHPK2TDEnMREwTNEOW+yE9k
R5/U3976/KMMoxk7XVcmlPQKYayaSdz3/lkmsSrqf4fard/qFOb3eg/SuDnruRPbMbpM7MvypP3u
kyDfW99AvuwhAuW5Yg3SQ/IoEwx7OabwQco1SLIzr3dhXeAymX8a8FEIYTrX3FWp5JbJzpviANR1
QFXBkeJ/lus3jtKWAUSwMKYwfgi0rd7fT+GJ/CK36x+m8ihxaasM/gb31QHy/aLEY5dsHLzEHdCI
Wx7PkEOyAwEQVh7JMqPqn4U/ygShen0lpvo250aZAnNVQlLjLlibUKUHeAtJxvP3uiseDN/cWKrd
mJN5FhTdOtAeTBDiueF8cvOvfdEtRz9cp+nncrKXfQwbrtjX9bk3fs6acoW6kQsjVm8+VVG0TBEV
qUg0l96V4Zw5nKacactCncP8K8svsWhJr6Ft0/AdIJRxutc5hKB4WtrFA1IhiQeb7azpUOQWK1Ag
bWoTPEKT15ovAQflAONoyNM5k7D0tHoxqwyUbUFU8RgHBIsxQF0ENJIGZmjgXDRq2GsmiP5ZqWPt
JOeuWENiNSfoiuVlkO/r0VtapAgleYjBSHcRQlwxz4K8gUyv780iXiDoBkc1H++jJl9VbbBHMBWl
rQfbIGwP93F5VpBiw2op9B+n4XeW+4cCok8ZgJ+GxYhCizS2Vn/uIled42tAiex8msLLKgy5jYnb
uVV7PWKvpCt/gAHeQ2f0t97Gt3TUpmymGurr8BCZ8iLLfxt5uUuccZW0M7v/rAjuwmp6iHuCHwVv
UOlrnpzLIuTGgaZXZ3ddfCHjC4CiiDt50cYdvxupvh5FdGM3v9zghymDVdEjHpfaJD4i3lrxopJi
OWQ7rbhp7GI1GcXvvs52jTbxZnuwzQNAcuiuzXlqGGv0THjIm0tUlRadSq8myOQ9fKOqGzZ97pFA
Ss4hvD05jPtB8uAALAiSfN0WX2MSxO1Mr0RI0Z4i0kj2IdUvg+miIXqsRv/e0r6MUXVws192AKvW
SleDUa5HeAVt716agXHW+Mb30CADAXDDFb+0zoB7jK1WbSFbW2C0/iWCt4W6WFtsXPQ1stS8imxx
og7yh2KOPLpTyjjqWDJeT9TRkTW8HfxgpTlASALYcdMphMMfznJ5dL+g1ppJRIT6QxPfp9gMW/W5
C631/YviD2WRY3lud8p4pBBJHXKxi3wM84bx1Pvx7XNLHl0Rtq+HJpnd/jDUF213yw1w4oP/UN06
1sRVrpH3mU2mvEUeovMmlMEQkcPsOBOnrrc/FBueEMLPrk/LzpI6niwmFiZHETd4CCrSZWcRkiVh
dB+I7Zg5nDPh0jWd5fsz8adpPjrns0kX9jh3qwoeDXuODOH0IQHw/qf/YdCOxXKdOAjSqWWefUvg
RH4YZAMBFRG6/uf7DTwt+jcu5GPl3MhrQNJaBjegGueTeh9W4WVcmN91nyQ91rwhJ2uj/7C7gedt
cpl6X52KJ8nshAfhDpWlVVsgHOaPu7jgRSvy765K9w18S4p3m6rT11GUHDKi6RPf+E+zfIRkE2r0
hVcMlBphGKqAsoLKz/vkNg4e+uKrPzSorPkPE5JcJqIfboymj60hadYstB5UVwG1s4aM5OSCktJj
pv2IEIF//7v9aVseVbtqL9JRl3PIJYI75BIZyQ++/8nWvP/emqejrE7JO1hvTVZCk0VXqTVuy9Rf
u02/l2rc5tDSNL1Y1HmyQrgelR/UOLL8swtBSCep7Wc7J+qXkfqmRyApc+OMatPCC8CkRsvc/u5H
nNzxbTkLlZDW1HXCDDxBBQzhHi0ov0ZOSyDp5sW72mnWRvAQe4+xVazhx+2KMf6cj8MuBm6chFcG
xfwMm9XW/eZ55rJ2t1mI9MM0fDcH8wbXaLIExolR+dP2ODrJx9gN/BJJ/oOe5CRBkuWAYDBmb1Ry
/8Kv//uP4X/5v/Krfwxx/V//wZ9/5MVYhX7QHP3xvy7CH1Ve57+b/5h/7V9/7eUv/dflYwfxPT/+
Oy9+hU/+q+XVY/P44g/wysJmvG5/VeMNfPSkefp4vuP8N/9Pf/hvv54+5W4sfv3n337kbdbMn4aI
Zva3v360/wnjxOG0+vfnn//XDy8fU37v8rGt2ld//9dj3fCrSv3dpajvCpfktnJszsP+179+Ilxp
69IU0jBnW5wsr5rgP/+mib9b4IZJIPMbhuEIfc651nn7zx9ahitdFzayci3TtdTf/vndXszPf8/X
v2VtepWHWQN95ogP4jh80vwlLMkHmso9PjupRCRBWObelW065koGEaTj+vsI0HtXOHJnxBLEqEUU
WzmIFcS/Kq28wzwcyS57hLpI1Fdrg/1ZJ2gNwmEf5m28FJ6NtFb3Q5vk96eh/X+wvj4Vv7Lbpvr1
q7l4LP5/WGU6J/efV9k++5lnv+rw8cVKm3/nr5Vm6n8XumsY0nHQ3ZXzPP5jpbkWP9AFeRLTwu+G
qf7XSrP+7gpbsgJglCvBFcwJ/c91pvN5wjb4oSlQGnawSvjAMptvm/8+j21cgS1DmEoKVrMpjGPa
jFU5pme1rrVJU07+ldJ9VIIk3rPJoS/0It3UWiCGy55XdborAwFl1GkSfzoRfugv35n/+B6mATAQ
awFh02e+57PYJ7AF+hBea246I7HlNoiJti6F6uIBEb1S/B4z2JzI9DXJj8lw+ULWGOYrkZTB7bPZ
+2sfPt93L89ivohtGZYhTcmxwMg48uUXga7s1mh3mRtZ5j80IcWPxIr7Bw3z+XXrRqdIOq/Gn+Zs
5tMVCpn1p3Poeb896WgN6mHmJmhsiZoDD51AYitKXTGAIiyGDnROrE3f7Uy3dsr0nOv3+/vyrv9H
f21Dt3XTBBrxin9TyyBRJQLWCIcm7sZN2uTG9Ov0QxHFX61Q47Ecw5yP3PlbPJte24DTPPY6owru
4EuuMOD0kyY6QQ54GcQ+taKkJZA0loymOAbi5ixe3+9Rvcv7mpK/qNENEQlE/qE5RVV8PWxKN5Wi
L5YlpWMfLZPajcYpB8DDszOJD1ZVK4oEIrx7f3Jed4ixciyuIuU4unHMVc16vXC7Sus2vR01a5UL
+6zRzG7hUYd/eL+pVx1yDbSsXNc2DMW/xzBulJdiLbGoj8Qj+Q8UQdOlGIpTtiqvOuQyNUq50nC5
1FjzL9eBMbmjZeW2t6lnjgQE7DImU4STJzoOoaP//GifLJ0dbHDb21zIx89MwkLH7ZTubaIWJ/pl
V/p5D4qnae4/3o7FaSxpCwfqJxrIs9XdDVWu2paMcsET+doRCXpwZiy+/N+1cjR2lU31zixqfJZn
oYo8tjAPKqNT3N7jGeIewJXWdBSHkbCewp/nO7UMIkN2SPmQHS/GC7+LOzhaZoZkH3iv9zv0RlMO
R4HF2jZtbqD558+GLcr8NI6qpt/UHsbAg68lOK6KVnyFjpqd2rBPkMjnNx0dc0zdEnRLt+AYzxvg
WWtQQZBgFwhjZ5MRGpuagim6J7blQQTv0FUyVSWQI+Y/5lmUBp48mHWBbVfbJ1WKbE2Lwp9TT8g3
hp5A0DWqp+KLCSYaYZaoyNrPYZ3n5W3tENUv7CYGiJSiRThSouqLaW3YSUEJTcN4vDLdotk3pR0+
6JAn+q3ZmGC6iGYr0lfppGeHsChcb5+KetZYt9x2iwGknu57pTVtv4g7UZW7UcbZZym6CjVqbOEX
SWPAan9/io5vQ0eYOnecYTn8I4htXw4a+sl0KtD6zWgnIaWe4TIai5/ebM8eiG/vt/V6OdCQASZN
cdBZ1jFiu209Gfmp6DepB0yqxEhyZZahQxE/OYUumF+bL9cCTUFhkw6xhkWDL7s1ak6Q+RJFobjU
0XRuGGavKye07SrtShROftBMw735cP+I9riZDGkgHnF8BxoGmpE5IhobFWtiHWKyQqnc9PSd3Rbp
Kb7yG4PJcW4J/pkfK8fWZbVfZwFDPIA9Gtrl4PXDfh6HhdFGzurD/ZL4JPP04VSfL/eXg1nHUkdk
Hl7bqLkzjDiNH1Q/pDucYowTS2RebkfzZpgWjXA/USU5vqSE53dGVwzDRrMiciNj4p4VvT3twiyV
57nQ0DZuHSAqcoy0Dx9WPAYdZTlMPCjH4wA16orEdtJs2FQpenIrIwc7Qr23HKclqM2+W390UNkK
8+VPf8EOHzdXOm4l87ZDbhFXaTIW6rqaUCpJ4+xjOVibbc1TlruY6I+nCIfxy+lTThhSkXanjWyt
n3UDAL7RxvjEOfJ6OdIIHeG4V/OL4yhcIuBXjTvmYpOHqIiVlYKY0gYAOkVrfzCgferPs6aO9nZe
q8IPx1Rsik43qS4ExXZwdfXh5UCHiGSUzjQ5tjpK3RADpGhfYSo/jWkJIKRpQUBCePIClZ8Yu+PI
jA6ZYj6HeSMa8xp8OUEkMaNJL0OxwZvWQKqfRGdhltaJXfz6pDdMXblCcusTADwVAp9djy7VLlFz
Xm5kFGUYn6jewIyhEOH3Sh/rtTFOaFd/eI2bOskU7mQpBTvrZce4uZRISyVQ15X3vhY2B2w0v0m7
rj4+WTxxiTjteY3/A2r2rG9WOtZIPrVio7JwvOtGvz3rpgb0xgwS/3CfCGYES4M9q2OR87JPpoFz
xjTJcWP6yGfs/MAu5BY7gAokoGF4w+795t5YG7wZpUKgxrIccUz2gnqo5WluTcSELvraFQLyfX7K
K+2NpfGikaO3eeQIGRrOxAmhBz3EobzUYaeD0mzH6c6o4uzEujiytXo6kmiQIgaPOINJOxrErC6m
srLltKkMRBJBbiR9v/YwngKGqgeqBXSWWc5yTFrJ3issrDJCMwDobttlcuvpIj6YYYuUumCivG+j
WRUPHx13IjJFtD+/Zi13Th8+DyZHww+dgsBuU0c9snZ18VUZg3EiKfJ6cvn0OQthCxKBnDcvG6kw
fkUnAcMYHMBKQF62d8f/OqXwcoQfnUebs4VYQKdDuLY9/fzZ7tBHs4xRoOk3FeZo3ToPZast4zTK
J4RDWwA7XZDm/bYo6jTf5WNBuWJIu/KiEpUmr/w8xjUntSsX3DZOCVV38OMcIVwt8xBCHcAQUJas
LDNdt8JibbqpUwz7iBkcd0Y2DdRMoaHKbWVYxW0szOYTqM9GRzcVZOZdXMYEAougTzIKYU04ZShT
x2H3UyJcqjmAtMrqBw+MAig7p1u3IBCJQNn68SmFgNdXmKnrBqPEkeVY5nHZ1QfQlSe2SZjjmMi5
+16Ec5LpLuc08olD5PXEE4vx6Oe4J0OtHycXihI+SBmW/caFWrIdx06uSiu0Fu+v4Vc5N4cASkgT
4XZy4CaXy8v1JXNssorWAPhgR99TVHZ/Au5MN8p3tWU4TsW53475ed3kYEnlID9lIjv5JV6PqtJ5
kJmMqM63OHay622jjX1sAzbJEIKliNz2S9DZSKcqL/wQBmte56Q5SXFaJF3n7h6VOmPllmlaZx3K
bm27EDmBMOJ444nD640OcZdxFZs2bZC6eTmoJtKrWVTSIV4zGW4mk7yZJt4zMirlh6itf3UIzWdy
xdzcrjV/lWcbFznYuvGLmqaiLrnxk7BbzC/ZB6EBz3t/rbzZKyUlJ4Tiens6sZ815dh6rxVh0W2g
XtZbBGTTr4W0rEvl63AX3m/r9eOMeVLUUBxFYOoa8+541pYYgGa4FsSAklpeqIebNnZu3cb7hMpv
jtO26Z1o8K3OzQefjSktZ8Sxe99k2+3oqrnBHOVfXrzJOhPQajIeWB8eR/JrZAtJMHOs28cl/jI0
yzHTZYcGLeZmTgICGBl+yPfFcErrzGWYXr6VHEl+kiiV1IrN3no5jG5lt0FRDnID0o8Ccm9VCPQO
RKrlQrRlqS24c3LcLuQYXo76BNVTOuY0fjAl6xDbKUuwyR3XJMw/+hZTY5qadPgWRglvE+LdNC2c
sWn2gd13JwZ3XhjHPSadrlybDU5If7Rw1JD4TZ8J7AUaepMaOG4JDVrS+8vz9WpxJH0B204KgbN5
/vmz5YnYRYIZYyFBNVV3bptUqNCTGyGe8bfvt/RWf1zqiIwbkST77mVLo9UEBTq4cjPoIK8ShQWf
nzjh5sOtOJJzijy2STnIPHpe6JnhaFZYoQg+e634hSW3c6b4w68y1yBRLgxX13lBP+ECno1aaOfG
pPVgzCj04HQkuf/lwtfyPj8xaK+nxzUUETFLTs51t6Ng1UoLNw4sP9jWWR6eqcqEL8R/cJ7zTlkf
vz6oaIp3BYUzk0vMOFoJKLgZ3qhN/tYoMwkgfmyJDrQ6IXdJjVz/3PZ6G25H7ChOdfL1ypiLf/Ot
7ZJzJr3zcmVoQ+y5pgLMFxGzRWCQyhDXuGLMP7o2SP6R9mMBMmVkro56GAdccfGUyk1OLXk9Tii4
2h6S+R9cgVzIZGSlzqnI+/OVAJDErsauyUBkg4I9YfbDsufNfeIZ/eo81GnGUbZhG3Op7bg4REiJ
XX0mBuSX4gYKt94g+a1EIzKYZVEX70k4utqvRpqZWhaJBE08WO4UnAKQvVo1fA/jKTowpG1QFH45
d13RVF4XJ3wPMz2nzIswgKUuEle/6jO80ZRbn0JfvVotbDmOLKFMoARzrHXUIi/+Bi1lsTEGmMfd
6CCBPhj+hzDIRCOgKHRAEaTn5i1hH7Wisk7PlMjUtk1LscpszPiKvs9OrMhX25tWWCTsOjpiAZJ4
2ZcwZ/xSd0JTuR0DqKAO8GBZ/cyS/JQiyVst2TzhyfGQ4SEef9lSD8U9zSBKbe1U/lTEJF9yu86X
0eQ7J1bmPDIv7i36xPmuU3pWOi/KoxO41IJKunVibAOsDzF1xGt3sLAqFSiM3KaapQ6GGMtzwEEf
zlY8tUzfKHlz+B/HCLhdR92Q58ZW1irhYYOlCr7IoLqj5pTQ5dyJV520lU08N3cRcMyLa3Nw5GS0
gqaCXo8vRrcHPktN6T7QyuRMTV3844OHCo8+cpo6Q8q1o47Fdpqpz8zIKqGsG1qzUh3S8MYAbfz9
Vp6S20fd4gAmw0DtlCr+sShm7Q+dJyFNwrrSoOuqIrZntlQ5A5OzdDQWY58FRF8JrlIb4ZfW5YSO
yZcpNLEKs9NUOojlA81e6kABfuQIOPjQ5iELLQYZW2h8J3V3CnPwxsqeQxiOQ977nO1HTxTL8DqT
MizcuRS0YeElOIfi2HOwaiQ43x+fV0cPswBiat6tc1H5+NE8uhFLf+rl1tPaBHTB2OxQ2Bf791t5
q0OkD8lhcyiYwFheri1bxrXUMa8iEQP0r0VYYpHhXYy0bxjt/gdNzccbL3QJ/uvolKt5Eaehjh2G
28F+gFiK1GNo4MXh9h99rjJ0bJM5D0YATf7nZaeCrqoGT6bmNsnVdFaaobmMEz09EZe9NXQAkMgC
EAASNx+1EsVpwCmrIYw+wh2DRjVjYAMPJ9xEO3HMPeUTjvcKwTmhOe9iYR1Xb8a6rXu3jkzIxQpa
Vq/cdTON+tr0dYTX9QHj+tjIzzEiie6ivEKXI4BFaWsce3juTjM81Fy9P51vnEok77mIGWNCnGNN
IUdzR98jzAKCWoefTGtQD4lWDjuuGX+ZTVpz4pJ8uz3FQCvJcSuOArdMJnoZ+1AC9BiiXDVll62t
rdoQh/coDH++37m3Np9tU7uVZPQBqxzdYG7rtlqn+dY2oCZGkT0wbprI9U506a0VBDuVSMW0BMfJ
0Y4IY0Qh0eVg81lVetlNmEsVZG13WufrJ5p6o0OuBBRp6Do4OvBxL7eE72ZdMXY0ZSeN2qZawtrB
auHEC+JVgKYcKpmUXGaop8WieNmKWUSJpc1GTFlsV6vc7iHvB2GK9V2a7/PALA6Ryk/V+96IAeY6
CHeWSwDMK+llo3BuHJFXsdoi3RZhyNC2xfeWr1JjTTNg2xslDq4zwyi9RzyGp4f3V8obc8iTzOXC
tMkF28dY09yChDOkJrGbbMi0F0FxmyrN3AY2QjzvNzXP0dEh4AJ3BCtjcQSABnrZ0SGHJQjdR22Z
Tcda1+WUqmUM31YecqA6Ejq9B+2+imR7Ba+8RqGm6OJTGnZvDje4WpsXB++bY4n8ALvoJh8x3cAr
ChX1KPHaZBUnU3AhYNbAZ7bL9oYgvVjZQ2Zs3h+Ct0ab6TRYwFSyyXC9HAJAjGWk2YW97RpZb+uq
wGxFU2qjGVN0YrTf2jHPmzpay3XXNeTqanvbZpVaimmQSGqbpwiZb7XikNYyyB4QRh4/hMMeG/GM
wszW9qIRianExasauYn3h+3NVogh+MeaV85RX0K3z2onYc7QIcPN3Ii+zmmrE5v/VCPz3D3LU/TG
ZFfj/+bsvHYjN7ot/EQEmMNtB7Wa0mhy8g0xwWYqhmIs8unPR83FmWY3ROiHAXsAG95dxapdO6y9
Vq1cWLAs+44hpY/67McbX+WWh/EDqke0dYmJ1lTKFqO5rb1ge/Kxe8R/o66Zy0eqYskuHlPYEhCt
ev3eBaS/MJEaoDDXt87MUFVsSpIzcMDpV2r7+eNIB6vcCPdunewArDMAWhp4VyV2JMdTK0sFZlJP
hS5Z9E7OkXaX6JW5saJrU7yeoKOXMk+g2+szB/s13L46Z65MCSYWRO+hoG61m+fi98t7d9MS8QrN
GMIxikqXR0IlnVJFjuBVao7y6JaadpgM6R06CU3ey6YW53fpHFmUDUBoyaYBSywH56/TJyxjzhQv
ObwCbvtZcdfQsTKiQ98b5l3kdumrA2fsYQlHaFArW6O/RdX4M08pzjjXuw9Lh/AAkH18GkAEb5z5
64v13MlipIKxBuplq6TDI60sRFFxNDKRoEpca/tAVFuzczetBCblKtBd+tXN8uZab9qZBUGEON33
ejG8keMoNhov128YNQ7TwgmRNhMhrKK4LNOtdqnYnozZsmB3h4yqG+PhVGbpeCfGwdqPCl7GthnN
+9Gg2PT6U0Ir5g9yggrcsgl/nRKv06jUeiM+SkDCXQIn3OltL5HnjOTJn/JoI3C/fiwDLpnpG67O
W+KvZ+yqpqgqkiHn5PgNEB6FFKkAlR/nvxs4A40DcAf/PSi96Kml67DlU66d5WIdEBswA4dYfRVf
Gszm+AyKcf0CdIbOeeA245lxe7s4RQ0COoeuD9zf3tSSir28zzcO09J29wiMaPfyp8t9zkXrWkhn
OSfTLP1D4NbRQVf5Vv/9hnsxuO8efnkJRtZVfjvLGbwQiYMadIWynQLHYZa2sTe7rtw4OLdMWbSE
mDXhajBadLmgIakaXTgIkpnZ6KGRWYnyHMzB/DGZINV7efNu2lpCPCqYC4JhZSvNCxLBpnBPSbSI
QGq5eExHnrw6VVvDIzdNAQgEdgOamBN6uaxSqxdsdO2eZKOrRRKSRFYSXnnUNzaOxK2rYLke1R4g
S6YdrBx040HVZFoNkQ5TVm/MeDQPZgTn/jD69mfbLut7WViM7tebPufWYaRaTDRAPZIcaLWfk47y
9TARN882RB9NJYtT5upyY323rBANA2+kXOxg73IrRe0V6USn42QMM/K9Ywsd3ggf0stn46aVgMJQ
QB0K0NLqRSWr6BMpHCQkmyx929h28UYzBuvj6604XF5qJ7S2QDBfrmX04ZvCVdunWIsZ0dDhBXFz
vdlwjjcOn0s6ynGgdUxQt3ISZV9bQaU72cnMvWRPBpPuPZC3HAGIL1+5IJ40wg+XOMShKm2tjgBt
1JTucpudgkpEu2BMsjurVFuF2quPgxXb5oEzCHZwvSsrhPgmD5qXnHBK8n70puwQzP4WB/rVtmFl
CUSXVioYr/WYVdyaetl48CoReA3Q74mo+zVKtJtFqrevbgwvxpiUI+nk0b6qugxj3jJmBVALZqHq
V9EvVfYhUVudnesCF8gIdo1+oEkUR2x/eeKqyB2CvMthD12qwp+ln3lMNU8pPNtfNCuIm0OhdZn8
r65jz9kZE0R7+8DpYJeQlavUvTNHunaXqcFN305OUMtvLx+gZQrxMr6kykd4if/gnaEXtDqs+lh0
Qms5rFLBPFtYkM79a01eYx0CTw0G/ETSGfTPM1dqIR/TpuzjVOqpBWmcYvZ8MNyySzYepWu0n7fg
FAiXgJ5xuJ7Zfv4KZ2SWBUXgZ+kJ6GyqDn0nBUruVQSJIwVD3/2Q+u3wq4kKx/gqtGyQ32rHq+19
bKZe+gikEwo1LTEiN2QyG8Fcw6vqLeD5VcTHb+SXWQuIgTLNGjukSb9PKkdPT3HT5dUxjWJj2PvO
UCvEmNVcvjPKwkHektreALSf3YKAeNSDw8YHXCLLiwSB5JpyLW4GmAO48JVPMxn5kE0x5Kcqr7rm
UKac6p1vRZH4HsW98j4ZyqxGawfTUwY3jVlajvhRVbr8KUuQmsbx5d9zla/wc6jm4g5csDCEL5cH
Pk91zcr9Kj+ZzgSnahIYSMXNkfHWSOPpTddF9cZhuXZONG+Xl5eIgtb3ulAF6KP3a5+3L9Cc+G3R
GeIXJ/3V9YylRcyEGkAubgndsdWy9IT+cyIKCqcQVphBUcIEqncbGeyKRIqOKb1oUE72MnhL0W+t
sVdls+11pZ6diAGpKsLr50072Q/FBJlL2pjxPcJoo793BFrHD5TCanG2uSi/+rKey7eqMK35HqGh
oN7HcEQwkmQmfXEwO2uQx0wzICiqxkwvbJh4O6/ZihWu7wTdXvZo6S4vDcTVQzF5feQ6dVOcUjeu
gn1gxNDJxUXk6PvIr5k1oYjqDUfNFLE8Mkhkol5rKUTKXz6D1y8JeSvIIjo/lPJo8F9+rIDSsz0R
1556Bxm9sWl/ySDO0NrVtzKRG6cdMNNzr5ZaN32DS0udPswZGP/8JOAc+sy0JyRGepF/zs3JPcx9
qW0ckBuH3TfpCZP12Bz5dSEa+SJZI+uVnzI9Sd51U+TMRzczZrFxixen8f9OZak0UB0BbQo20gKG
ry+/4y8HPNljj9PQ2DPT8aHINSytPDCAgsx729gL26a5aAYPnta7O5EX3Uan63JfF/uAPyyGlcgS
GLu+GoxyoLQsmzw6U+ED+qEtxMNeeu9b/WdfDNOrEpPFGkBQLtvzwAsUEKuvKBAlLqmGRmdExX8Y
uhjvSpCBO8j0yw1Ll9/vj6UFbgKIF+QFMfvlvrpxlE+m9KPzJKDMtoviX6cc+43jf8OICZLQAj6A
p2Jtl0Y83kyzSTXtDGGa2s8DNKjAaeX/YMWhX8UMMsUV3sFLKz3tCemJKQ552sTPjC5oCNP363DP
zxtGJgzImt7qMmW1spIlmttXrRcjfiCmHA29KDgnrSs3yjeXHuPZDPuFwyIWoge+NoPaZt8y5ZxA
rp7Y7x1qOGcG41XoDxDdv8Y5/TEFgo+GErU6wvbFh/51tbJO9HBd+Ukoen3c60FX37VBlz1RqK03
Ttvzwb28xv4CCLOXi0xt+Tn4+8sWsxJplBi1CMessiErC+x6gJi1brOzcHpfnauobMSPpjQyw4Vp
LsshxFuGRncO+b/3bXZ48x671FLiQc5xaty5c0kFt9So3p6tMR9eJ+b3vDv83CXRdHlnic0ud8cw
56rraiMLe9uY9XtjimFS6+fG3yLYub4kOGwLICxlaWo56wqWaxfwkOaxCBu/rcKyKvJ3qCdsMXFf
+7Fl+8GXM0S/FDtXHzvP7SDzKluEvdDjp0ppFhIL7aBDcyssdzc18ES+fLxurWuBSS81/QVXubr8
dulXGdl0gczjrMHyHEMynEYZegivtgNyZ0k+OcSA11YXkyydoCL1ytBpEzv0cu9sKcgMXzZyfS0B
7jocXzaRyGuNEGoC6RmV3VehqawWVnxf0f3Me7N/rxfx0Gxs3WX0spw9HhoDHwOEEgaddQKae/PU
p11Wh3412U+1V9fz2W56rbir0yYSOyOIXfEzGRn53CWJmoYd/jzbUqe68QG9BccJlwQQ3KvxB0+L
Wt+BAvvstW68c2Z4GkcAS59e3tkbVhh09hcSISrv1I8u7xmAMlkQq0VnGefGmyZiWNyaomLj+y23
9W//w5FfaooMbPEg0d1axYPEfHoRjW4RyqTu5SmY5TDdM9A95Ds/ZXD+PvG9st5VTrSJyV5HMJhe
Tg54SshUADus3nTdjb3cSLwqTLzMR7REGXa8M8wRIm7Tg9E54bEydiNccGFtdLAzv25/MU95gWqg
7wKpIhta7a8/gporiirsikrbdyYAVlOftgCWN/Z3GWBZHAsBBRn8pZVi6OI8aOcqFJNRf58tUZZ7
qKWGo4JK8TCJxthPWep+f3lt11trGnRrcGi0q2FNWH1V1HcmJnfKJrTL7N+M3ugHoygUBPgyu49m
LztpsY1gROv6H182vD60i0GeBpq9RJ0Lwu5yuaNuxYJiaBOS1E/nXs7ak+wqc+PQrn32YoXKPtE8
uAvwVqtNrTU1e6Vdt6HulwwlgFX70nfGeJeZAr2GRY/6tauyLEDw1GFgjFxq1pergi8tKhm+LcNW
z7KD0w3qULtltbGq648GEo5qFzxRsOKAzrm04sJ36qNhJMO47SIyWKekCSVdVwGnEsZ+0O/TeQJV
0vR68+PlBT6/cpduYBmNXIjTaCnCYbZ6K+rayXoIi5ow6mczfuRPP71YxHdolvXxwZgLOz1ErezG
/diUJnodeTDV91kXKzfMZqAhMJT7holu2VLbYIVzEmbBPPtHbfJnyGTdqReIADgxlKuzHg8Jehya
bz8ZaT39N3eT/Yvof6j2ovDhTIvjSGXnxhIOrDaOlsG8IJ2mpYJu5WgXW0YanSIle/vRiTv9c2cl
TPRrdRH5B0oeECCWKoM1RtP9KEYKIxoAHEeF5cLojY70m3nskGfBo07OHlrGiZqLZ2XtPQhaxziO
cWmaxxKlreaTatHFhGvbyzxIKU39uwbJ5H+WpbzkX4YjuvmLpdlJdt8WjO2gYeBAqZt3yfCxLqym
DJWGrNiieRnYD2Ol9OhgyVhFZ90eoMfw20kOj16dWJ9VRGUY1l+fWSYQk8x0CJR75J1Wu843AClw
HSum4L7ZrVX/NqWeOoeGMYJin7cTcomJ8FF2yJwGntvSBTx6//L5uHE0mX0iPGW6kaLa+i1yqzaI
jUj2oS+CKczzVOzdtjM+y7nTz/MQVe9k45v2jtGD6O5l0+sAA1YRyGYWm8vFAGh1eStyr8J9IygQ
EtZmPnvWTD/M2q0lT0MwDfNWgeTatxApMbRPKYkZZuLCS3udn4+9G8k2lLICelGPmtM8WuCd8n0q
pfsxKfO+24jUbqyR7s1zmRLwqLkm42A82LdVP/ehY/AUQb/KIK5FtpZbTM6+vJ03lsfqGMQA2ktX
Yp1Im1E18aC7fSgc3gcUrOdFKUElX6s6qFEQCzZRLDcsAh+HGoY5A9LENaCx0IArgDUcwkS3K38v
dbu3906CxNwxiu0WfRuzcrbGEW/sKMkDASl1GDqM9vLv/0qrpiSjIdJ6Q5j5Gp321NCjo951Vn2X
u9nWuNz1CiHf4jHiuNA3ZeDu0phTJj5pnBpD4l7xnjS43KdmoE5ZMo/v+jzbilxu2KOeyq2norqM
Wq6cdZQryrWmOYeDbUpUP6ixa7teb6WCv71AKc9qF4mblw/O9Y7SWXJIJRZACejm1T3U/FgzfH/Q
QwZfqie0o8WpdOPkR4OX/h9MkZSBFmVPwQqt9tNszc6e9NkMy6JO/6m0FgUeCNuGsHHKfiNguV4W
AxxwTFHGAlpvr+dWE2kMPTUaK5ytsT8T1iCgObj2cfSacSOKuP5shCtLJ5g5YyKJtZ4rQ6QQRKaJ
G1oanUBn7qfHsjHzD7PZJccCxNKr7dFVx5Mt4G0fROwqz6ymJIXPSHPDMWbcTINqgcF78642zQ9o
C7YbPuy5l30ZQiyxAzkRRToOyrrX3TtjYtDBIB4YGtEyqqUGsRdRLbQP0SAQM8zTqEWIMMnpFCkj
TtSDsu0qPmm6q/ovidIrSBOs3vv58sFdTsvqd9Gqoku1jE9Al7g6uJTgcgMmuTxUXTo8FE0Fn6Hm
xRsd5Wfiz7UdatnLzBF+gKh0FXNDYd7yVnUJpzZBEaBahjju3dxurI+9zFrV7JrOHcofZTf73WmC
FHM4QOQI4qlNXVn/YKpezMe8rnsPZbbR0t8DMUngmCz98VM1C9/8nPu5sA6cLVntSDmUcze6KHCi
RjmPKB0aPIsPdV9GY4RoQin/6cZWr98IK4kQX/UtFBlis/PfpfGcBccoVbb87OaJ+4hGL76Dlomm
P+R2LKbHyGOfDnqmZeNDHthSPBCgVMj71VGwkwT+AMFU5X+GtF39JDmL48NUp0DrctMf7R0cqSiX
WEUWWzuvN6f41DDE/LsVkfTvVU5lGu3Heazujbhx1aHxhTYf0NnWxG9hl5r9O4+HuT8PiZVHB+nV
lh2i6SgS1BATfLjeZ8X8b1Wn0n1rFX6cPyamTRHAmmwlf7YCwbsTMLKCdybCOYdlis4jOmqM/PLk
DZY2nEVjj/FM86XORgTUXFd09yT1Nihuo7DfelXWd2/HNHC/Wl7ZwB+hWwvkWaHbeeeoAAqapCga
/5SbdTQ8DK4XRYfGKpL3zI2WwUPVKW2+kw3tfwRVY0X+NXtfqEAJhMkIddojySdSNl6UtzbqP2Ml
jxGjp/pjJ/QITZge5rtdks2IiQaeLJD2QzXdm44RakTRXRno7VPudDpaFWOqGXcIFhW/aLho414S
0eqPy8xfvMu1oEOwC93T4aD7jHHTcy3N6IDmc/LTGaUhTzpaN1+moJqCsKAO+S1IchtFypS21Mkq
AtD68H7mzedZ+Qh+v3w113TJC/gCiNhSZV0a/Fyby5czNlRlAgeWYZZa9rQvzLT6kSKEGpydrKl+
K7+W2jEGQ/NroVJ+sFI+ryzrwj1MMS3XveXklX839Hrwwc6tONubNWEx4sa28cXrYcTa1RETHWe/
HLksTSe76BS0xiQ2oqobPsbByZJvUxldCimX6/Cmbo6hyKxCKy2KUHFi3rpuNmwkiNdvFY8HxEFQ
EFCzsNfjBkbLCKrbxHXY2QiLunOTgPqXzclikPnVTzCPPO2PJaShNrLOsEXhJcw4TXXoMAr33p09
9W7ODeN3oLn+q+ZDMEM+DbiByX9GRCjtrfwzUm/8N9B8hE0w2m/o6xp37Vh5GxnM9ReiPQHAAxAd
EA8e2ssvhB8boFsUMrS9qHxUfkUHlFj11du2WOHzEO8uNbVV2FlottNOVobSi0qnt3EM7f8shUJf
2d4i8Lu1IIvK0lLDwi+t6UuLuNMcM0Ers+6NAjU6tz0QEm6FYjetkPLB8LjQoqzl4QMtpZVpKBnO
qkL1xaDXMkSwsr7sB64jIwiT6KyDPgeR5a0R1BoFSLtpU6pG9jw9dmU+nSZjiO+nxhweEmq6G5HR
rVVxT6n501VYAKqXhyFykGD1C0S/EYi2dqKKrWMNsdnGqm5agcfWWpg0gBatrHQTnAIoSC9fKM2O
si/yR732nPPLe3ftFJhGoRPDDD6AW4Y5LtfCU+LNbpE1vM29e9C9HknoAJxLP6NE+bKp6yoApqiY
4hYonuKDLk1ZHUgbNx35TJWeoxeefPWH7DSPhrXTZ10RkpTWPquMDy+bvbVCcPwLdReUyiD2Ls12
aG2XkWs21MUQjkoGX9/pQkv3hLVbB/GWKRpbpKuYI4RdbabWz0M7NKYMHc2pUGA/S9pDB69Q4+Hl
Nd068YtfXTIqAHtrFiA3SDRbjUUTGrP9xpPDuFN9unDPFgUeI9pKh6/ajMvMEl6P4JRrTCK+cn9F
l2lpq2NvjPPsEeVX8TZGdfteC8Cu2VMZIBNFmKmRNX8dezt/QmwWVYvBzr5FcVfc9aqX+xgA+y6Q
eb9zoljbcNDPo7GXcXrAMWYciTgdrK6/+syqVSZAMSjAowLyqjtE04lJg1xHMJ00sUx2gd5k0Z0j
lY+GtkTY9tA0DhKT7Tj98OfcHXeJ5jXOLhttWOQof7tq58UBjjE1HZStSxaCvoIxI4GlQIx0O1c5
8/u0I4M9eGPmZPt8QLRz41MvZ2a9LqZCGOEB+kWtyro8voSHUac7OQUlj2qmn4z9sSu0fMPKjQMF
BmRhcICegjO1qgmkiY9yrFO14RSZ3cEqk/SDXER1M4lENWBeUuhXn2A43J6BUEzrU9i5XNbYtQyN
Kr8NY90vDhQ+46esVvZ7UzPyf40s2ppnuLqa0PAy7WiR17BOaoGX9iRZZayMaQgdP41phZk1rntu
7DTeu4O3BUN+RtVffDWsLAUdnb8tg7LLz/mrgFRVbeRKyFvDJjEa/UnSfh6PqS2R5tRrIOMG7HaT
6e/TZLK8Y+dKp/ipkJuqHqCXcY0zPS/lPUydnxlH6Llz99tQQY64m8CAo2jfuk2FRJ/hRfOh6iI0
d+ck8n1JKuCmJigKM5vkw9AKFR0tOE/SN0ajjeQz8Wioe5DYfXCqi8Loz8TFXXJomU6jsj4ZuaG/
U4gytL8SjZTxd1kKFXwurYpkyNY1O300Ezfv349N5/12jLj8h5L80v9C+tpAJUfk/feMd7M9DGja
BDvhiCk6Zi6KjAqEivhopXb2E1U9/5MddEiWBtPsOI/93An1WCvKjq/1/szrg12h4crXX6hoLz+E
8gTRdDQYoQQrcET4d0DwZ6RtPuOZXz7S10cMUwwGLUOeALXXQFsmbH03hmM9LDKRfZKlhsBzMkfW
rrcysRH1Xt3XpZROhAhm+w+B2eWyYjXVjPZ1Rqgp2/kvGLsk3/Wdb38ciypBBry2P752cTw2wCPh
vVwY2taL0+xOE3TKrBDGfg9OsWlu0+M8t9m7NikMdXy1NUIRRlZI6ujUr2tPQFx7ihStE+ZprB8C
e/J3jT4kO0tXP1+2BLkLW3V5VRno8qBFXHiCnCumHD9RzKyIZg6JILXkh9mpYHjv6tM4HymKgauN
psFK9q3RyfZjw4zJ19mS7RAWaeH1+5ED/sEZqGpBDN2nwWNb2gPVgtJv6+bJBKkV+IjylMP8zsis
Agk5sLXl+yb302pfKuk+Sur3ORO68NgeZkR23Z3mGVNynuYcLV2mRZWBdDZTdLvajmu186E8YwjA
Naf80LIp5R0uZoJxcKoS7+Abk++/721Z+yG4dMc6xX7hV/t6EKm377hh7SN/KsWd0oCfv8fnR7BZ
947ST7ps2uh7YvnJP0z40L6KkxnR5igYRv1kBgwN/lPoaWABBgkq7cMwAPA+am45xXeOM2fzMZuD
PNhLOvZBizOo1GMlfPdHMfQFsuajCpi6npWX7RwS7f/0jrYefqJkrh8dxhJy79RJjbNhxUMHlGBC
Aw/pbboQh8wrRLYjGs5QdYeHTYv+LUvJ5GfKGLt7aEtNpHdA21FzJGhGqrLGYzKONAf/yXHW5jei
grC0tu3kA1EM2p7FPMGAInrN+2eg+iehuGJ4EMK8geykB84vcM2p/yuf9YnaSZ+hzjJPOgxwLUc/
2ZWRlvyCHB2Rbwn2qNzlVZoa32Pk2qoj8io904hNP/v7oEv1ZF/5QiQ70JxM30bK1b8SfnTBW2Gm
Ur0Zpz6v7nyR9dnZ7yxIefTE4LvueCAQWTcHo3UXHsSkO9paGYi9nZJSJRADwOSxcfGWKGl9GWjw
8ReAMvplq/YVBVqzTjvdJemog5mHxO9MsbMSXwcDIEqXRg+5z3Sc3M5k5MESQt8Pcmq2sIfP+efq
hwCThi+EWh+sAesfInmrVRK7fmg4veW/L2eRBMi1EUvs7d7Sa4TjY8948OsBSSDRNwGHyqmc4W2i
xXF27DLg+G/TNvCLk3DKqDhJTUd3L5+atjnQhHOS3WDWNfpzQal9L6Ia2h6VDnlwV49Qze6F3xVf
034YvvI4d8Xe69vCPgxlkKu9PqAR9F5WtTTfd0Vu/YAK3yrvtCkpHaTa67G759Za6Ru75vmB12Bq
JwQJyxJB76EyZLZRB7v+aMs0hUkDAnwT/1zFUn4xDJKiuRY6VY7G+ORAYvExoOkYnVUnijm0cjre
h7SAPXQRO+/YrL4vnO7by770KlTleYWQZxm5AVoMtPfyUaohX49TuwtCZWj2vqPORUfX3lL5XP4v
lyeD6J7+Ki8g6Tf2Lq2oAPYaqOmCEJkSOLeBj7ZHd9ZFTHPXyR8t2EEK5N6jdkvH5nqbSSEXORH6
kKTj6wn+kua/akp4phs5DHTl07vO8NqdMLozRucdE0flARXkk1N3X1/e2RXlFBUsumbLeD0YIAod
VzDDIFHQuSgtf9B7iJwY9RjkLw259g9uFktvFzNA9TmrtPQreIJ6uIcBP6n3GvSt4qxHlfM40TX9
HqVZwKzGUDLB6APnbY9trKvxTdLr3esYJv/8YADeUDIuvB9oylx+JcDPIqN4Lh4qVfRHHX6dU059
fsNdXZ8F8pWAVrtPg4aHYOWuqFnYc6zJ4mFutUiFwRA1nw1qTukd1HdHGVXHQKnp3csf4zr2ouZM
ig/gBZod2oyXS3PrTq9Hs8wfNI3YvVKu+Q2tKw0/KLMvtltDnfyywet7BZEfEEzCWCJMhoEuDepo
naYjs84PxqxlaFDjob/lQnvdtP7zJ8O9w9OykBDgdVehMolwUsITmD/Ujq7OUw+er0KadGMx15+M
KjcVBOoIy2DrGqYEHZgfz2AUlmr8dG/U8fR2aL363cIU9T6Hz/ing2DP55d38PqTsYE0g6k7ARaE
Yf1yB2kE2D0zu8WDL/LmlNax8dX3IxTFNWjt4X3aIi26tPc85QPzxsKJiLAWXdLVF4PdD4XjzClO
Diydx0l33WSXZfn0qLJu/mcQ+Rbni8MC/t8pLgZpHj4DFqjQkIOsvp1Gc8qM7Lk6ScTZn5Q1aUdH
QMhUBu3WB7xlaoHrA8mg+Qkj0+VejmYArHTOqhOywcnRnXyH0KhykFEasnLjZbtpi4oOAAnENxFE
u7Ql42YgfE2r0+yX7W5y+/TYOehGdYzpH14+IlumVkek0LR5cpqcHZxLb1+C59x5o1kz0KQ7G1fg
+nTYC3h0mZ8CkRSY6xdMUTeoyOBPuSPkvndEmBtDs4PjAVH43Js2zF26jz9ng0eLEjytdbimVofR
bgsYMmRdnbIumx+y1pS7OZjbje7SNbM8R/BvM8vF/6vkQbALayFyricVNFQUxiz64QOhPsx2LHcC
yrO9xTzsuItB0OCpy+6fsRD+xlpvfUVYpoiClnGIqxrzRK+eJoriwMxp/1ZMaAxMmj7cN7ZRH19/
YKBHXsIQAKX2egh8SipS8yhfRvKzd8iJNSej8azdoPzg7mVLt84LAyUmBU5glsyCX+6s1OEcIDEX
p1m6clf7Ub4XcxtqOoIJyEr/ftnarS2ktUEhFXJALK6OS9BB0eVSHDppg2Me9HQy7nU0be+7wUw2
tvDWyfzb1OrI5F3sRW6VLNOEPYN1E7MCxYESunA3/MitHaS+s4CrGOYjVr7cQc9oApNGf3FCSS3+
BI1D81+H+ClIjlYtyuvuxhe7rCn8uXIOopQL6TsNvfUe8kzHCGqwh7XQq4OGCMHZK6PmXRvo8b8M
0M5vLVKLkIfc2ZhzurmlFIt55Dh+kNherpSsI1O9xqlsgt57tFSKnKsaMfQ/fDo6h4ggEd7xDKx8
2FxqTuKg23qaktba0xWF5bvLpo19vAwW/uzjMqxBU5xAnwrN5WqauoLepvCwwkjywWod99PEzf9g
GI0BsUNrPBS136e7l2/ArT2E2JVeMROm9GFX981yJgedNlecDA2C6gaauGMDQcGnl63cumdLYZ8R
c44IwM3LtYncRnUxZ21lNrQ/nFEo8SOJoYF9N7tu+roC/5+dhBgdHCzVb1iUV88bN0CXVPnFaXRN
8dlpNXGfB05zF0VV+9UsMvP08upu3AAq7pApLhRCECuubpxR9CA340ycYMvXi4+ymKr6q5YFGRPj
FNuKXTFos31uh7lMfnR1Vm89sjc+4jLcSqmfE7r07C+3l4CIRiSo8VPlT26oZ239ZJfV1jJvWSHv
ZjKf+JLTskpA0E/N7TSbixO8jT/oPhd3wINel0s9f7uFP5xOH3A8WvWrb2flDNA6lYlHrnOr3luR
b4YMsZPdvPzNbpxI7GAFNPECE1n5jsqCwCKBuv6U6y269OZkPuQgUXdtKvPzy6Zu7htpPCLElHmu
NGGhENA8Eo7iFHsWpL1U+lAsRI+2iu//B0Mgr5Z5L5A1azy2msratzNuWVvJ6KjFZfwGbcvh/eut
mMxRB9SPmbdaj8oSwIoJOm+8LmSl+y7J6mXAeIsp7tamkTeZ1HlwikSOl0eawnFbWuDSTulQJE9O
TKsI4uNxbDf83+J5VsnEQm5jPPcXyHRXd1ciFGJkml6e4DVqD4Vuy+GQ2nad7GNVk8lMNAPMjcDt
1trQyAQpB63f0tW4XJvdSjLPmuix1UwdBal0POZpbm+8JzetwLlFwMZQFXCASyvKSWlzQxJw0gFW
HDSTVGIsjS12r+dbv95AACnQfMLWwZTmyswMVJK5l648NV7/OHnFtAdFDt3w+NGMu09a1z70gx1W
lnM/TxOzL1YWbHzCmwvl3eTkw+bDNNflQsGLtsAn5/JkWUV3HGbyjC7R6o3LdcthEP6CfaY5wbjY
8u//CvmL2Qc6J0R5Eiz4jpJx+1RL+BIrN9vi4L61IK4W3E7E9qTVK0frmCqDnqEpT9lYu7u+cYET
JfGrydIYD7UpfiBbCUsAQ9WXC2qYFMkmOhIn2ea+s0+sKO2eqnjqoweNsuq/r/caAGJIV5g04KVa
3ecp13OYbEoSM+KzHZXs5pGu9Ou4D/68Hn9ZWUdq8ILWrWGT/km7Gu5mw1RH4ah07/Zq6829Ea4x
yMsLQgDKLV6ryqHQxyS2LaqTOXjGU5FKRqkQ/o52bR35uwqWoo9ci63y2C2rcP6DYaL6DehuddbF
ZOVzmmvlqbYQpjp2qsvaT9Ug5i/uXAT/TIZtMvTe64b8H7w+WRkcOAwRUg9eGcZMrvHR+H6Z6Pcp
JJTDrne8bktz5tbZZxaSljJWmGFenUogtTONOwRlGplOB5HH7RGpkq1575teC3exwPV4x6Dxuzz8
IH9yzWOI7qRlhfEOFE95ZOhN7iVwg09aEU97lY76WdTa+N1OqFVUM0Qdnd95G2/BzQ/61w9ZuU8r
0SU1fopZxTR8i+Ox2GmB9iHXmq9dPta0adSX119EiscBzWaiLHCElyvHGQwZB6g62bVMDqDeh53T
yi3e+VufEZJScPtQEiyxz6WVKE2kWxucU6AjCrWZ/LsugvT08lKWn7p+ev42sjqTLtTVLiLr1ckx
0+g42lO7N0ij7hvP2KLUuLmeZQCaNTH0uZYwoYGQpq6BY7FcLfhM+ScHVhNlG07yeVuuVvSXmeW0
/PXIxLaMakNwy4Z+/GHMLq118yMDAv94enuUWvzYtf3bRHU7kEtPwhoPpfZf5W7l1Tf3dZn/MGhw
8aqujoirTaarGRXxyTRGD1kwVGdjyOuwHzp3I4Vfjvd6wXQ1OI+AFemorZ46va8cDfotGpdW959u
Ddou04ezUaovGVCgjbt20xh1EfgkUJwAbHG5u4ar/DJpoMGZPdlmO6YyNHkeNW8u9wMMEMN9lhOX
/Q9xA/El1X+6Nktj69Ko1wx+B9PQUveZ572HVNy+Lab4GI/61tTUrUO6vOYIIen0a9biC0knzNoe
IKwqVN2iyTJXfbN3vHJM7l5/8WhGLdEWQ3W0QC/X9H+kndmO21a2hp+IAOfhlpKKkqtctstDbN8Q
jtPhPM98+vPtChqnSBEilO74ogEjWdrc09pr/cNkYqmTGnHujeQMnxp90E5pC4Bh0qb7kMH/3Oiv
HCHuOiG8sFqLfmWp0DBIu9rWgnySC07JnBo7NbOtFc/dxoWOCx2V/tUroA7BSo1qk3tJT8Lcj2N4
iPquPjWZNO9kq9uhgKIL9irY99UFFxdTm8INyhE3rnLdDSrcAA5BX8FpVkcdnbHbU7WxJvhoovRi
i/+tuwpyUoWAXLrc0xOfM39SpwOso3nnibsxKF6EhmiHU8HCV2K5IJRhHiwbsVOUvEwnco1uKMpL
0xWaepDrMdnbyGJ9rU4Nmglw1CgTUyRY82THPjSyaBaAajRvpPcU4+3ADYOkLg9m5WvpMwxdMz1X
iWXWZ80P7eb+mwePDrYY3QvOybXyVWAAvIlVxBPkbOo+tvU0XiLJss8qmde3uyeQh8BrpQJbN4Aq
y0+bK6OkSlh2eJWhZOGlyo3iD86OcE+zf2MKgW9qICsE5g0Nh2WcwWgyDfpf6gHGV04WlXfPrk1A
6kGwB7HeWJOEEkarwrsK+PAyVKpMZhqleuqNqsGI+jE7F854t9MBWsmsRxI8oaJ/5QKVgUfTx5oo
cVpmhz7RjAPi3e3x/umBqgrXiArgta283o21ULYjCqLWv3HUyQ5G4lt/346yNTkQU7lA6O3y1l5d
k3FnAluQqNL6mRN/RncQBalUrbtLKk3BTqYvvv5qcwnoNdk3vFtRrV3OjgBidcMQpV5vNOVTmNe8
cQtmErva3j+1Ck9DMG94QN49RMBnCKJQWRLeN6tzcRCwHydKaPyk8XBo4jI+5NqAMKW2yyjYat8B
1hAzRlOSxsVqiACY8qaP/ZRHhvKnpICVmkvzV5/X3+0hs2AVuOkz2KudS2Zj2QuBeayK0HyBoLGa
RKeroribRspzeW89zKaknkyttu7PqIB3gtRA4hoI67oW7IQdtWoQUl5kgWmT5yJH/GG+RAMFNC3b
pUtsDUoUhOnBwKvhUFyuFquzevCTauLJoV18tDJTjw4ZUN49lOxmHAsJG5GA04BcpRwDurO2jkEW
Lc6gc+FeFBdkN/d44HtRVlUKSdZHWBBoxctloZ1t308eNTMZdgDNm1GolZEE0OWjUrv8ZlnYlFlj
oArQlrylkSUp3cjomuP9G0pU5P4bZfXFenPkpyspZwYwqoMZYU0fw6M5qcG8R4G8HhBHBTUQWsR0
3a/Q4P2UQ59PTQ3js5HKPSitbzlenL9vD2grivOqoinyQHzOl5+tBLwfTEOjekHGEohnrTlFMUyg
21E2Dgf6fKCCYDXQGqAUsQyT192QDFKkeIGsow04fTTT/GFq69aNgGImavze0pNzY2YeItg72Zo4
eJZnr4lcBe8uZAE4INadKykIC4TpcatLJShHD0mrJd+0TMIaD5XbHLpPEuw5dm98VUEopqjJHWlS
3lkOV9U7nl8BIe3Oac9ZloynbA7bnQTxValvOTJqVtzIDAxB9Ks1bztx0DlAgD2nitHedkRWdkgD
hCq9MMjy8Ig8SVp7I5CO2GvjrquPWtIhzWEMGnDooQykyZVD9BzfFSkCruewLxIZURY1qc/6MJEP
Yb/QoF9iJX39GEdy9SsqpuLvXpnK7BhI6Au5mQ5h2iX/racDqiph6GaULuDn+WraPDh5XCenBt2k
36WBoPqHnYV1fbHCbMJih7a8ADesK4YdqVtH+Y5SD9062HmFWQQXqTJa7D7aFlkAVB8CSOnzEH1A
fqVogZHP8xc/UUGFkxYEaG4rQxofYy1P2mNTdZ3mUoIMlEcfxkx0UDOt1XdW5HXmIX40HWKyAcge
a3azLhVaFPgOFdVJth6bcAB13iNJJStdshPqeiUSiuVBBkBajenRciUaLfLweasVnqVVJTjnuTvU
PTy829OwHYVeBV1ousPrxl+KEHA51lLhIWNQejBP2ufQL/ekMjejwEvgmSfspddJlNP3POYiu/BS
zDqfJscwH0Aq+Peaz1O+R7EWjRnKyWDvVntXi0vZqWfGkidULIsiDw/0mGc3o8Z3vP3ZNhcvLBUO
eJ47tB+Wk5PaVV7Bky09+JD1+36Ulc9NHXenAE0wr1Zgb0RRk++kouI/ujo0BLxDdK+4V6DMLoOW
WTWpICJKrx9G9bPJ5XxumiJ4zuAquoEsNQ9dQQ/SsSTjfHu4GwViAffjCLaABgH2EhP8phJXORYo
W+yAPNVP0/KcNEUSQEaIqaUMkGO+64Zv/MhCdsx56IEUH6bUj83TOMuVdWhoQZin27/o+mrgB71y
bRHF4Z222h2tboUjbNUC5NWIaG3m+GjDKHn7lUJZ+jCU6fjzfwu4yuxkJfTVOGdxyVbyqetz40Pg
D/0L/MzpOUDC419EE9BH1Hd40qvry131jbruGF6Y5O0LfMPuk47Z9pde7k5+OnQ787u1PzH0ZD2L
TjZttuX0QiUO8zzkWLP7wv+jASp1EFSI37cHtXV4khSB1ga3zfW6Wr9yPGm2L3PMKHQJT9GYSJ+T
UWveT6MUfL8damt54FAok/A5dA7XCBs/KnUwlTahsFv8y6nt/CyFsuPywW3PHoM9MdStodHLw+WV
oia32Wp/OBWmH1VQFVArzfQ90iHqAY9y7aTI8R5tf2toAltD8VQwda70KCK/lwyb2ntIV6MDYzkj
GIboizO6pdMLNe1CcuKd23prgVCPJl0RevhoQy0XSOhLatJmtPcyrW8at86sunwcZBhSX+6fOJIM
jlQBekeBeBlIyibBicpKz5Z8NArNIPhihHJ6ROpJPSGsPO8MbOtrQurgOrdfm2yriYtnOPO9ykar
qaUeMrpE1SFXzOKYAUV8N2E/u2cbcx2R25x1aVMopuyzxuSiNzlOeKGyNFFzdf3KmVw8nn535vS1
w31lJ4vYiqbRmGVxQu9GTWL5PWvYYq02NJXXz2oeH6x6NI69M8HglRL76xhL5sfbE3i9E1gdomEJ
SgVr2fXOK/2i5EvGaMs0kn7SG7l5acoB4hWOeV9vh9oaG/JryPWgaYfb5eo8MbVG50g2Sq8EHfUZ
ik6buL6PVqCrciNerCSu97jr1/vApqxFR0EUOhVnLWdZ1bMlRxWTh615dDJGPTnO47ynX771Dalr
UasD905RUPz9m9uWTB5DpngsvcAwtd6ThnH6lVWSPR99TYt3JmxrSKbofTJd1PrXWzs3srTv6X56
Ye5bBz8sUNVykvDuPBOo15soq31mmRicx1JReRq2p8dcj7RjPCZ7ojPXaRlRIKIxRSpEk/XeGvU5
qqtxZLVrVXzBjkH5o0Ne7TQYdfFpkpR6APTjjztnyOYXRGSWUgwsySugWThAhJLSvPKCoqgqV+kN
s4Nvj4nQ8faC31oXwsviv4FW13ShBVqit1nlZa2fvoMkLZ26qOi/Oa1u77z7r3NNviQvAtRMUE64
ktC3usQ04DaXnjEpYXYqklI5jEqjH3NFojej25390KV64ll9Nu9kI5uzCGKbxz9/6KAsl78J13dC
kqvC69W4ZJr8n6CUYjivrVfV8UMUDL9uf9bN+XsTb3W5dZ3lzFFFPNMvu6NuR5ObqP6eQsxmFOoK
luDxUSNc3Wx9jgl1bjF5PXpS2HhWHQg+JKtuj2VriYBieFUnQhppnahb0axqaamXHpTT4Ey3kKMK
CdXPNXWxz7dDbQ3obajVKdXhdzBlJkuky4LYOGggN7pDVun+l38RB1MNsmEyLNCpy+WgGLUFjglK
WsrD/AcAy8Q8SIMf7tmRbF0npB6CJyZa0/bqqpS6sY8znSNKLqrpt9RNKbW71KbOYlaWJ9XTnXKl
opuLzibIRyTMyPWv2H2BYg5pr7IkALKHZy2vjTOyluMjOqbGy+2PuDE4Ou6w7zjnRdV4NTgr8jX4
ImPtFXrZYkYn981T2eE/fKTP3P6uCr+9v9dK44ynGYhV5EvJxZfz1slRSo8I3B4C8uavfBo7eLrQ
2MOdo2qjREk6BWJP5Iw8hdaPcUvuOIn0MfekpHNe0LKMTrUdVY+6XPlPYA3sb0lTxQ860j0esDvn
mzFJ0R5FeGPjUQrgbUyFg3fU+nETaNoEvhXYpZkC6Qw7qXiY+iCMXMm3xh3C1U6sKzqyb2I8Eil8
2UGTDpOTmOSRbXGYayyjbq+bzVCvnROBOgZsvpxELcdNPgmbwptS6qG10TYXNYj8r35Yxjuj2jhP
YHqINjbnIyn56oDUoPSmczzBLozgqamWX7yMpRPe3W0QxPH/j7K6XCJsw6wo6wRdMjbPo1WM33Op
t3e22+ZYWIu0gkDtQ45bfjZcBhJNTxiLYaHQhSmUduqscthJ7rdWvoE9KzVy8Zxg8S/D6BlTU6os
Or3vvkyGVH9Sae7SewjdzhzeVfXwMCg4xSmors5a3e5c1BujJDxYJdJ8kOnry6ZusnpqG9ahlPZR
I2xwnaOeduWeJMTG4UVGJ0QO+EcBOrQc5tBOpWk3INvAf4WeY8/VKW1kxFVo/F78Or2f4YR6O08Y
jNn5pqT7q3g9RWaU0HNw20rya4wd+UWeZut4e2ttfb23UVaTJ/uY9NWmn3th75enbij7Q5vVf98f
RIhXsqWEZtwaG9KlI3p0gZV7auWrT7ncmycWw55D+tZQBBUMyhs27IRbfrAqG/o4zTnqFZAojzgU
hE9GN5o7CcdGTgrUnCnh8UUxWV299/x5NiMKimDrIUr8mcRx/11RU+cnTilV/WIVmlQf4jmxH8ls
B8e7/SG31qAJnAzmACUsnkrLIfp6bxlDnFHCdrTHfPaDQ5mPz6rafS8aMoXbwba+J8q2aE0QCRra
6pBCtC4GmgcqNcqS8jELTP1d3ihxsXNzbhzuVK9JrcgLYJeum10wp/oy7OFzK3k4/RxqpDsqOU2O
IVI/97+RKBsxdeDjTIoeq2TAcfouaWQWezEH2U/oP8olg2t6uv3dtgYkrJmB+zEqXi7LSZIyI0WB
S2Mdtqr05A+1cRyyXnvOOjvYOXu3poiSkfCwUqisOOLv37zRq1KhjKgRSq+K7JgN2Xyck90MUSzp
Zcmfahv1X5zeBHBHXy350C+GPPSdHJKZPRxHFA17zXLLxv9gWvV/eFXHLt1fzXWm9H5YkgiNGhCp
lagdrb6lA0NXCUtmrGyaGonwXv0pdUG2s6c3P+ObKKvPGMxSOKc1A0xHIw7dKtKjRz3Ogp3q/eZ3
JD0EpimOp7VqZl5NAANKKP5hXg7AC+Spdoe0DB6isBs/6lIYPpt0bN6lTk/eqJudvbMyN84uUc6n
us4XRY5OrNw3y6U1O4S9EP72xiRy3heBEp96WZI/TfVgvs8jFKlsq7A8/mUnuH+XY7VMYRs6q0Fu
ukr9w8hKw0YCnto6FrpkkMa+I9tm/CygXt9/bnE6gmAGFU5vdw1lqyWjqlopAjPqmDjv4DP6LMeq
+fX2Lt9YM4soq7OkCZJQU/DK8OayTh4DuQqMs+mUdfDwL+Jw+HJeQekCxbWcM6eL+iapGE02GOhG
Qvqo3WQKUaS7HWfj1OJpZoO/YooAe612WlnKhT3S6PG6tjilU6kjzR7/UVbF/agh2rykHAIxhDbP
miGOAaPCYiBQFKI0HzbVBx8PiJ0Ee2s0yNUg2QET6NoXziYNiLCCyjxNZiu1ZffBnM3wmHXx9Nft
7yYSpNXhCKcZ/rQoAvP4W81P0U+9WjQKkar+4HewjQ5aIWsnbHba7pAqSN8DcS/Hy+2wW8uP2qzA
MSJ0DhBjuSwwbes4SyKh/jCarq2UyVFHYuD++wVRW53zSpDsaGUto6To6WWI0qIjE2fxodLU4SGy
djOArbFQhwBPqwr9+bWSBTalZMGInHk2egyuVXXFx0ELkp0C28bpSzmF2ii8epRs12NpzbQswXQQ
xUn7J2lC1fZkQA7+HiRdcQjCyv6Kv3eCt08gZSj0xsrOx9xYkxS2VSTc6YFQjVhNmVTPCi9yAO3z
DNcg6+DAIduBunrVDTubeeOLLkKt8sTCcGItDiGAwv1Dk7G2fiGp6/+rIGCUhMyWOG+Xi6PL9DJt
6RZ5ER4MYNmbX70cmOe71zmHBGUpkEoqRcv1saQ0aoboM68uOQSoNHBbKGT5p9tRtqYGPSihpQ4J
mGtqORQtEzYcMd+rSYO8cJ2oRU7LSNsnJDmHr7djbc3NP7xzNhWkvdUzJdIqvRkUnsttW9FXdAS9
TA7Kz/8iCk10Q8BDkK5QlyOqpKkuAWOw2IbYtlwFDxQvwZXoz9thNjYVwD9e36jtQd5Z02LlVh/L
OOrJdeN2+jhPodlVbo0Hmf+oIzHUuJkcdtPR6ZqqOiVh2D32nT9gGn37Z2x9U05Cuh4KdUUy7+Vo
y6acwwKLPG8egz8xpFSebSXKdrpHW2OlY8oxCGMTtNzqk2a4J2LbzMXldBoKnGNvHwKr/2YY7adQ
1Z60uH/ft2rrJsq8g1LeWp7cZGw0xgfqZpVrDJCoe6TV2c6lYaGjmMinoMVypaiwE7z9JTcH+Qr4
pucCLno1SAj+c6mY8LF8o/0L74dj0Vj1g+X432drfpCiEeUY7Uempzu7YiM1fe1JQK7mfUspejmD
becHVZJAOvPzpsoOlRHMP7RKbT7btVRbn8NWjs2HCJJOfaKYMM07l8PmF+YaBQVNveVKVAwxECkK
EyfzhMuLC/RS6g+ykvYnAwSK6t7+xmIsq5SBDwvCU/S2SE5Wp02kFwkateTCSiQbRxPbgRrOUa+5
gc7T3koMxEFvR9zaH2J7iMIBT+01XGPydbw1BpbuWAi5hkkyEJD0Za39N3F4rFnk31zoa202KGi4
1khonvaKk3/OzH4+2GAV76/RWmDAeAHxykYJc7VG9a7UGA5g3yKCvicZZfkUxKOysxO2vpnYcyTD
3Ndkq8sVqc9NWKgtS6KQ5OSYItrn2Xpivdyema2F9zaK+BVvnmSJ2dBm77UMXx8n/qsoEZ9wnCD4
mfpoHt8OtTkgLjdB4sYGby1FbmRSV1LHZXK6xjkOVRkcZwC7979XLGCpmAXQBIF+Jgb8ZkCyb6dF
bvDZ6OgmfyHk5btmYWv/uT2WrS1EJwOmP3+oxq0mh6pHOHO5Iqvr9z8hWL4oPVaMaS31bjzuISE2
UnyGRCnMEEnVlWoHjADZTtGz8Ka+eQ7t0n8vZeb0iQvR/AxTAJCH1u9caFvLgroH2icK80WKtfyK
2VBaEk4zuUdHqzogI2S4ZajMB4E43tmzW6P7R8UUaXUyrFU+EipJXwWSyuUSdd3nSKnz1G1VIzgh
zO3/0cqqeUJN5O7dxRKE7oNrvcDhwfdZDnCO+zEcrCY/WwiVf9CSzEK52NozXL9a8kTh1YxWJPVL
gZFdRqGkVMtTp2fnztbG9Fkth3b+aJl+Wtw7XwR6FcaFEUt7YC3zI/VgwJsoTc+Q6Gp4qjpq25FT
uHHS7N0eG2MS0AvIEGBhyXZWS7+JJBWRdjs9x36HtrtMWvKAPZ167w6jSPrKNhf2PEJEd/np6CaB
d6/C5EzijyngYPg/EA9tDoGRG/UhUczyeHtLXy15+m20VwhFQsk5tF6HXYOnOFaDZwNbqBdHkoff
foWpJewHZwejfY0kpvkMrEmIq5Gz8mxfDi43prYP4zo+KyNMX200hsc+VlGCneTuBy7NNorBnfOI
8HzzmGMPfS6aPPoYAFPaGfT1ZHJUwjgSSjnM5fox0GdG4xtZxqCHrH0ntwixR3Gs7ES52uLCMAGW
L1eJEOpeFwt6rOj7trSjcy2rWK0ao/0yOP10CKK5+7Me5eljMczy3bVbEZU+KlhxCoZsw+VHtpEi
oXYwRWcZ/+PPHd4JLzVV5o+3l83WFySOQiUJzcir+ouEzqedGnp0rhBDOyRV27kVRYudL3h13zAW
kT8hJccGh2W/GouZlUowGNE5GazsY40gve/mTqinQN6r4T+GDkT09rhezZoWWSIhhYQjgltoYbJQ
lyEjXAtQwC3j86win/7Nkeqkd02l1rQPEpXj+WzPpZYdNGR+50Nn9favUTdr/0g/RbgFl0ndPmJU
YEmexhTrhzpru8Sd/X5M3Y5TUe0o2MdF9kHu7Fiu3EGdcumzjy2K/6wMzjA8pojzme+UNpGiU+xH
fX25PcTrHU8GR4tEfE9KgeuTjOd4PctaKKGlHw7FAXWZ5JdT5QGQWytuftwOdvXAEHkPG0y8hXHh
Wj/xcSQtA542MUokZflgzW35OOd2/cEumv5JT335rwkgGDVjp/duR75eoQbQE/y4CA4ue40HNAel
jBtTjs4KljYns8kBgGB+fu81TqOEKxUpDb6koLMul4uR2JWJUQN7PHDm9pFHopo8wG5qKhdwv+If
wVV0ybkysRc93TlA3ky0NdiD7D+x55ehMy3gv+1LwRl7RV92k15SjynaxXtIg6v14oBSEnpiOrok
FBzEh36TWkajFJlGPUdnrU/sj5SLcLNoI1t9aPsWDNHtQV3teIJRSUA9kj4ujJ7VNVsJNb9S66Kz
NCq/ZwSuXX1SngdH+jBL9c7a3BoYXu28ZcjLcTxeXX21M3eFVJjhuVD9+tSmvnnmaK4efdCPO+n5
1VVA6RNgkDBroBMDhH/5Df0C2fCsTTnIpliJ3zdDZBgvA7a3v3KrD8ND3Un4yuatle30XjfGSP0C
7hVPQwDD68AgltVs1MPojL6ucjBrzuket/rDaI97UhRXG44xcu2QOzvg9yF6LMdYj0NI64GtYMdI
3zVJWbu+Mvg7q35rQKx7XvC0eUUFbBkFtTndxl0yPsNNxcolkBiLJsenOSn20PrXA+KjwVPn7Ubi
RyN2GWrA+bZwJj04l9nYn+bJVl5Sp96DOF4PiOzfAjrBMUVdct0ByswqmGs7VL20TZI/U3zKnh2t
jL8GNR3f25vrehUSCukEIddBS/nVbuLNTs7J80oZIXWuJuNLVgfv8Jh8yXPlZzXlz01d3r2/8ONT
RXolTCyumH9yRHUXVoPilWFrn/1unA+xoZbvUsRnd46NjY/IggCYQ6LAMjfFVL4ZWQ3wLwT+r3hy
bn2Z7WS+gDXHXklqw51rZSMSfAPaMuIVwLG4WhQdzCx4yYripVOmHSa97A5macqejY3yznRdn4U8
OFiBaOkyZVDBloPCQDodTBvx2gJnpEMHCUZJk992jIUhXYCdYBuLneNW0BvIiYUf+zKYqQWq3AAo
8xr6Ah/kqI+fWrmYTrdX4GYUHuhQfnl9Xvn7KOBoSzg9itc25vQcoZFzkkPM7m5H2ZwjENCkjkKV
Zg04QRva6SklK56Twx9y4exS6qscP/pdVWaz11ndjiYE0YBYcZ+svlxoB5C/SktBaXGwDsqg1A+z
4ZQPaXm/lhxPUHI2EhuEbakUr5Z5g+GMFAFL8eywNh6jKo/POXa3O0t8a5JAv4nlTXvhSta2wbss
cWKDz9crwwVns+7Bn6t65wVxfRixzMAHQ2oFLMDrc7ngQr8a7SBMVNhJQuRQzuSseZgtI3tS/TFX
3D6Ddeb6shVPO0v9esIMOlvAoUFECP3m1QsJDSQpimsdEcM4cB4zRBrcdnTsd+Fc3i3+xx0F5ETg
uEB/cEEuBymNo291+ggvuKa/r9itcVDsqd9Z79cTJuAtLAg4PBST1igPIJ8ydWxn8rIgHVwraks3
zaY9VfatKLRBxFSp+Puso5Qh7mlGF87QeMLhwANfPZatvVc7unowQAAHboHgqwJbnKff6ouVku1g
YDlCldC1R9vPzb/1DheH3C6iH/U828cmdPLvadHucQCulwUnBjx1oKbkS7yPlpFleYDEDO/Fa4Kx
Pmd9MJOWYXqYlfHdiCBxOHFXcUKhE8ILaRkq9WtrCKHCe40NJRZurmG79MfTy9Q01QEPC+tB/Jjs
0I6x8v324Xg9jSDkyNJJRvmHP8vYulrggWlGJheY4v8VwZs6BGpb/XV3FApzZE+EEsBN8SveXMiW
HFu9n3cGklOhiSIZbmVf27jU91ofG5MGuEl4AAtgFanNMk7qZHFYZYHm5U0on2C/9sd6mrJjBLbn
vl3G7SjQeCCtxekhbpZlKKkrpkDWQ3QSrdDHk1Xrg+CQy9NeEXo1Qf/EMbFXUBkRvLnVBCU1R28B
mOqiTbZ0UMJQP4WwKHYOwdXx+08UB84LZUaZ1FN82DcThF3VPIYxUeo87n7D67ISL/aDvj7KmTr9
3Wd2ol2iyTayncCbw3sTeLXBA64XMEFmeSlRc/ucUgr50tJEdu9af6/D01nH2JZSsEckZzm8ooV9
PWLDdMktHnN5mznnsJamX/9blNVYJAt/nSbLqouhd/P7sLCdjzESGtXOYMR/5k1N6p/BwMkjXxIL
cC0srg5+MbdTUl3isH8y2+FzzsgORtfN7lii93f/oLgZaUOT4QKZWQ3KDlJ/jtusvcB41McjeLQy
ddVplvcItVtLkOyWk5BYVDFWexf8VqtZRdIictoApMLN049p+xXj9Cnsqj5/L/thUJ7wuNKn8+0x
bnxRAwgXoAKILcCfVgdwofeJThWuuzRYGI+HXgYa8mDhWYfQSutrxp9Jlg4gvG5H3RgwixHOBOpC
tKHXSv6FqVSzwZVySeMgdhPD9D2LDCFyyRTlgy8sIm1Jb8qdsBs7DgiWpmGbSBYCnni5F+axDpIh
nQmrSgMuWoUTPWbhrL7cHt1mGDCGor3ElK7d1pwuLxMnCuuL4Td+584NOcnXMJqCPS2UzUCASCng
I1l95cSH8BNmu5HJ3u6tyB0DpPGkfrzTdkFsOlpltJc49TklNfEr3hyQ9VTi5YOQ5kVTi6dRwvbe
UGbfu/3NVtkOQaDni3OKXUC5fr2zk85S/WpqqstotMmjVTZ/dlVFvRn7M0zr1Ln86Ae+ER7TXC32
tPWv9wCgPB7oVDbgiHBPLwdYYNfdUnUqL3E5NC9lmeK1JinDhOSfZeFPYARNcWfX83W8Aq8pIB9k
d+t3umFmsjVojFcvSEQOFcX8lzKD+nIq02G66FbfHul9tn/e/sxbQ7WRxKDrIzCjxiq1q6U2glKi
1heFxnXtyeMEcjTTScMQfEgj1e3yQp929sP1bgfQwhOH60eUXNZjhTiq2AHa35cpHuvn0uk65VOO
MEH6XnLQt3JhiUnRmYvYqf+4PdzrDSJKtmAdxfKlcrXa8OBRzLHps+IStH726ONIRQejvJMpJeaS
Wi2YIdrYvD4cMf43GwR6YG1Ow1BcumpMPEmtqo9DW+216jamTtBjuR5wqKSQv5o6cMZ2HqdpcZHR
C3s0s9z5G2fA/sizMscHTcnKu/MThgW8QaYWx3N+XTG19RRcvqoWlzoYErTRusgLo6A+3p6iVd76
z8cjOeFgQaOGi3b58SCmGHqbICdemFNxKAKzc1UfyJ5W+HtlpM3VAF1FIMw5Zdbnci37Ck70Gl9w
MLoHuxvyi5aOe1nD5oBo1Qj/dh4169XOhRoqgCeKix+TDwVRPR97vR9ehjpqHm5/u80lwfzQqRKl
uHWpqooNq4ESU1zUcJgHN/Nr9aEvR4QXlMmwnhS/VO+rov8zW1S1KWTi7gJWfzlbalCQp2LGdBm1
xPppIMLtFrIVvWSOtefYtTVbnI+sCyh1XHCrpAiXB4yr5ImFoSr9CaUr8xgC6HJvf8Kt2YINAIWf
7Es4ICwH1AiyyIiv/AXd1O5rnNbmSx84zbugkvfY51uhwMWzodiqQDi1Zaheas2qTgkV8uQ+BE3S
naY2N45Tl4fn26Pa+nZvQ4m/f3Mi8TabK1p+xcXR4qo4Uuk242NJIrhznWzFAQHCluIGpRiymiMl
V2ZlVILiYmba+JCEhunVOmqvt0ez9eFASwA1oqciipnL0RQVQGa8hXEcyMvSx+E6yfWDAsHBfxxy
XA3/xZJAcFAgaVjkmMAvw8Xy0Nq5NbPwpq486oETnmO1yrCjT9KdDbz1/cgR/2Efit7iMhTMDcQ8
Gs50vtp8LLRsduuyrY53fz/RFeUaFGUdtJqXUdqidYhTsWlbaTBwMenab4j3qv17KjpKsBNt47YH
gkSCTYUWLZ21Z2EcG0Gu5g5nq2/J5zhDfjNQJ3cKbBfT5uaQ6EGys9yvzkEasrCvud8F9hrAwnKA
kQRjAmG4/GJlkvzRjJ/L8lDKc3scEEo/3f6Ym7FoT3GP0KiilLmM1etqKdU2S96eQ7ImKe3q8qHI
a2atCWLtYy1Zw86he7VKeETwMCQ9pV0g8ArLkGVqhLpPA+ciT9H0PqUyfEgx/fh0e2BXu4xEQbRz
aCdSCCHOMgr+4XpqtylRCiM4qHWrPxfFlJ9jp5p2jo2tUILKDq8KjAnsimWoaCjk3M5Rrh/HoHAp
ftcPpTja2zgK7oOuv0pFClAAJkXsZ+7IZSg579Ucs9jgUmWpcfYl2XlWOyt9qltTvjfZFAV8bn3R
06Htu/6AWimHhTUZwSWILcxcpepbnkx7XohXy084eZDKAsUH3UrtbjmeNE99K2p666wa83OmKO8i
f7BdrEu+9JJ/Z3+AM53mEA0q3soIrdMJWQbzwXvkGi4el5j0/mS2fpi6th/7x4p/7U7O0GswSgIi
h/4Hd7QMpittILxl8ktsxOoxD2fHnbV8Dyj5WpxflJB4YQKxpz3FDUzCubpM4DEPhQO+9WKrrd+7
ad415SHsokw/p4bdFO9a9EvGRwC+6bEuud3cfIjC5ypUWmMHR341l+Kxy4GFeTJYYQ6v5YiNWfjR
2Dafd8odjLB9Rz6D+zN+2HE9vm8Qjpl2rrbriBzKVG1FxiiUTFc3QSlbfptXbXqJWrP+3liK/wT/
N0ve2V1iZUfgM5GyE/Lq8EKsCF6nKD9ifM//WQ7SaVvbqEs9vdQwqN0sypSDPep7RMGrEwX5ZDjo
oLnA24J0Wq3UsGERj77RX4aJbgyZSuciylEfitnYkyR+vU2WK4g3O7JqvMLEs2g9IjtlNwRN1V7C
Lhjf68qEj08VNgER5fjJSTEAtBWjczXcRL1SzfMn3m3WryEwLDfy9ehOcgUbh1oaCtoIXYGvvGLo
QuYAQFpl9SXP2/oHOELVrZ022Vms1/PIGxpwxmsaoQKAWs6j3Cj+PDpBc+l6vQtPo6lJmD8hZ3Bv
siee0bzNhKAt/fd1Sjn7EcaoYdNebElpP2SFkT5MWpP8wDRXPd6+8a6HRAsPfBXVQAZGN3k5JGgB
QzpIfX4pYsSSXXOWjJdGlccvt8Ncr00yV/AEtJAtTFTWwOIprTQSvZkwrakfyGDQqO944UYz4sC3
Q13tb0oDjEQIMoMv5uG+HNE02xU8yGK+VMFQuWHZB24Sa8mRZmWN53xxH64FzAdleFFFYnBIFa1z
oUavAHE5WndJZnyN07JVULhEdofLfQ9CfPUR2d5imb+e2giCr5Zf1QWyPRlTfym6YDpajPS5y5Tq
sSj9u4tGAg1N/5hKPM8AHrvLjxg2uYkYXqxeugxFAuTdSlhYZraTmIgfvDhF6GtBhKKHZoJcvIJm
zGbplJWSqrwG2+AhHHwLM9Qk+tXrWI8Zeak+ZRUn6s7uEtnpVVQKcTSVhSzT+m2jjZojTc6oXuRe
8091WNenubWjB6dKh2dlbvtHK9ez59pM/b/Q9dgrWFztOAo8IOOEOjkdPXnd7tWLMoZ04UwXqTbl
I4L+IyKDzd0POKLw/kBXFhwUa2b1pgeRaaeJwi5o8jE/Tr35t9FU6nEwlb2a3Ho8pEc8FIUMPpLk
AmS7XCo+xP40GRv5Hcwc6cPAPn9XavpeC2+9VF6jUFlEVkgoC60vnJG0NnMie37ny3Yp4K1fan34
pAJvcNvQ+AmK+eG+Y0QEJDunWEvSzH262mxYMsSThfT+uzQzRzewQvM4jaHl6lr6rcnDz7ejbXxE
QbpQeb/h4HUlOVhXRmlaSTW+66D2H/Va8g9t1FY7R6OYircrn3QHeR8a8RRoOYzX/XFJZNTA7/6P
s/PakdzIuvUTEaA3t0zDKlY7Sd0tc0NII4meDHrz9P8XNQc4nWQiiRxAEAYQpnZGcEfENmutPYVx
XtV/W7Vmnut5HYO5iYqXqOmM34osq659fRiy37PMAC0qSbLFgfffOklvRE1pOdkUmlrWnOdu7c56
03Vnfs5ydUun/tLN6NlETet9e7yz20tTrpm4iMYNWlGSWH5ruS1msRrTNIZ5X6kXoPjKicENql9F
67P3MzO1aKsx8or3i3R1G1nOKTAUfaj6cBCr/RWpA5jfjZZ8Fc58xPB7/1u3n5KSEwVwKcEvE8jN
Be31hZqkozaEs2FnKvNQ1zIJM6Wzx288jkV6TsypzL66UxvHL8toJKvfzWXmftJGL9FOngpKKCSo
ipXLUqhzfLZMZhQd3LT7vTeoMkuEGo/WnuIzmeY06fM8hPCowH0wOlB8HjO3vnpDcQQVumeLvBCY
BE5MH3ezIdZYp1nHRNwwLe36NFBK+zCVU8JZEvO3xy61P6w4MpB0xsnz9u8kNPM40SoY57hULrpf
PLfXvy1F9uScNtpFwFcZL4I6iySgbEELalTWnRvbXTgOXnRKC7s4xbbZH3yiXS74bgaEE0kfVqjL
3p4PvdIjAMaMj1lNo/5TZZ7pv3OMhGbfZ/0lF/byljAR5Eo/Wr00vZu8Wsnkvjze0DvfDprbu1IQ
rTHY/be/oYysdc5ctQvzTK0+WZHIPrZ6P1PKKucDAYE7pghoCNfgI3K1b+tIqV1mwq0XLyzGNQ/1
DChNYylDYPdPY1vgSOD6NEDkWGE2WLrRDwVofS37boxKN1QLoflx22XXOBbRwTu1jWakFZ53bjjZ
oOaS21hxTIBBhPFh4gzxlTnNLpCkrH5BVDu6dt2YfzMJeEKvLNOrWOw8ePzp9hc7JVWIbTIXJE/f
dnrWshoZfRc5YQMe8OMy2B8aIu5Xcpv1SrTQXNdR0z4b8BzOjw1vw3zWjRyJnB5Lzxpy7sZn9Kjv
LGvN3NB0it+SBo10NGxzxC2Lxe9i9Sj+2J95Djvy8txisv2/fToR+Glzsk8nVNIcCc94mMKOB+fy
eFHvs+5ur3WqA3iNVMajZLCtClLbbwDyKHqoG0ynA22YWGNInKoOZwcUMxe3Nyf/dLZRa0gfN279
uXJ7o30ty7ZOQUny8tAy73Xtc162TvoKQj36dUrpHviLOw/KS9fW0ce1qNGC9mFJWLFfgAuIfQgv
3ZHQ9d43QA0TyyDDzlNFTnvrmlQkF7IgSwvp+MAyWaJeNRjYNRfTZ42Ky3StlM4CYNAolJxcexHa
Acd07yPk6DQv8E85rWlb9J+itUfuOtbDQmNMtc8I1t79Flfu8qs7O856StiX4eCC2TkKtuRcKJhg
tkRzbu5ThcAAVmufhe1azEHuJem1AwTx8thR7lkhu5WYSlLcnWDjYka1RQcoD02hJNGrGTWDOCGV
sBQH78MdQzCC4dbg/Cxni8CFANZr+TrlYeEK2HNq1V+auE2+Pr0cKfwDCApvkSz/W09p07ZX5iQt
QnAZUGKtpTllKTqHj63s7n5qfpCRKBnzZ8CdyLX+cCGLNrXMeYrSsJ5QZLIzoX+sdeQxDL14cpQh
MYg0RWFM4rsgJm2aWl2RM4XczrIQNNF6Vpo5OjGExnmyrvhuReI6wFtQWNzKuHVVm9R0adIQYw2p
iVbUzSmfk/ro9ttlXyyHF1oieKly8J1ud65yx6LyyioNx6l1f+rz1bwUWWMFs6nGHydHaQJao9qT
1QG5OtrSQLuk2C8Jy61RKuDNnDH0LUyY8fonNI7lz8Idkw+JM2a/NIY9fclsxDYf+4j0gZsLmPRL
Vo/4aBLysS2iqta4mFpuZmGpK+U1alIVVC+35/NWoP9BAAQBCAbJuF2at7oUZc00D50sNS5mjNZl
pJlH4No7/o6fE0aC76aPu30ikyTJh6V08rDRpykLGBFmrlcj75L4VHrlIXztnjmqe9TWGWjD27U5
Xg5yIK6hTCJs2jgKp5kn3+205ArYqDq4ZHcvC2VeLlm+EhBYkvPNJVsvo+j6RjRh5BmTOHsAMYrP
ECLs8gR2WWdUbeoJnXBrHcYgNgQCgI8/4H6tDBYBuEbNSkZ52wbvKHRrcOHBhMZorWd2+m+Vp/uU
jOvRGd8fPSyxoe/ik3QuNldjHLcV+oV9EyKuEn0UimIyjN1xfiIWN875bHkvlrOmz0k3yhQKLQ3e
baiVqEFsS2TJCJLZSvuaxG2dAwiP3amZwQKOTV4dHLg7OwlyGIVjGJx0zMzNKY9yNfK0yK7DRmN4
ODUWfc1Okz513UXr1Ug5iFfvbCcdV0JliFGcu62TghBgep1HvGEbyXTVon75AMBm+eLAevxir4X2
hZlPR/POdjE6GSm3mZxMIIXLtvLKjM4d8yrqstAhJfiEWptxcca5foVip8V+JZIh+2UtGy/+JArF
6oK+LJ2Dbd7faySRzByBsy0bmdufsEB5N6bRVV7RTEsZXu64Po/HUWfxjhWePK5qT867p1h3e681
i07TJW2j17WJky+w677DY81+eXz27hmRnSdZC+eRVTdGcn3trcYqotcqLYtrtRT9ycgRZ31sZe+X
BkwIIKIScUBiswlec66URDerOFw0NC1WVCvDuoTVmVjKkbbR3hSXJmUjme6TMG6h7x6smMoypjos
oYTNJ5u5RQg5W4qVosczIcP9eGV7bySFwfUZJ4VSO3iY24+kFM242K1bhCIv9HNZGEZY5CvQ+nie
P6YMjrtqTuKcRRdPlymenpTm5iCQrfJEwP7mQqaScmu+LOS7qwxryLysQjnXpgFsxKTaMfoMnliO
xPT23oI5ijXwI+XIym1+XMBvT3unXsOyWMyXRHjumdEj6eXxnu4/IRQg2kBARakJEcTeLqonZpiK
JVnDOLLpl7SG0/leX9IHitD4Oqr+3bXmUMJiB6l57Yr7/czEb8VZQk1tusCyR6b8NHhpx4ym748X
tt8+3jjmm5Ftg4uhU3+7MC+tJoT055EyuNHE1MGzDH6QCSL8sZ39kuRbanqEzTw36ERt7FRg9MjU
xtCIRtVniGL9UqBPcO0H9Wiq1L0lkaKRmb7X97dKPF7HjKcV/EjoKEP5onrVcI0VRG8fL0huzG0g
Kf8+CaApp5js3jUxK7MBe0ULHRUwPcphRsWQroTJ3GibT/N4JVhXn2Qfc7YkKJpYGWQHydS2Q+hU
iTZHrtDCHKTGOWNY9iluU+c0ePmTs83fTdHTlQLSEh+6ZR+3Zbmqa5lqoTHTx13GorwmjOU+OFf7
byXvQ0LX9zWBxb51C0sXC1rAhhqOVEovbayh6SWWo3Fqd60AQUQPWwZz2+JOkmpI9cSuGjp5NFyX
xlp9o2+PtJj2xR25VVJjR+I06DtuFrOsKxow46yGq9PG8xX/NtN/56LUq7dq1nsjcKjImF96ZRmb
U9taaOSMCpI/F66eZPpcqEOTvIhKDO5LnFvgMhMrShTFV8ums+BtloX7XVuqvLyoyK7zfxgrZpVk
XUJkanXCOxqyd2/bJG1aYxQXespbUZ1s1tuW0HCh5J7N33V49m8Sn390kvZXAwwiqm8AsXg0qN7e
+kBMkFr0y7CETqRUV7XyZNsod09G3Dwp8opTS7ISgQsgaEja2+yPzxKlDOPkYjVrsORignyG6pRv
NG335fH9cGfzqEPja7KNA553c7GaQk+dssuWUCUIPC1Lo/vO6Mbnx1bu7B1oAeqJzGuFv7c9P2mx
xGi9LHPY123zsrQIlqSiTE710h8NcNibQiWA/aO7SOS0k9a2TMUb6ixqQq4G/VNRqNofmTcbb3Bt
lAMczj1TlJqJX1DQuRMwLensObPRhh1h+wvTWOpTP1qoUgv3ABC6TxeQe4H9iC3aPYQQt77H6ItE
z4a2CXUdaJWfx6Vi+0o7Ko0PCrEur+OsJfUVyHHmPf0iyomf5EY0EsGWbzUh6752rYEjHzb1or2C
T+wvnaI51zKlHfTYS/ZvFTNGwRvJSgRUvS0nMGYYm5kIuw3bSilfOqfwXnqtqk7lUI6ncVDtg/R9
7/v0mXjvif6oytI1vd1VKr3WNNRmGSaTV76C/TYvsTJ+fbyovZNghG9Gb5FWKa/wrZEpL0uzqdYy
rBY1+d2LJ+e8wFR5pZ4wXZ43RUIiW/douu4AtuCfU5XcqgxpWg2npGgsv2ij+FzVSfI/mALjDduR
LJaK32ZVudSRm6KpDAfb+sdYW/0FVll8jkVvHiRAe6cgGAPkTSub3vlOfMtb9LpgHnETTnRC/yod
s6pDRngMy1XVuiyhQ0Gl8OC6umcThyd3lIgLEL633wzgmykyZiqE8ZoMX1Fa685ZaaTXOBPpH0xj
9g7s3fERmRng9vQHEKHZlGljq1bVValEOHtmofilLpzVNxu1ycm8VPHvYze5szo02ikb8Q898W2M
O84T3XKaAyFZPirXpl74jat9j2bldV5ncX1s7c7aQOfL24uF7XFwdjqZwkDUjD4Vo7KuYqi09sK4
gDZ+AYbZH80bvXOmgRDSjiNbptKwbay6Q7d6okjBlrjF/FWNSWEn0Va/PF7UnS2kIY64yfv8yl06
Mi0mMi19NNDtrL2rZqcJQZCwgh4M82vO/NGnX2nAOFK0Ciwmc+q33RyzSqkODfEYAi5w/diwltAS
cXfwnt3ZOymRC3wK4gbwxY3bO1NVGzokzXDORnBwpde9ZjSrXh7v3f4tg2rAX+eCknHUFoOT0SjQ
UyUfQwUU63d1XcazueZ20EdOfWaYe/dRWQzt2asen5CUZraRKwRNqdsTXalpZqfIO4ZTqxm/pLqR
fGkb5/fHK9vtH0agfsuhbMShfK9bI/Hipn2VKGMYL2ATliwrT1WeHInj3rNCHky8SyWBKHHTBCl1
Y/EUYvPQzevi3Jfm6JveelRC2x1beYjQSaOXj44kLbfbtaCm4ww1qmJ07BfnM3NDGQPgNNnnqSrj
578N9RAQxpRD5eu/MZUlytCUeTuFyqR0eqh6ZT+fE+YaPUtr4Poh36G8y/enGLMtC/amMvHlqynk
mJm/OMrY+AZTdr897QXv1B2iJXIFSjG3OwejgRH3La5mzfHSU7Aehtfetq30ILPf+YGcsUnbFRwz
rTCkz2/tDEM09jwlc5ji22eSx/lDmYj22esbK9xy7yhm2q7uZjVwmb2Rzr4aakuRntapS/x69IqL
6A+lDXcuJ01xSAnawfRzgG4XlMXGsCxaoYY28mGlX7rRSJDLByLgTSjCXB5/p1390YJLQzuKfxPe
Uve8NTevTL+2UlYGyjG7qt2g/DFOg/m1L9PkmhCUAOvU5rNhRP+0SOG+PrZ+Z7HEF9TB5cQ+kkn5
dX9sAs9KNYNLUcM00cw3u3Y8BodV6Sk10ubg8dhduCzUonspxSnAcm2Z95ltZYMDOyBUqQyelmr4
PLnmRdHz6eI45Ye1rI8kkveuKcmGHGjJ4wWatkmVU6MujQU0RNi2w9z4tqL9B5qe9yy4WI4P9YCk
GVLzEKLj1jcXI8s4BmqoGAKk4ehwsmt1vGjC6Q4erf3nQppKEnUAa8kW5iYBy1BKyJnqrIVqVUX/
TP08XSrh1CdDDOpBv/mOKZJkqUjO7kmMwK1neNW4KqXbRmE012njp+psXVQI634Ue8uzMixsoczI
acRIdAw1u1tjDHPk+veyiMRcSf+1K6MMDb15cgwf3V/ee8400CXwUtRVb620BYTGMsqdME+n6jII
XYpPt/VBprD3c2gCACokhg8vt2TQ9sORckGdJpGa26HSpPU1T+O89+0pdy8wStLXaJjmEwWDp8u4
zBKgQQ+DjXCT/73x9SqO+5xnxwkNYUw+3lMHiimWg7XtAk7eEbpA0gA1VTb0dm2jqYGXjnQjNBpD
v9hGk/yUJfROYkNxPrixUT/7JstKOyBtCYYkWdA2TpjIPiRRQfdmNAwuhztZI0oSFb8+eQnyPkqk
Mqh53hgIXLeriqJqUpiyiZU8jv7oF7PyvbKdPszDOh1s4O2VxHni6gOhRI4l1WZ3wDnajRF6Stpw
Fe5cYgYkneHP2qQcsUJvj+9/DRFCv881lJyczZeaqojsYJ3Ga+tp1TWeR7AAY5N+YGDRUTP1vimy
EFoVEq2/ObxGnCX0MpbxOvXGZTaM7nOt9ePPw3oEoL63ebyQILwljJrWyO13ijs4HnnnsqaeKv7k
Zb1fLsaRyIl83/9/q+K/O0dqAA+TWJBnebOchFE+jF3CSteb8Vs8m9ZVSY3uBCjMPhXADn6ya2V+
69XhIJuTbrYxTD7MQ4V7AA/cumHD7KBMZwbJNdYMJQBRnRAY9kINVHtuz1nWqC9gBrUrA2i9s12Y
R0OM7nxHGQDLDhoP2q670DDYM1tX7PeVUvnqlOenLq2WsKxE9vr4xG0A+++bTL1Xdkvem9bGJsgS
itkaaSGm61KhUBJFuhcoVTsGhhl3Zxu9eH/Q1uVNzhiXwyqdS6oxQWFxe8e3tLl+GUqkU6o1d74+
/mF3XAzOKAVG2eeWeeGtiyV5Cz1izNiDvtIua+zW/jhW0fmxlfcWyvZTc6Hxpr2LW20/tZbkdu5W
w3Q1W9BAFbCPTyZcccZ0d9E5n4zcj4vODmar609Kx4Sx2NOzS+a0/c+Pf8nthf7f78DtQEULaItE
Q9yud86VvovLaro6UWL7hecqbw1MKTB6UX8dhfIcf/y/9mwE3ckVULe1txi9GJ3BfKJgfbXTDKRS
TCNu0GpBS646kmXYu7OklhH8UYJ3AWFsznG3rhpC+QZLs6b1s1Hk3reyLvJLhrjXcJAE3bdFoxGu
C5XxbRMVUcolS2Z3umZmQ67Vofjgg8JgCpjTj98ef7IN21juIQuTs4SRPqUSv+2VTDSBtbiAKWR3
ayTeirGNh08LdNzpmiROb/y65K79RV0jL/WtCaixVWlWc4oVbxUnI4mRS/P1vCZOOdiF/eEBTEZg
gAC9y2u9RW6YIEKEsTjTNbKK/Ce3YFhd4nnPaV/8d/kgwMAXgEmkCb/5roVZKm3vYWWtyiE07Er3
her1B0f07looAshXAFjvVo8wd+LRBlA/X9fF+xeZ5+LkmXN2EA28I3lv7wHeTCQOJC9R8qQ2x6/l
TRGK1ixXb8oGgWJllDQnE92z3p+NzlNOyN7Bt6u7yRUXU43yMiiEEbdBhKZY96Yti16eBzXJzS/E
os1yyhkz3b52NiV4f9HG7qi2dMfRkfaRLIN3ct42zBzXVU9agbJPObu/Liu662Yy/Q5s82iyxp39
J2hBpg1yIyHgtl9hTOAETDeaCV1qxRdll5/KaD6ysr/+5EQpSt4I08CV2iInJ62Z7S5vl+skz0m7
AvFTyzcjRsPW6o0D/L0MTzYfm/APeCYBrYS6bt68mGETYoFCdC2Vojw5g6tXfuca68WyluwtZ8DZ
Ne/G9PfH18V7Xn1rlryKfATpCFoXsItvr/gx8/J+oIt/bfo6+jeCXNwFppmNmV97jeb9zuMzfUcw
p3De6nQaYh954ly7ep2WepfUjs2/FWDo5mkolkrOriiM6FPWOm7GRCqz6y9at9qxr8lJwv+4g75+
oMFUfO/XJu9Ds85i9KKtilkXjVq6b3rJxHVftIpRB2mk29/XLFI6f56mRP9cCrF2tPdXWAJyDJF4
0YfFZmpjJCY7HGaxxNrFmPPyHxX5tCiISkMIToeVLu3Bydy7nwsijFLFe0OVgOp20zJ9HW0okQas
nbV6SYAjnkiGn4NXy6uMRACmEONuSHrtbS8/MfNsdvTFuWqlmn+q4Q6FtSqO2BH7gJagGdKVTtcP
SJEp1/pDQto3rVY4veNca0WUX8xyVq6TEi+fEoa2n9t2TH6PYPGcTfgy18e+d8cynHbKkGTbMq/a
VEZqRC5qd7Tdq6mNL/Zspv4ijL8YMPaKYNenObKFH0VPViQZ5Q7DRQLJyfGRiqaJdLterXL1ubJb
6zoVrX5ep3m5po2mHjx225sQK5LwKOlz1O8g7N9aibm6Yvqc1lVDDtVX4tT9qx9Kj4a0lTyVBb8v
iGkhtok1+S97k/csoq2zkfrLVc0ZqYFA4fjbkrnrH48/1vYuZEEUeyixE8KgPLONl+KBoa+Sg3DN
utayT8O6tl+jesonv+lm70/XEuqRnPedPZSjfxARoVZCUWvzpaYCtudiFzYBA2KFQ9pm14lr5gLA
5Qg6dc8UdDXIoxR2QYNt6iOjXbWas2BqdIzBz1Z9PGUqTK8kW48Qpfc2UroekoiSoL+NqZkTDHpn
7e1rMs/FyY1z/Y9YdAxSsOfoy7TWzunpD0cPnBtEjoSlKiN/zw/ne60KS2gSC5GbU3yKG4TkbS1f
AuRcu7NBtvg/2CPwoilNWE0RcmNPh8tQREDHrk2WOh+wUl2XchWB7QzLpdSU6uvj9d35dKTjyLJI
YREJXr1dn5nZhOzSHnlr9WvdFEhTa9Xye+syiu6xqV1eyiGQKh9SCRdUMNPQb21pSHKOfVNEV2ce
29+YqBTVFZq/Q9n/NriicH/uTbe1kLyKav0l0TrEoAT82enV0uLlrebJGNGZKxL1rFeZ2cq6aVsf
/Mjt20QdjAwVH6Ix5lEF3tznJoUj0ZiKc02ttTibw9Kfy6n75/FO3DNCewriAwESadTmAURTjxYZ
gptXM2NuAAxJxV/s/qjWIv/Kj7GJXIqstdBwkQXTrZUlFkWG3qt3LZape52KjnmJyaBeZmsYvyx1
FL+aq6NenEGPf3FGrbs8u0jeRGpT75ORJL799mvnmRBjMWRxkE3koHlsaFdb5H89NnLHp/BO+fLS
/OD+2b6/Yi3cuvbmOEiZRE2sAwkJnindzvTcDqv3pxa1qhmMU+9pP0fmqkYZ6bDVL2dI4OhOx7Wr
UI+YMq//MDf68I8zGNNzA8rkE8NABYmhBocJFWR7ZzFqPMoGM06Cbp7swMhKKxjaUjwlW/j/rLAT
UNg4q5Qlb/e7iczaSNciCZI+bU5qVySUwpP66a/KWqDPEHFA1qQ8fGuFBv7iLHWdBIZbG749Z9Vp
om54cAvuDwiIYsJ5KRaFntkWXFwCcBdIwSRBSUGcfzXuaTb66qALs7NCrQRmjg3VkO+yk28aZy+K
zbrFiuallw787ylj9s+za+EvgydluDMYMdnGut0x14gSkWVKEiiFHaH85il/NP1S//n4IGzmh/L5
383QKqPSTtalbh6OVTHseegYZKCOpf3v6s3W+k13EmH5BBzxlybyijZURmVVP2TCdP9Rl7yzJyIR
xk77RZ9O6bmfQVL+NdYMQ7zGnpb/IjITmttYOuPHOJ7XPjSSasr81VqtJBjBYKenRWRx56tGhZKd
qsbDT507wIJ+vLjdI8XaUEOTnF3o3TvhZVmZtCNSJtbWIBBomvVbXmVrqNT5EV3ynila7nIgMbOq
gdndfi01zxjpBh0msAqb+QglI41S2ih+5qVHPIRtyirV1hhXIJ9eqfuzfWqqzLGnqfPg0jflSy+n
1Vij9RfX8c9LZX8ZGAbx9C6+116l6D7jobYJkYKmonDNLguszG78ldnYiB5GDACibXt9bOrOySLg
lMAfYk+i0M0uZh4ao1neZIHI9SLw1HY6W7nx3DyGd5eXUSd9BAZASuGk22/VmiYZsd5ngQKN9oQu
fHV2tC46cL67ayHfoYwBp43a260VY+6XUckoT6Vkf5dp0qZTZqOj+njHttkcziBbE0RiZKyUxTax
kYWkYJOmWhaMDtdQY1bmW1uUGtQeU+l6X7e68Z9Fs4pXE/n73x/bvrdC7FJ5olaDwOLm6qjLKc6d
FttkP83Zm/TlrKAC/RTy7L9fiwyIhITMDmNyB36IpOtmqhtVcZi0gnD1uU7gBq4rU6f+h7VIZUrQ
NjQZtulcURjxOpZqFuSlpZ6c1YGzsKres68gUSxtJIggFIsJsjZ3et4O/aglRR7oq5K8eOVABt4V
3x4vRW77TfwGpYdmOv+A26eBsDEypaaxjGtTBH0zoAG7Uo3pDatcfFBB6dURrfb3Y4P7u4+qDNLO
zIujd0K36vYLOeUYQQiheGQl/fh5HRbjLJSs+dvOi4OraLc0giAKJoDoaDWC2JIe+YMvTKgLTWqr
54E2K536Zk6DlvlVjOj8i6nTL/4wVyM8k8fLu2eUBgLxES0ZpKs3y4sHFUZewqXkNvF8XtRpClzG
QUJvhgrp93yF/zw2uNtPVgkaUc5oRs+AlPV2lUZdOFEE4TYoZl14lyhxQB7VieMGvVkZR1Nj7y2P
+Bd/5O3iAtksj0A2Th11wRpCZz4i/v030UXuX1zRxsdIsZ+ckMGBZnnvnWIuX2Lbba+gt2GvxIis
BWU7Nx+VSNN+UoCh/ylaknItLo9GCt9bILQIsnCaBlLp63Y7eyrI+QoeKKiWJWvgriqjce77OHsp
Jyf6aW6m4vXZD0hpiNyCSJQDAZrw1mIcFYWioasURNVKVxgx3zB30/Szsiz19bGp/eIw5UFURWCF
Uvm2Md7F0LiK2agChw8FBUMV3y0npW2Rj3FUvWiLEM+WYaFFSGYi3S5KX7A+tquj8pSaZQ/oc1hi
aifeN+By3UFWsj8DlOVBA7ny+WRd8r//cNJzt9XnlD5SMGsk1L4iovTLyGP3dTXj9d/He7h7x1gQ
GB34R1ya+yE/kIKaYknLOqCxY57anMv73DaecqQj8C5afXMzS0MSpg1OG2/c7pypJKOO94kg9ors
l8lOu+4UrW46vxAOIwa3TF7u127adGHlpl38iasu/iac1F0AvzTN58HOjeGv0c6oz0ZFbDFtXIXK
5NeFZUWfRVbB0yqSdv4OKseqT5A44zWEkrca4QKy20bjf2yty9Bo2h+1OwxJ5VMAmD3hO+ZUP1tJ
l45C0sfcXGI6ORzw9ht61bouReeWgTLTNRvzSPsosnT99vjr7SKgjRV5Qn7wFKBOul7lRsnX8zIk
Zy33VJcDE1bKMr+4WV+wr4n4WjWiCB5blhfH9nNyUYMagiUnywi3lgVQii4uJPqZKbcvcMTnS6QP
zUmbhf0zuiLLS6PF6VcXzvDHeNRw4//BPoQ5AkAmSe6Ej4QZTwratJWcJVmitVVmfyRKPp9KoRSf
RKcnJ4upcR97ZfS+pzz7z6bBFCjg1fBwQFqnNL15OAZmdttrlXNEo9x9tY1x/TzkhBmPF7mhpMrn
AgCOpOEDLpLI9s337byCBhzjgJhY7Yn+VV2L3vLTdOmMVxqtYvHtXFfG/ySDocS+Wjtr+UpW2mih
0Dtb9WttcmGYKnYiUG3KlYzJFvpcnkQFEdbvHGdGV75o1PQ0FSbM586rFvsVvb0qexuMvLUP3FU6
/a3TyFeWd53bjbx+20NlhxipAMqGSvBY+0tROKdCGb4iS7NeHu/c/mmQxW55n3Hh6Eh+3bpnm0+t
iah7HaBVbGm+ly7Kh7oyq6ARkfCNQSuem9Lz/qkoI4Dk5CxQA92GZwgMuOuMTEKw1HFxWbP0q9cq
3snTkyO8xf7KJsTlhaX2DB3acDaJ4gxlaiB5q4MYUv5lnEz1qorxCKu8v1ooIhEbAQBz8b5tO0lf
hbsOiSGC3ot+56UfT+aoXbhH1RPCVvpJr5UvS2MeRA93vpt0daQgINFRSd58t7yLhZjQhA1Wc0kD
M0NurG3G+mSuZXwZV0N8f+wnd/byxt7mGmNKcgJ4eBJB7nTq62qMzLImrz09tnLH75EDJyaCjkAQ
vfXGwSUAyqZFykA0Xnru2sJZGO2oGmf0GpyDm/nOFtLB5VJCdlGqk8of88ObUCdV3RtlLYK6NkCt
zdO/sxF/T6vqn7WP/nq8sDvbx+VP84qrELrfNn5GFVSJ8oooqxJqe4qZB3ouTe8odthbgShHbUTC
4Fy8e5PnM7jGdJk/MQSF53RSJ7dX/Mge62fhQuyXnFgCYBTYFNHKJtseszJ3HYGdUe80v7FX7cWO
C+P8eM/2zkBF5B3YK0XbdgqEXRLZDG9a+yDVFz0+RTPP5mW09MwM7LV0j8gAe3eg8SurV/ge7aot
oqQf2mzozHkInASOku+2ble9EDMU6SeG3+b1F9Fp7XOMW3kZyuY+LTDWiczito+hqE5hd5rKkHPN
rs5umyqnYjU0at/D0Ru5306J7ZLan3SiKUBuMhz6Z0JtNEUNon6cTkmUpmdRut1rDyHrQHZr54cE
c1S8yeBM9IB2bPMcZ69mquJB3DbzuY+b5ioxkweP/jtk6eaV5M+TzoCQeBeQ3Gq6tFo05ExJYHb7
VLW/ajYXfKBVcdqdknyKzctQme1vS2TqfXqKsnZaPtRa3S0vRg5+NT74Nfs10xghviHpoXGxG09p
ls2kGENsBt6A6H/UO2owuYxreHwm3slft2sGdIZz4qMm1/5We8NZktpWgW8FY2nl66Xrnbj9lJlr
Wp3pUSmun9pJ0fvDlM3KG3hQzyScF1r+oaPotpLxzdqgfVPTtrLVYF2cZoQb0i/Kr/2gQpd3Kdqa
v1Q2IIUL4jKT95aIGoJM0YCvF03dzSQDddyv59zRG/0PL12d7y1o0SL126EQzilZtXJ5o4COAHLJ
FJPvpZtBEB7tSQhfVHbnXIQQjfbSqCAZ3wY10/LLOAp7+FR6AmR9U49ZjJixmY/ntUl08Xdddv13
o+jMzh9jK2mDJuu00XcbBca4EBqYgJNHIzBkpFbfnWPKdxXMJFO4L66zRMVPa5z0NmF+tNiXSGuj
/tuAMo9zJpNKp48dyAPvCqGGCRGr5fTtpaqKzDvPzqSslHLmZXoZTR2NnahI9G+Gt64qp0bK9TdM
h/xX1EC6fytVpGD/jIyoUD8UbpsVlzYaqujvx99/72WS20Y0T6ABLmyLvp6FNncZbcCg8zpxtnst
PjGkRrw8tiLfia2TIV2EJ0OxpbW0CdrboYkSbgo7WKZE/IMQefUha22B7I8oPqyJoV3yqskuj43u
7ieQP8RRUijcJJDfapZkXrIoojbpYaJI+DLZtRaUEFRP41IdqR7e3UXCa0InGG27anFimiMMAQ4R
OjzjhwpoG/qHqvo/LEi25YCtgM9BUuQ2vlhEkTRpHtmBN8ZSYMMuLiVI/WvVLePPj/fu3oIkdQg2
oJT93Ja/57zvNFG5duAwgfBTg5ZkGFmeePZadwlfqKfSwqK4amyRtY3aFoNST0owFoUOtUKJzkD9
tGe3DeQeFGs4NhLduauLJe4Ki2PSnKB3a+dXWprROW0s7zqbzdGg6p3LYQo3QMqIyIz+hAwJfogA
1bHjofRql3dqiv7So3LJUMjTUmYsIOFw8EDsjcEpY2k06in5gU2+NeaKtWSet+IFFXSRYLQV9z9o
s9anpGdW5IGtnT+AjKCMJ6vtFPzIeW9ttXas2F1qewHeL0Akd1SS6ub/OLuyJTl1bPtFRCAxvzLk
UPPk8vBC2GUbSYAAgSTg6+/C9+VUZoUz3C8dfbqjW4VSw9baa0gusaA/HgbUJdxGUJOf+k31fSxA
PvWSfdta6G1D0cGyvIz/eUHgY3D8gtO5iQxPdcrcSXAekzLZW39ywQjYfLqEmXTe14O6lOX9wSfh
XAVOiuUNusPpToIyibsAtvFJbOhTsIw17KjrS9f4h6OA6ICGAdxfzxrBzKvhCNRV5d50flnnVSer
N2Cz66VUhPM1h59me04B+cGKOy0vmzkc4Jwrwn0puJ8KCo2K9KfpMLu1f4Ej/cFQqNZBvwL+gnV3
6n+KbAAL80M/2Y9K2AJ19pIRXoZI6NDqn1d3iElDfg4oQBConw4FmS6soKox2ffjlKSu8ZOsIhfJ
eWfAHco5qJ5BYt/8Y8CZe7+HhijWcHiQ5T4e46r8IsYudu9736tcUF/RU0r5avo2B22//smcrYu2
RtS51Hg5n1bQi6FOxoG4MTtP7emCpXM8IuYE8e44bnuu/QzJ10mmxUWl/vmixHMYYN0mb8Sz7tR9
QgZS1A5e53vSju5UMFu7LbKhO+/S9fvBN8GaDAPh7Q2F6OlLq1RBpSK3K/eBbsesiYE2tX2LfmC4
zPnfL8YPhsLZjncCmqnAmE95zCMOdl/7rrNHaBt8wwb61bogdLbgZP37SBv0iOf91tyEuuX9cqmb
WiHpa6gOo0bMCEn6qIDJcLSzwvnnRyOOJeiFsaMxXoxIjvdDmdIMUhNaHWp//FrH4PnO4+IU2//q
AkTywZLYMC08GDEc1CMndxZzJGjffKkOla/GTAWrzvzEVsXff6Szlzf+MhQv4BGi6AQ58uQaFjPH
c8yS6tB33c4BES9NWPizmwweLfLf3E/w4kazCJT6bfqgRcXCeD95gScnSDk0O7BSxyl4t0Dh9Zxc
gL3/rOF3JTRqZ5xN6GegqYjn2slv5FA2Bk6nnL3veH5rU5PMvL5fXJgyP6wUEcCpFsqEAORXMaQd
so+ehEq0TOsR5rkbgUY2+46FSD92J2STfdeNjAjosywuLxSPZ3sEFwQqEpTdGxsO3jbvZ4TYCs5R
VdUeYCj2uZcCLyjZfpWIC7uA7p2tJkw8zlTgD7A7BrZz8juXnYH+q+7lYU5qlkfdGBbJ5HUXNuLZ
atpGgaIe7SSsXLQ833+OWsgquwDaD89SNWewduimdDUw309hGGSaqxV/5CUX0fM5RAmEmxaEeNxN
MIR7P6gO+wbtCR7jxQSfoCxMLDBL2IHP6477U3XJVOVMhoqGGU41d7M3h7EZYOD34yUzSZgM1wh6
oHa95e1cXamStL/dBQajBYR2XMO31ySIfO4kiw5JwjubeY7Dxp03QNxz4cV4dlnicsKTDScfykAY
d5wUnG3JEa0Aosl+4eX3aVn3VDpXQVV9reb6hqvwszdEN613qct8DgFhXJwZKOKhxNla2+/nIR49
mXRVlWAeekJSUkkvjXkZZ3p0yaHVLLkmycivm47Oj0Q79Evpt8HL38+vs+fy9kegvQUuGohWoGO+
/yNYZ3wfWVMJKoWeuzvgIrEqEFTkBYe2gW9yGrNufKhZCy3U30c+31GAmgAEwZd969+cOlYgYGeA
CmlJ9jUZ+jYN+mhBz3cNzP8yDg5LPJhhVgFfltMvDDvYR04JtO0q+lHVq350vbG9UEJ+9DWoCQAZ
oq5DX/TkzER/lJMRa2vf9VF0g0Y8gtkbvuT/PmcAGbB1UKXi1DsZBYVqE9MKb6MVNZtXWFkTm3dk
tpc6r+dnAl56UEsDncRDAnmP7ydtDio0F2YU+Xg18wwcuf46ifSQi2a45EX+0cxtyTZwXgNgg6rq
/VB+UjuaN3WJ7oziX0JoLvdB3dHdv88cxD5bDiGMQAG7vh9FjqpEXhwr956pl4J7wj1oR4QXbonz
8xvT9p9RTqatB99nxIOo3NuIy3u5Bt1Vz3y6m7hDb9Fnj4q/f9VHu3fzfUbdsUnbT1PYEfiUzECD
UGGTUB/DNf5eD2bOwFaBln65Eh14Mn8f8YNfa3N82bQLf2CUk0MLGgD4UJC23FdsGfexq0TO5mR9
/PsoHyw/qE0wUIjuAnC8kzXRDCXsYERf7p1yrPY4/5KDbZlbYHVcCj//cCg0hADWbE7ap8ZbdrIo
Gzxd7qM6+LTIGchyJBRqHtlcuGc+nLoAvOaNuQiRz8kS9J0anQ14g+8R1KpSTR2vcH0d/PtCh8XD
Vh5CSIPz9eQ2b1QYLpWQzj5p9BBmZViVN763KYT++SfaXC1RJOJk3VJa328oXPFWJpJVB1Aw2ntH
tPZaOH2SLXqU3/4+1Ae7Ck0SiL9QzINQcCoT8Zp+xYRO7KAlda+ncomP0nHGp7gJp29BpNQlrHDb
pu8KYIQtowb+830bgH6yyBXuSViS1uyAXOS5T+3gxSynivkQy4eOekM1W8a7zgZMfvLqKVIpjBBG
9VNHWskCnW13EGlfju09tCCefdAw/YATGJQDQSpVZ2Umo2iq0jXujQ+2ky6/l8jemgpctjPwNVjn
9fkoaCVSt17D+Ec4ROWmgiYuuystxQFD+lFP+2pqnLcE1gQxLjYlux0ZJ5YUoh5dKPoriGugezW+
m9bWOnXmTTP+AuvZUWeVrcQXCfNwJBMnLm/2sdOAxv33X+6DJQ+uMTg0EFpuQqTtv/8PSKlAzfXh
NQQmsGXdEyxQxQ4ynf/hVtxKc5CE8EpE0XyyFLWJOjD1FviydywogK602bAC6vgfvuU/o5yc7ZBP
hR6eruxQEvHd13rOe+AY+d8H+eA0ApABOyPQI4Aw+NtW+M+EwW5SMYD7WOq1sZsovUc7tSUF69Z/
dQ8BGLnRcNG6xWEOnOhkKEQaLX7bNAiUQwbJQQR4Y5hekP3WuLswdedfhR44Kr3tX4CenT4oJVgu
DQ8pPwhW8SKC/UtRzsm881bwmv91AtG2BfNwa1v88bh4P4ENxN9h3MC3FWaxXjYPUVAkVRQ8Tr7P
L5yA54sbQ6GJu/FYwN8/U+uXzegNAVi2DN3DFDf0kBKdXGLUfzR3m8YWun2AJuh+v/+gYRJGehya
01JydAxFojO68M8wSrqkmz8facMyYBW7WWqh1X5y6UKZWsNK0O0OQ2SJyMAGgYMnk8Sa3G0T99KL
+nQ4/D7b/Q65Dbr6KABP9hOa3LUMm6Tct/EC55GYNrQ+8KqpEJPparZegINOS6VtOOj/8MRF2wRK
sJMzPejp4EYKaBocIcBuanl/TYzX5GPH9V7FkJuObuNeqGNOb64/g2Iz/5lXkNVO9pgDrA5OqfDV
GhfCnp3IjMUSKP/YQ8Bwiyr3kn/M9hH/vbgw3h8hyQYS+fjUk5OwhLnCCiG4g+Ygh4dUP/6SlLw2
o3qwcQNHC9LvWmGPfltfeGR98GPi7bOBlBvx78zuoxxAVai6tTow6jUJUhuq9mkBYXss7Br2l47i
D6Z14z2hmkf0DorRkxpn0H6pyORVB1IhU8/GEhU9HxEOVdXzzppkmS8cYKdbfZtXEJ+wbsALOXcN
DyPGHCUxYDXEc5rECkGfTXspTvfjUf5YUQJKxEvi/VaP40G2MEGvDv6CeEAkmakc2Y7/qvbAt/yh
teJzoBgACPN+FOLhXRdIxg8hMp+h3/OlukYMWXXDwqANU6SaBP8+e3DdQj0KGfLG/Tj5udwFMamD
P2LEaWrvkWWq4YVJLpmofbAEt5YH0H8ougHRn8xew5M5XuBRf3CauitcVgV3i0Ppnur6Euj7wVmC
BiWekjgr0d04FSg6CpTbunZxnw398MQYyBo9DsjCY6ps0gWhyHsdDMEFxcD55sYvB6cFtEW3Qvh0
cwfLmtDOXcVhid3O7PlkqLn2q4DwnYVz+HhlQ928TSVHjlhNlI7yeYKy9h9vPQRpg3+1YTZg8gAN
PVk+ljshmVhbH6aAd8+Wxcuz1lP/9G/XOEbZ5hVN5xgvQKD37xfpACe4gBOfH9xh1NfQ1q4ZPBHo
HS9ldKFiON91GAo9RpgCbk4dpzXqCOX/1NGIH2Y5/+w6d8g7wEP7v3/PR4PgQAb6tCkwcO29/x43
mISjEDF6gJ2PfHAiB/ZhoVy//32U83MRDUUcw9tJvMmBT7YAAJbBB4oK3U8f8Ae3qaJXJ9jiDStG
EF9Cq/XCkvxoQICnaHAjswTg2knJ4Kuwnj271CgZAnFDm4pcDUz4V0jemHYyWobj3z/wg2nE8Qgb
v829ARLXk2VRLeAjVs7UHIJeqh21mh0pJ/bCNH44CpofmxgOjbfTNotwZ+K1iFc79LHpMy5awVLX
qvrLhY85Q8KxytGxBB0KZ7279XberwpNZ88fPIAp9SyluluDxpS7xOG9eekR8/zLAWzmXE9DJ45z
qWhyGPDd61GskCzjtT1VXuFMEJzc2NGPhsdWL7RRKUpW+ErwMFRhweqKJfttmL5YBLcNCm+TvBms
c5NR2dshhTgoHvZ0VMrPXLMizaGrq0F+ccuJ+nkFQ6rwuQws7j3IPIYon1YQm4+VR426ISuDxXWp
V8ae4O4V1j8qWfYirbRPnDY1rUPHa+qtEYPXVwlKDHw34mUvxtiZnqHoIV4eDG4Pa5xymNxvJa2W
pVDULmPBWh41YKPBOSqroft5NAnhUBhTR8N8Fbw2PMxF2fkRQ8Np1hRK4L4iS8oaZflBdtEQ/xJV
75l8ZkSRG1hhrEE29qGRuW09Nt4uOlzcfd10rfvIYqS65DKZXXvNpJs0+xpnbJQb2cHOJnGC1nup
w6RL0hDr28/QCapYaifEOul0FAi9uNvsttybAPINmLEkFOl8cDGSP2Do3+r72vQxTe3sdkE2SdX/
miM0eq7I6izto4pjeNigiYj0GqdHtEyeiBnKyzaE4iWf63mNiikWHGeuX47ydnDaSO8cJ3ToAe8o
2z4vFfpGx1KVYXNUax3Y3G7mOM8z3BHoDYiIDaLOxromX2HyF1no90HuWu4wClzoXEgY1JuDnmP4
HeblJUoPU0lZwEKIyxQR0F1TLHCIZyxNZhzWFdjzRNu7OECLr+jh5IKY0SapEMekcNkyME+CUDyQ
afFcGFKGE8xsxmWBWLsBP3jK7UjG6FYsIMhDqFX1NAfcUtuHJuiq5BeEw1XyOAw96R8Tz5gmdSPj
1WG6ts7YHurQ8aO3kYXTUMyxN6mfygk6b0nLls2CZL1HnO55iqYEP0DcT3a+6ibtjVeNmBZyoyDn
6faNk/CqKHstSnasUbnSV+iMKf1pZ09Ed+FYuR5C3gjVn2YKfHqnHAF3HtbMxH5ZQJCcjg161xx7
zdWzKDa7l/4ID/+ZZSusggRNp4phM6WGiQ7NNKq6+TdgNEvzAXXS+Nw5Zezt0CuQ7NHZkPFdO4Lo
WTCwC0RWJdbDM88uROy6eTKvqieqK6ZEszDDmjEqRWIvTqVy7fGrmLEb6109aE9+A9McSdm9P0fO
kTrN9LiGEgb4qd+scWlTGo8muV+7UcZPUsP878EdLIXGOJHW5Wuq1jgE+AlpDYp2bmRw5xq0fw9d
yCx9bYPGLjlFBkKSwpxy+3+aYIeSEy7YdDUjaITven8K3HSKljHeG49HSQGAsJTPPcpNmo6jx7/1
nZ48xOHpcfJ2MBtlP4AcIA50JWNdHlay6r4wfTXbL04wMVHEbuMHYLcp7U9Zy4xtC6LpGME/wdb9
joFbJe59OjgeS9FurIYcJsahSL0mnuwPi2iv+UhbWAhmfiQVcABpqCI557wjhS0hI4WpUd2qV6MT
0nyPF5fPmVlZAkNGsBWiX6RVSOFK5za2fC/5RDLjjceAWvCS4mGJCy8YhwdPoMrI5BQOVd6FoUly
UbNqzOA9Ow6PAtHt18ABbV1QuA0ZZKGGgt+Ui1p5ujpRLUAMS/T0GK/Qeae2lcaBsq2svm1ALuNp
qKxaM1yM5fhbOKJ80UTx+WqVumw0qEqxkU0e8Zb5GcBNE6u0Qsd8grfRMqPGT7XhU1unOMuEe0t4
4y9H4jfI0QkXyt1PquxnLICybcyah7J24MacQORuZEr82g0fMLN0PXYJdPDPcMYI7I950OGUSxOD
Wp1OIxt0Ct89Ge5V0oZeJvVkJfRm4epFDRQ+MMPNvY6P4kas5dzDf6BX2/FNZQjRGui59QNvFGdp
NMjmBzzgTFVD+64mlfNoghv0GvT420bT9rCRHOchJNdD6TB9XP0mxCz2o5KuwLItpziN4B8ZX7kr
7chVUrfdSwJyl7liZBllypOVXbXD7DoHgVkNdv2shzC1AsPktfTIlzHxa53NiGpCM9pnmucr0hzC
2xqXrnPHK6yIOR1c6D5vY18F9GoYJlPtZSTi6IeoS7HeIUbbjLixBqrGwyyWuIfpukGx+1iGSanu
obmiT0lXAzySqz99jo1P3krYMiOOGjdTmSHEyd6MlW6/oIZgD73RfpuqHj24g8Pd8AtkheZ1kHKe
M6D0q3+D1KIouEL30PCUz7P5LYY1+FXaGSWhL/RQHyRS23Es9Wx0ARAkAcyD7urIn5dXRQxUSiDX
VfEubtcKu8hjaxhhmsJSPzXB4vHreCIcEeQD7uMWaTj9HN6CcWjqnw1cCXwPlrGeal8J9BMtyPxq
iTrE9cmQmhQ7bm33Pcid7RNzWTyl9VSu/l7DR46uD8P2D69NJ2o4sDhN72uGdYtifZdIpU3mwjzn
TYZlgEA8Axp9KkYxObfO4E0PZARKf+VEfKi2ciioUzFUVKOykNLNvVUHP5x54jC1ElwEbz4iA+sM
MS6sf3LKoG/SIARf8laXjI80DxAo85tYQV6wn5zyVRrV8mIhlIvfNR5gcyZB9/7XfisqwQTd8I0Q
CCgbUtD3lSAqCBcX4iIPFLdi3gdOmKGTBNJc44X5hbIT/1fvMaL3Q53U0MTjZAEAKA8tJu92Zo38
5sb2EvJ//kTGCxzGzKD+4Q0HnPT9ByF1V/TzYtoDh9jm2AYaDRGyBk9LLIdXHk5uLubaf/zXT0Pv
dRPs45G1iaFO3j+9dpWJhJQHRWbB8pHqciv53EtatXOoAUYt6LlueCJIsKdQw2C4S9vOZ4e59Ztv
pqnUCDfoOXbzZXWd/+EpDEEtDK7hhweK3snvRSG79talZIcYNiQOtpVXvXSoqZesB/3qEvv67NM2
WiroyiFgGjgGnDJH5dqj7CV9d5gjHIWVEzc/sCs92GS26/Pff62zxyNWB7A76Arhq7Kxo98vkbqH
5TRwp+mgS9ySvuPWGU/sKyz6YRXs/bNGA76F0AhDShsCP0FS7gkKFfZczTahGA7p6xmb13GzVIH9
fAA+7N+/7GwSAV1gWQBeA1YI/8iTd527jAJpCgEoBvUSFXidhC+JbfhVtzTTr38eCuUhWHoeYHu4
mp4s+QSKo0ivGGpKsCJqHfNUNzXfd6K/ZFv9wVdtmCEo5nCoQVv+5KucuTOaDRM5EL9EPgLBdc43
0ZMJ+CWbrPj0jPLQXUBuDqhJm+PnqfqZkDmqJBoCB734RB3BI6bfpTtGfUqrSrx6jJaPrMKHFs3a
8bb4+5yevf+30dEkACcAdBQYO7xfmC2pJu4xjF7h9bvDEzzClRReop19NAroyoAsMQYydLY5+E+r
D2+QPsCTkR7cBs0AGHbq3IUryIUj8XSTAQ8FUgIfbrBGgZeckohxJPabxjU+GEniY+cN67Hx9S8N
Wf7O1/LS1J2uEYhStjYLFiMGg33byUdNcFCLZtmWB9Bgul23xkvuekrtWcIuucSdzh+GAkX1T2vZ
Axp66jDOZw2+0ALoFbVBkDVgpB61UuwC3Hk+f5uFAY75zTEYVdT2wf/5lRKYICfOHMaHmYVfJ0Zu
xjbsUjwdH224VhcGO/skxJ9vJy8OKpyK+If3g3EJv+WSrt4BzILe5tOiUIN2vBHf/77Az34lH21f
iGYxfXjUn1UbDN+SlCERR7UomBQK0bXZxnl4YYYFF07587EAReJswpYCzQ/EofffFMS6Ddveb44Q
4XtXIy6uO5hXONcWxOkL07fty/9WNoCKNyowzltgLQAjT6Dpmi62lonTHAfE2JHC1JyGP/hQAtFY
aRk9qB6ygHtqylrcGNY1T+7UG3P417lFkwNkNqiKIDgDX+X9964bv6wi8Ojwxp7ByZ7pVzKBHZOK
gF0KGzlfL4jdgu8Tfkz0FvHSfj8WnmggmrNKHvsVmaXzGAZ5NPNw9/cvOnP1wbyigAMHGMEQG8ns
ZJgSf0JIW9oeO4uHKhKVcTLnS+sakQFoiV+mBPFYR0AWSGzrrJqXmxha1/W+bBbhA3moVvewLnH4
iVg2weGhRlxHPkHcxfOSlgLB6GqMh9fSEdaFFKuqkzpPWIQIWxn10VAEw7x0h352pxnuSHqwL/Br
DMxNsiIXqfBVdylv4v+R1/dLCS2Brav/R1YCk6v3M0unBg+RJK6ODZUofXZ4+1lXHN2g5RsUtQyx
+Rz4vV5fxmGd/S9zTyXhKf4T7t2B7VAHeRhAUHvHG9BjbqGmZXMWlDN+K0TurOShZaKpDxowEXCs
BAl7RSeQAJ5aMD/lm2lA7MkgAHDHe8id2XzsGBq3BYnEwDNDB1bmAJiY8zLRPkbSar90dbGUnmOK
Dg8NEaZJ49rfGp0TP+8a2uKZXQ9xcDAWEchZV3nEwn5Dj+J2nRvJb7p+gIFYFySojeJ69VjWL2DE
QSxb99VdVMEgswh0aVXKG9dbroMG0h/4jHN06u+jMYrbeza2XviAjTYgV7FSZZsRu1TQA8R4+V+z
Vg7O0xIk3L/CmRp1174QVZuunrd8x+u9dwtmIjnfESQ5xEfwAEC+SomChvsQwIBC/a7XGTAGIFEf
CREyKlVW1nXd7hi08iJf8SwjRSW3GCPWxNFv7FF8tYXNsT66oh30bm2XJskQrFT+YE0DU0yPIRAo
XWInaFK7hAgT45raeD+WlHzHlSBbLHYu1cFdA93n2O/InB/GZnKfbLeEL441S/MwNWXgFLysu+9Q
Fbq/+USrp0W4CoaEsOoFMu1sWZdBPdsRrjQT/8SBpSZ5FIbDk4jW+UF1joaQM5idm2mZAruTSFFl
8ABCeZdSswx9FrUSyvImqCKWtdQ0yU3dRMGb2wLhLtCgaMhnoDT+clP1SfkD5qKizEnn8ylL6oSt
DCZC0RpntQnGFxn2MDRA+IVSmavaZMgJsRa4LiSZ3OyRB5PAV91lbv/C3GSR1zCZtcg3r5bW7O0A
hes1K33vm1X+2vwIKxa3B8ByvXMI/MVrnkyCix+xMi510nGIkgcVrsZbM0McRj5BHE1f2nbxxa6B
kZSs0g5lQ/kt7odY/AIa234SnAm9d7vaBvdLhVZq7vo9WBtyFfhJlhVu9k9SibHKWidAgJXhM1nx
MnI7eKE4vYP2K22m+FYyWeu7Tjjut3YFs+pAWRcLk8ELM9IPyayi/s0mUrz6SMaq7s0sh2cbL4Q8
S7gyKDT66wUwlZjX8BiroYfA341s8xok9RLky5gQBFUCw/09oyVt0oVqxCxWcN9z08R13Pmm88d2
uKkjw19gf+RyED+w8lNPLGX4Mts2mX5zWoJXPS+Ny1JlSvlqfd5Pd9VkSLgLXe26+3iow+CqG8DH
vgH1VvqPoivVref3AaxJQ+j1b7uSjTwnI9SZAJMGYHceOhDrQw9dcP2C5gB2YwNkmqRYXixCpYQn
2W1Qxf09kgPQGAngrKEy5pUkSQk8stuicWo4HSDQD7ZpgLK7o60QVVzQEkhuEblQtWbcl62XTp4r
hhz4OxB+FvH4zXWCtb4GqMeC3YLik2VTm9BHuJQ1Qb6ydmpgFEInZBPE8QQwylajyjy78SgB2cT3
s9+g+xFGS2gQvLj00EZorzMZpyN6S752RpMGUwuMqa9C5eUxSPEILYriWhwtHdp4kyDBRnIIw+kQ
xSVvMs4c5N7omgfwOoqoYJlCy+QntUgpSRUMFdAyB1onskBU6zNHbccKz1PufUXQCCw8woc7SPsx
u6ae1BEJZsNbOIJrW/ge9x/gn9DVcN1f2yZbZnd9G1aGRn0Af6Uj9WCUWLApiQE9oTBInQWZMkUk
+r6Adf/6udJVQ6+9hZbePgLe/at2VAujHdOZAGexV4a5w+bo8wye/5AtuJZI2nT1dItnUPtV9xSp
VIwKAwiXDo8ErbSfyBNYf0zSsC90Qm8gUwkbvGyMphAzR+qmzS3F9QCQJgK4yt3grVa8+irq2CbZ
NEGqj0wnamzqrNAp52hdx+za4j7/hcPT61OwuixJO38m6L5B16lzbtz+c6DXOEGc0LpCLyPZ5zhy
yjbnMzxpCqFjAfarQTw9LMhatKeZPzz6Q5t8t57qaDYHfXs9otu4QgXDhiueUE3yuUEwAtJH6Dqm
JCktLxKh6A9YeyHlAiAB5pMlTkXSWiTJkgYKoCkIuyCa7C26AyUejJFnC6p4nGQoUVYwXGho+ryB
hOK6RKLJW2tXA5iKC5NiVqHuWpDv/LPhbusf65DoOpvCDmzdDk+M+6CGwKDwGkgxM86j+GdEe/op
8hfXSSssYTThKLAuvbajAqfNGBzAA3fAt03KIMh5ac2YTkgYR64zDu9vpY4iD5CzW/9KJku/lhax
TEUzTvqzMQoNWNNHyaemWqLnSOoG4cxmbW7KVYMMGA9aqwx2Ayih2NihK+SAxfQVOXAU/9bCwD1f
R0Sv5UNF5lsIqqcm1yhPD06XYGag8MT9G0cKfyPcZiTPdRXgwgCENRLcZ90cp1gh7uPgh/3PscLd
DXaQoG1WSlw+xRA7yyN+Oft5GmXgpESo/pkigWlIVQQMN1Wq8m5FNUdzkQyjkLkL0pZOO3DHEUcF
LebnDsmLJhUWGuTtaEVLF02XAQeDEX1TgEnK7pSdYEq7MsWeXF9MbI93Q3CkuNw9iLSjIUhHW4Zs
F7ZaPje9iuDLvjToHBiKfF/4z004aGYBvOxJtW1bgDBTNnkTy+B5iNBRTFF8ek022yV44qNjYZUN
8/F4tzp+F8FRuPG+OCt2CD5d9zyLR7d7bZZwgvUinF1/dksXqwyifIPmR7lClEM0OrjXalza7w5e
OgE2C0mwb8uYu8USjR5m2JmX717rkjJlYdeVBTjStbtHGxN2IfNM0dOrOVN1irw9XMtD77ca1jXh
WmdkkP0VugxLnSrbMLj1GCC4GUwaxyeY5y9oboOufgtLc10D2A6GOEVOk1vn4zrEPOt1FIz7VWPO
inr1hcoSHyGX2exMy2/YxwefFDwXv7RoHz9IPzEjemVGTalKwrVLZWcW3LamHn4B1tW/XOBnCc7s
0XvtB5ALrlxXunTPjOlvvHEFfR36Qdyaq/LRRgrLkKMH3Mv2GYVX/6mt5fg1KClkbx5pzCMScQe5
A5oVPTeDJZ9jhA9EqbGACVMIa1DminZxniPQDZ4MAsRhAa5qWHiQ2WXIFmTe7BTAT72blfvRmLfB
Ckv+zqxyQj9rxSQpNaB5UQZhOW/90OGqRn2s7zmRSYVAlaZ+Eu4Uw5F9bik5rF1j29xYZx6wPXD3
ZZ4J6U+64AjMe7Xar2GiyhfYGycdznTUVOm0UmQF+3AjNCkZyUD3eKFYh2XhHCztQXjxxPfakdiN
4GZzfehNUNs3Dbef5RYFuO/kwmOGvJTLDDNkfK0qD8NQ63WHWWra/dxWIX5QZEuC3q99VX4FvYMt
9ygcRPfZDxzlFDKefZXpRIn5pgdfbnyE9jkc8tA1eKUN1G/8LkXgKQ7vVHdiiovOpbzNmBpZ9Xnu
xYBmOu6Tt7BM1vIVWnuLlo0sHVlMrmuh9zG1miCSxDVyC1qfP+QVVVH8Wm6mdDuvp5Ms2nga6itd
hXjzWthqrLuwrGl846PBN30Ppnh0CjeuabJDyuAYvkFQpzEFxFlAVpK9bpBbraZjKSCX+BpIRPLd
JVXlrMd1WSw9IlR0+aywftQnP1pJX6U1pE79bQvxbHgHVoj/AhiKOgUmSYQsreZS6sxRiKU7wiQ8
Ga/DccBLB47uUh+VJbK+tg5pYvhlWhnfqADJoFlkRBDueI0WL67rDuUm1B+VyFyh+/mAIiKyACj7
XuYETyv7I6SB473CsmsBeQIP2/gmQgH66f84O4/ltpG2bR9RVyGHLcAgULIsy/ndoGyPjZxTA0f/
XfC/MUEWWfpnyrOwa9zqRocn3KGp4KmsXc6Sx7JSyT5SoypJ2gRO09/wMc6jT4NYfZN8QfpS+UVV
ddUXExa16tNgaXjjIlx6R7Rw+2Ha13IU1Y+5GKCk4rhUu48G2ar+jPOlyI/1rMWSrpxRimfEq3B1
ZCsaGls+dpTI3cukknlQcl2Oz6osCP100UzOI47hk7vsnAIQ+OcJv7t51+DFl3taaFbmI3iapD2k
hWsuD9CJTDRZqVGV/xVagh035vDD4kXmGKo+VBejOJSA1tOdM5HCfsyNupvRpZlt6znLanvYLbLH
uxEkwzL/rhsJ0s+T5YwsnuxKI96DgHScUznKtNlXkdK+tp2o9CPdyJpMxsm6XDnVMVDEZ0rPKj/o
UrbuQehzGk8eNh9ufbLKyq3u1JeulLK4MYHiU3BRablua4E6pD50cIogGcphX0Zh6HNwP1MI7YLb
JZdrI9kQCyiYQQmjenZeftATRxmoRxbBpFbxO3zbvy92QsGjnb++fSCkiiDOUO1GBnQD4EsMp1IV
ruiA9unkh6GCYTz1DD+GVnWnjLTtCFIEVEDMmqAfGZFq0vmcpMyIksu8CtzSNd9BN3H9LO++IHkr
A24UfQ/I48/t2V3Wx8Cjs4z0EQz6FReoSwKqikS1CBA9sXeDHg3cHKP+5o9FrkTfkaCXfgE9uvOJ
ZYpACiS1ywBLggTjl6nPTzGVsnmnI01wZw9eruJayIfdtxZ/kJzY7MHIhGsSlWRjay3T2QmrQgmi
VYfuIVq6iLSvNdUcASB3fqtdz+qghKwpv8D+sic3xWmjZWKZHKrA5j5LvaKlMO31jaPJ/e2vdrH5
104nZwxNq/WkXVDSVcNaFBAywRzOs2eEwDic0C19QeH2zlAX1X3qpjDGVgsC4L8XBXdzBsBqo0kY
zLLS/khZWH4xVBaua2rDjViPb+3GrCIhXNkU3eHDsTPPt8qIyqCqDEsWLHGjfdI4aV/AHNQ/HTGk
HzGpTu6cucsDAEpAWSWSaSq48ELPx6vDptVD8LLB1Andt2rb+ViXZfnmdgKjEMXCWaBVR/R+PopV
htUClCYPEjCjRJozHrqe3tcxEEZE5u/JCl1Oitb7qr4MR8lGvmCziLKRLvC5PAn0cMEsNnaH9n8O
mqpv1cWgJY10Elj3VTmAy3FTyTdqqrzAWVL0ElF3j+KO90yj5Vi02T0q2cU+XBsyGL+iIbheV9u7
sQ7DvlcxWwtEUTW7zHCHT6radLvRSvQvoevcA/FfHLF1PEpNzI0+NASl8y/WW7PRL9GQBlZLQJEv
01QitlsqT31Riu+3j/PF5+JsQf2EqYPaB2HtZndEeov0hRiWYDCSaa+4pdjZRmHcuRevjaLCd+cp
Q31B3Qoix+SAiaoQII4oIv6qw2z+hlLNYN/p7F9cv4jQwsAASIAYD5K7m/fSlGWiTZWpBOEEVybt
3SYYcjiuXlFmi5dS1I+8KYmW329dw1W+gmeGzhbwDHNz97oZeRxmCm0w9257WN1v/brOkzu30+Ua
rs8kKwgqHfjMdg35hvqQg4fjdkK+vZMUvjqR3QNHXBmF8IkF5GYHG7R9wcqEvDNzyi4wDDHs5qG3
fQAF3e72il1+qPXpYBgwl5SttzdtkTcZpb2mC5RW2n7aImk6ZY9RlD06gGv9vDXuvcwXZ3ilHa0t
VXV1NWSbnJ8pKzGo/ktCQZEO82vRNv3RjWR7qOxQD/qsmu6EHZfraNPxgwyxbnvu3008BcmtVxdF
HYO0cyPfxtvaA0o4vHkduSR4qwAq8E4S9Z7PisXT0Vyw+wD1iuiPneh0MlFuiRp/GDF+fqBV4n5Q
y8q4p5C8/sVnHbg1vlmvCwIrKEdbqf2xC4dqlDlkxaWa/yj6WO/7uFwelVktHmYaoujsZqn5RSUN
ON7eO5cruw6NBiU7HprT337oPz3/virSdOmSKVBcwsa8HOZAS6l63h7l4g5eJ+j+dX3lLaNbdr6y
cRa3Wl+MU5C0Ki1F9Nme9IYumNst917Ma0OhTQO/CQwU5pGbrak6uEjQc58CrdYNT5Gy3c9OYvtt
6NxrFrtXPhvRABuSB4YNup6Sf9YO4Y6KOD8FcK3m6Xe4hFFNe8oS0kdnCrebsFnC96o9mD/GWI65
r0R9dUe/7PIg0voHEQWAiOUFJnL+I/QtXoUTcsrBFMMJOGgjgto/coV6nF2Y/fx+ojPT3OG/Xtsy
zv+7amBpw/I6H1PvE60fqPQHjkHdQxkgO2KwYb/5yANEQd8dOjGi6xeB1kxJIxxyRhGg4/dV1dKT
zPuPt/flhfwbQTeoRjKZ9SUwoPidz8Wmv1eiWzEGsR1DzC5Fxy0WmvO0PFOFMgav0Hv1BXmWWeVi
VfLQmy0LrbvcjkR3UClwt8cwb6EnxFU99V4v2zjbg5VW03tCHfwk2zsCM3tCGAyH0Pjb7OtFJI0B
rH8M2MjTa6xa3e+8GpM7q35lS3NKuQxAKxI0bRMfrPgyK8alD0Ens7Tes6Ujy88UWSQ7FLOt5KEx
lvnXpKELccCOpFP8ynTCeyWBKzsMNBjVB5RDAQqbm8hDTRtp97RSyGVL55BZSvOIbGm7v/3xL5/N
1eEZMSFSdWLELSMtws0Te5NEBsQbRceHVRLVl22uuV7coObxLg6FSN/Rjc7mN0dwKKHpzJEQmJxr
S9DPQpBPc5jJwHbb/pHq4gc3Ldq3n1OiGwJtYy2rkBWd7+1S16JpSplf3s0I+8dqsW8EN+/tVby8
b1GR5XHmClwzrwvAjKQLHlUzTL2eYHAH8cZOPRvNf3NvYz3/VqVcBLrAPQMDWuHjK3j3fFIGXtYy
w4YiUMuxRLEtJ09OZs04hZAD7+mcXbzLDAbhk0SWLYKAyGYFszLE9jbS7SBtnPpPQj25PA5954gH
ZeSy30FJEvZrX6nZFx3RPN2PUcnP/QInhZpGlJl9j+GkkuTMUVy85zmw65d5zOrPQjPa3m+KLH7F
y8mV3kynu4FC1Y91/6j1WVb6CTWc7+MyJc6OWmvxH32+vAhyN8+/6rFJy2nCQUHsEMUC+W/q81QF
LVIrJl1rJUs+USA3cMSgyVMeWku60bcF4s9vY+lz7RdOgEUeDOUcjR+00uG9byB6Dzh+isR4XXDN
bB4HsgygIhrh635Ywq73DZVaqTdKe7znJ3NxFFlog3h8NfFeq42b+K4YhilOE90MRK98RofT4Dod
jyKroX3l2LradXvnorvYtozITUq5kc+7sujP95GZmM4y9o0V0Dmc1UNnZwiJR7BmEl9fovHNYRYo
c0JERKRBpuocy/PhEmNq8xngRpCbDgIONW36vgh/3T6KF8EAgxBFYvSy5ru8mueD8DD08YhndiDw
l/SHUu0S+mla/2RkcfOiFJl15+xf3NMMaKzLSK7GWdxqR6Hf4NZOPJIhuthIGCENdTS5tTuf6uoo
MLyheq8FJWPzqaY4cyGjuUrgjNn4IsF8fZ6n6B4r5dooaA0gVw20yaTseL54dPDiSoc1GsS61jyk
Srl4NOjvFT8utx2UeB4c/J7XYHurP6q50cR+i80Arq22F7SR/FwtaXga+r3n7XJCcF/+FlApZAJT
3mw5m5Yrh18zg1aujQ8JFSpFuPfOS3Y5IarBtAdIBEk9L6orq9hnpPWLExihTPJPipthu2aqaZ39
h7CO8Xp7h1/Oicvf5MyaPAC8NputMILvnWTbOMEqlv4VsGLyJc/me5IrV0cho9Z13ebXVnmyHJqu
rsPJCQbVGb40Yzw8qiKRX27P5e+ZP4voKAqAJuVKRtEXa8XNpYfFrWLATHYDWh1QreAh98lhRoGg
8aFq6frJ1mfndy/V7H+haMb0GEdK/7NM0Fc4gGZYVGCXeagebv9YVz4oRIBVEHOVGObX+TmYijxy
mrDAAzBTY+tFAhjpHgqzyJbPM8iQ37dHu7LUIE/RluJapERywYvporFuJsloVmL6nBfzYKFzs7s9
yrU5wYLByo4mE2IH65//k6gN8VApWdi5wYQTL5CvVAkkjG+AfEPv3R7q8iXDcIOaFPQDnLxJQ8+H
WuMF2u18VNNIi6NDAOYt6KWcklYpPRGZym89uXsIr6yiQZGJ+hJ47JUgcD5oVeeVAtcsDAagdH6t
5IWvDNM98dLL5wULrNX0DTACAg5bnHAMxqpX9TAMYuidz1WSZL+QZ0cge0QPsaH+c+c5u7KUhJOr
/rdKKw2a2/ms6kmGhomUQtBHg+sJBWq+ElnpJ4Wa485VW+2xmsb2nu3htbVEdxHza1ws4AZuPqBi
dmMcTmkYlDkvteNMytHVlnukn6ujwCJGQcoGZb7VnJ3RTDCMuQsDfcl/oSkz7ePGeXMKjSczvig8
NvSyaEKuP8Q/275QWjsjNhfBKB1ttxiaOOS5ld2Jkq8cLiIodOEpCUABczYLFjewA3nURCANLfFb
zSwOhbUgW7KUP998ts5G2rxoiomAQhQyklsjZmbD9n+MFJMjPFROAZimw680D0W3vz3s1Qmy49EZ
pR5BwfN8GbUSt9lYZRnzMQl/UixQO38a2mbxralpf7x5MChnuLSsbXc4FZswhCgYazvK8YFBCPKi
44PmqeVc7IZOMe/Ujq7sQXqbRBbUyrjtt8y9JdEXkBF2GCSyDZHMaOCbS+utOv68oxS+qbLwmMIU
3FYUEhcbrE4aIkC8HkygkoKwtQb58OZlc5kJiu6EV2s58/wb9SKrrGhOolOod/nqlOvui6rVnyoa
Fi+3h7q8Bun8cceSQMBkZt+fDzUMyQhIcJmDQcb/M2T4203110WpMDfJs+PtsS63HmPh6bDqwSor
q+h8LK3B3SsapzmAwacDwEAzHm14B0kYd9rdHupyNzDUqoBNWo0c0LaxOSdW4mSmRiUxtya/Beu0
S5b+reqYf7tWCtUllK4o0G5hJVFdEVnNkxEUQu13lR3/6hfXAt8lqzsP8eV8qOpQErX5h2rZhW7Z
VAHKV8lNkOpYXjDey06Z28k7NZbLD8Q7TweO1IQKEiJe5x8os8Mkxg9NC8I+Ng51h3+suzill6vL
PSfZKxPCdw06Lx+Ixqm9/vk/tzlgjtIuWqkHyImtsh4OAEmZ2W+O5+EArkxelo5owt7kkLk1jnha
WlaA5So92cH5EefWuyU1xju36uV0iH1Jg+BCwwoC/3A+HeRuFr2yUzvoYvVPb0bJg5FJ404wexlC
MMg6DViGhPLbPlUYTSht1J0doDxSjp5eCwgembV8JU0WgFiRiUBeAQzbW2UAV+l1rFeBj0CtIiva
xC5TL9SsbYHfyLZrHmJ7eFWGOrwzu8slBGdEhE6Rj5oCfMDzJQydHOWuuidUqckZWilDTzTKcOcO
ujIKCesq0gt216a0dj4KN1NcUF4KA2M2y91oVqUfdUDEb18/lCn4e87ToZXUzRUOiJRKorY5SgqE
hyaukzDIe2m7O5GOtvrQjWr8E3WF/kvUSOO/0qgUcdDjfuV+o9rfOKuTmTsDrzJB3/p2Nmr5Oy2h
cPTa5rUYP63NenEI03DQ32l0fMt9Zudl+IFk1bH2kxKq/SFCKEfArFD04R1Ygdo8OPTAYhhiBUU1
VasAkEdl1k2PcHKm+Yj8xwC3yi3cbL/UkW3slL41wd8m1dCd0OrM1SdzNnsr99Kq7rI99KhhPg5I
dywP1qjm4R6HSsP4bAgxfUmmtjChIyGv9aFGTMt4KHURTzu7DUG+KrNe5HI3yNFaHvJFzc1AlxRd
fLMrWlpbc9x0rzNm0jqslKb70xaya99VVUrPUGv76PMkUMnejUq4RO/7ScfhoIBY1+4WbuIFSDbo
yJ3dtOYnzn0dPVi60Cj7I+XkZ8SUxr60QUq/l7ZWfug0ZvwumjQ9O1hIRDcPg20s095NconcipYb
bjAaiEClO3Tz89mrSoFojprO6K/YRT98HpNx/l9a92joiGXITX9MVTN/lTpNHgxF9QlekLSsqPNy
cGa4WiHtKjH11HmIeLkAjdjJgjkjdJexgXCDjlXxASJW7L6LofMVdCNUIZ8pXcb2f3MjlPxHV0sZ
P6o9SqBHA+cq5ZtmL3BbeuzqxGnWLLvxFCQ2KP9NoZnGh2lKJvlAx7c5NdRHv5pd1aWnsjERXINM
JQowK4Z0dks/qcMhLfEu2U0IfMmjagxg8YuG1skpNXGaPdkVMM2diXZM41eD7MWDkaDasItBEJXH
NCfYOwlNlbyABp/lidR7/j3M5qA921KF9CNAtfxoFbN1qA+YVvuw1G3Z7+2yi5Dw0dJ6RDtFXz4k
YWg5PkDfOHk2RgoOT+bSqcOJmHxIj1aKgtAuBgmDVtCEUaoJ/UoiZzDXRonw2yxkjTZYk3WPspBZ
6M+F0aMbUWlL4bdDKCJv6PRU7qSVmlA6TNGP3tJ0SNbUFj62q3bQkJ+6UIzSS+pMbx/0FvTULkNW
udvzpuQze6VWGp+gvQcfL/COHV9tV/J5I/B30p8Tx5GPbmvN+mFQlshANW2Y+v0Uj9F4rCIT/oRX
up02vrg0hDAnmkJF7BH+ru1vIWan3ZM7Zs63uE+Vj8iwua6fhHVcPkUj+gqekqNX6vU6LCg/W1r2
06opV/iONYrQWyKICP5YxWrjC7K2kCKwJVM/oRoy+1YODYBgxUikB4fcxaiRosz7chbpR02txUcN
yZf0JcJMTP3cTkshX1T2C+LSmLDPJ6vJpO2VWdMV3+HadsNuBKomdsaUA9ttrMgZBtiTZj63vsTu
ufKSQsPfOtYn55tph1N1TKTR6JBO6Hj/7GPsPcFNQ8lqqRtOxmvex/n/BrNW6+PY6nMOUloZvwA7
TrPX2QYD996GEzA9dBQ92k8IIPH9k86tvjRijNQdvCAX2Lg64Ufc4HLwPu1xzj24SKr96Mw5D9+p
uEfG+5RzLH/OozphzFZy3B9HNGPhrUL8656Gfh6AcINRrXxw/fl4XF1KrX3fmerkcUpYQrg4sfud
azjMjjDOhtbrV8PIh9kOjf4hjG23O7g53vJ+Y2NU/ofORu34/TREGtqFC4KRYnJVJOooBC5Pdo+h
74eksaB4VfPUah8sMUXLcYhGZTromdZ9XUK7n95HkGmafaLUeb0b+ZRYrjez2u6LsV7kc5JFIdTC
VuBOjYJT3yn4iQzC2A2TKFHtM9vKeOKpDaGrFLQlD7E5ZfKElYJRP+ay66egQIBLvHeHOjO8Np5s
7SkbJmgsne7KLnCWUJufCLpN/VeomfJLLvVRfzWbxrU/Z7Ujyq8hNU3lo5rHQxbkg5J0XrxIczkW
Wtk9pwtU7IOVQoT9jNFbZzZ+38ym2FnhOE+8+TKEi8w2QfMP9UgHkhFKM/VOgRRUwEhwWrFKWg3R
oaxRJj4UTZhNvuxErz1jbLIsB2eq68rv62hmYy1wFI9OPVj4XeZzZ33jxuqrnwvqtML2KyUvYRfV
YTke6Ir1n2wxG7M/1E5onzpBu4DrIVrigAOufrAWq1L2g2x77cFtMWH+AVcobw9xSg3yQFchV3Vv
ykQUvyQzGrsA2mszp9FkiOUgTTJt5OZI+hEhi5bvsQkduvO0ORTZzmy5N+EKlFXz3qV/252As+vv
4ZXU5U9FtlG4g21EYpsQR/ymfUXa1GfOUj0ACGvwG+sT0MRQ60rzPyOJaL6hv1G1u5y7mZYpzHWz
Y50XPf/N69OM71zhCNeb2wJDCVGkauIjyNmLxy5NofG5M/2VvVkhfechSdqHHv0/k6IIppSEmKZY
bN+tZu1TbRYt2m9dBZlrWRz7OVI6Kw1me0nT/ZIbAnH2QunqvcLbqRwtdyauSSsFU+2IrzQF0BR1
0+d/cvIXgcztfHAkJc2d1cQuxnVLXHOSpDocjXQSX9oEY4wXe85UxZuTRf/WR1GffEiF03AsF4RZ
uM2QFut+NALdr9hjj5Tjx2UUtvvRRdwBthDdQ33v5C3NCmTk0VtD8tKqjguszq+YQRnQp/ghQ577
2NbxbIwERuLzLFaPrzKXn9HBA4DD/bs8If5lKMFcp4nY9bDEuv+SKakwx27H8gccqBD1WWBYPyUE
p58T/JRlv6QrSGiyB437OIL9A91Pa7NDglz4f/iLJnKvQaJJX83YTcqnIioajeBwrLXKyyeYGLs1
+cNbopyr5Esq06z9UiKfCS1WG5FlkOjSQH+e9OmFXiN+4OUsF/FxtjRYFV7MO/bZBITevEoS/mZX
0KNNoca183Nmx32+H7K5q95N4xgN72yhjPIB2qLyBKMB97bY7tOcZRbta6cMBh3iFNrPseq60PYd
kAWKDzcXMgjRJT8RJPHyQ4TYYvVBwUbZOjqGNH8hYc5uG7q4jN+HcSVxbBPIkD1RChuXR6LjpX2o
Qy2Rz7mTtqWPbvZsH0NlUIefNup1L8Wy6lRil2RNx2pRk/FFH/vij9M5nRq0Rq9+EaNrDL/cMGy0
fYm9y/zR4bcab2rTaP46FwJqP/7lybEhOA1UVBxMH1UScyJ2S7kr66Ee5KEvFkQqOq2iSOI1fd3i
/VM7qGSedEQ9AVc00Fp80NIhj60eVsm+U4T+KXKoLx4kTu1AB5bGwOQGUUbH9gphwOAcDCflynZF
1fu6E/Xxdz2eHP2jE5t9/aXr2QwBcnK4GZn8vthF3arp4IFxGYsnq82LGmHBtKA2yWY1P0TGYKvP
FRuu+eREtTbsm7AUxrHktgeGYc3mgaxQR1Igg/byWBaQUvGwMZLxMTPazHmCKjRWDyufqP6dW02Y
77veERb7OYcpOdoFOsY5spr9EfId0EucH2TudYOmlQfww7b2XhONCPdlEoeoBSKvqAxPNRJvSuZJ
JSoQq5BRIv7kTpj1h6KXC80hAUXykEKAMJDaTRZOT6Ss6oa0mFDAarjSKl+mMnwe6sb4GDUdjDez
TWT3Dt/b0goigeuvHymi+IriHhsub91KOYQhlEhvhOtRHac6HOT7PI7sAm1MKnrouIxGl38wbQkv
zustuSq+l9AVntwia5cPs2n1bDchtfFroZSoSqbwGmM/jNLF9SDaZYpXVTbGXDFPobX6hkY/6mkK
S5+4DfhwuLjxbtK5hrxZ7Qm7eNyse5Y5a332PLF0KeiTvpJbki9ve+9hWaRmEbouFUg9OiYuMqqy
t/R3s470BtoHH6omRqxCFHOH1KzxVpsbWiVg96mpUExZGU6bQkfU92NV620YABkpvMoRyTPsEizz
cEt/vp1E/609bqaKfgsNEzrMKEZtxfqEk052I9wwaFGyTT3pyP5nBA3jYwUh1/Z6rc5+VFm8TF7B
G/PqZpHi+ksmkl+3f5ArS05NTKWGZJlrw20zZzQtlQpgoAiQmq08aWfNgY/eH9C2aQ/QpYfAjQu8
H5Iu3sH4fL09+vq3b1YBdDIlGNTicKjbkhmQPW54WPPoxAlbmkPfLjZMS0Karwu6ogj5FNCy7tUv
tmOSzoCJXlk8IBQuMPmKmKTBvRsGcMfJ+OywOSxObzwbM2IOvaLOd6oya23nbI6MR2UdUBKOhQrY
C/7832og6T+nnV1VJnQmVLM2fvU5F2oqZbfDti58R4A+fk+t/p4Q00XJcx3ZUensrxKDVMDPR06x
4OoomFCnSavMz2Ixv4e8jpAz0m7fb3/Ii/LdOhQ9CtqoNAJpyJ0P1dEznsqJDiCIzPkbPPziMLZW
cygQSjnGPekbADH0P26Pem1p+YI0Uim700zYbN6WUKl3JG2mSM2+5i79pTSWj+ow/NIrklnIsV5m
IYFxe9Qrywrthoo4fk6IUW7LbN2g5ILMSgSN3av7PqyJA3NbeiEuAP8/Q9FDoi66ailu28VTCmu3
NicR2HXo7FGh6b0ZUjX1hOieeuhFUc8GTUo52VVAbHD9boqHlrCNXIgBfe5mRL16RPtdX5TyzmG4
NgrFZCrj0NqoA232iaiUouSY8MUoiexKSGA+WKR7HYUru3E1ggSdhi/y6o9zvhtRNEql5uDgm5Qi
/dyjzfAqWUn91Bp4x4ppcijJoOCrPdzeGVf240pToWnigOPhUjsfV13qBRBflJ4UzN/gkTb5KR0k
KiqmgQBm2af7SKrTaxb3zZ3zd7knqS2vuB6MbCgxbzuE4BasdqYOckLUWvptFsvPA7m3T8HoHsjr
Eg3DGacjhFQf8M71ajufZShmhOxkVp70xsUWFQvTTP6IZBclz5nS9lRd+141TzE4d/NBpVb8aSbh
6Q6NE/aodFg6KhFsRKX/cnv1r6yBZnMw2VWcTAAx5z+Xpa+dKkSlT62C2QddrTHyOlqR5LmEjYfb
g11uMS460A50rFbcw8Vx6SZdoZ+enZZJR/ilG1vXG9AyeZQQEhFd0ZW4eK7TIpzv7LHLE6RR6YQg
SocW1N52b8eky22LbeKprBuxanaQFxC1vPniYRSXkqVGQxgO6jr9fx4tPUuRUHHS/IQ0gviclUm4
1+dlwHEhvHfxXB6aFcfHoTdYzRXcfz5Uh3kwhGSKkmZVK6e0TI1jjdIMN8TSoPeTIMeXw8qmhPHm
u4iBKRFiSEbXiZ28GTjXOpjlRX7SUjHsUamavDqfw7f2HW1GQdUNOClhB/7i56PYo4lUBwJDJyQi
rP/0AlFLR1+ab6Ez9G8Fef4dCoLoSvgigtXOh1LIWzi4DBW6rUZQQ6fBcbL/bm/8dVXOwxkuVoRA
HfjCuNBsIXcOClJt6yx8rix3XlAR1pYdwAXKwlkGJLd2KvMe5fXalicZABwDboWLdf3zfzZj16lW
N095firkUnyfhnx5tFMkcd4+MXAcaw+SFr67jZZoaKlNVSb5qR4V+4AVCanPPPOfjsjbGDPl7eOx
J0BjUsUCXLQ9yHPr1E6RxMUpSXAxXJb8S0ev0+uzMXDV9M/tyV05ZADOFPY6j+LqNX2+hOZgDT2i
eWwNZ1fYsjpWRv5Ri0lzal0L96NTz1TVmju3yJUPB2gbZQDaT9AB9M1LMbtRX2ZoJp0yUTjf6pHL
kF0p74WBlxf/mrPBDYINA9JjG2E3apdmq8rZSc/gwI7U8g9xqWePnb3cJfSuj8hm+xMjE1M4K4bF
2ZIoloWyjjKH9alBJGfxCkRre08xkY2nwm/jUjLRZviktHn3Agaz/TE19SgDJYxwbODmTrsdFJD5
Y5khGuYlU+TqD/Pg6vljm3W69uCYi8BbhqhT7DCgKIa9nfTZtBsW2gon3tF6FQnniB0yEmjb8RR0
lJcjr9Fq5T0Off8zdtw+RWyWD+JnYEXmPXUFRCszvamiU1X2ke3THiywKEzUeN4jRUGejZIxEoBU
08PsQYA8UX0TZq8DxnMhoEAqqq0eIQJXd/LgKzvE5XZQSLhR4UXN9Xxfhk5nsEfS8mTSp/mG8p/8
gF3NPbfSv9n05qvR36fvviKO0KhYj8c/N4jKznPyoS9PqFDp9SOaDY77FbsSurPZQqndUzRER080
BGnT9XEz9U9aokfFDr77nOwqa9R/o0nZTkcnbOuG+uws4/0S1cVPAZPWDJoUSP/3flTi3h8owEbB
7fN7ZYtD94e9s74iANw257dAgzSk9laehMjEt5w9OIJpU9T9bAnzzVIXkPhIq0Cn8At3xM2ThZmV
NatkqycMGIeHXqbRPrH1+kBHTNyZ1+X35zpCK5jcjbQRFN35h7E7tHx0CnHcEIul79HwHXTkiIop
PtxewMtni8oS1R0GI0G9gHnYqZuqTsJVtBAX936d59giJLruZSFWTdQ+aWDcHvHyk3G9E48T2Px9
KjfhaIVEYJvNVn6qOGc+Ck0Vx45GGnbhqn97qMvbfYVmAz8D+AF2b7uKiMMWbWjMxUltinanze/K
uvQx26E4uJaTsSItVhnQ8M71fm1N3ZUXpwByIiZdV+CfU5Xj1hLhBFKcoiRLvXh0domVG77aGF9H
7vk77+WVraIBv0eK3CaBBF9+Plq5IorLxClOhArxruj0+NGI8zfTPig+WtY6BFE2BJ3NQVsQ41LR
H6tPiOfgP6VRbQXegnIqn/POV7syoVUme4Wgw8sj+z6f0DBGSCCLoT6NhZQvie1GD2GGxcrtvXHl
I4F/5G8HjobH9RZY5SD7Db2sqE9dfejVkUUr08kzJG0dXdzZEFdmxCuv2CvOaYXZbbIGGROqVcjs
nSKqQYcGvMUhnvP54+0ZXaZeK3WKlItlI4DasjEmnXc1TC3WbSbDJbTPaGWpOdw3s8LpTCpT7Wf4
FS13VvLKgYb4zzsIfBBGyxYH19nNUKIbW5/avFUOEliwZxbC3WEq8GbQOU8VtCPQLGt2CcL9fGvo
qRINThdWpzidll1tNv0ubcZ7wcyVCXFuCXhJJinCbquvSwzcYmm1+rT0YJCKqHE+FgDoj/qQWm/O
gnh4VdB9JObwgbZe6yMCvHiP1M0JUetuT0Tj+kWTGv6sYq14e3tc2YSo3FMEQCQH5ZBtzWzFUA/p
WDUnHUlDA4S7K9z9rDfDvSrTtYF4HFd5LVw50EA5/0hSJmOKYHlzwgEyRepigiYmxL1M/NooLihm
3i0Y8EBxz0fJ89kY3R7tOJRglfexWDQHXUcgbXeW7fKegB8IyRJ84nonbfk9VVcg3Cq14eSGaWQ/
6HJG6TlR+mjaz8JFWS+Z7eZeWHM5OYI+XhBcH5AyIu06nxz2nXRX52o4dZ2bn0ZiBRo9VZVkd8KM
y52+OrNi6EMGDrR9e3Rbp2+7QirDCUHs5kCRfvDglHU+5PF71eFrUyI+tmyXf8FFrD/KP49ip1kD
lXBrAOQQp4dR1yRaK+Ie9+XqhKz1vYcswkO1WTjYaDbwx2g85epUvBM2SAMUZ00dJwIBt/v2ibq8
cMnhzNV6CfcIlHg2t9Gom2nXAiY6jVZXZrspmlz7oHeC5MG08yE5UX7X3OOcF9HL20cmM4B5TzeQ
R3LdtP8s5mJY2NA0i3jIGr20/BL92fJoVC44lnkG6/TU9vjA7TRLjuXh9tCXMdVaRmHD0VxA6WWr
4qAafew4SdYGCE+0nl3qy2c1NhHSXZToYaFB/9JaeuuD9wvvLPflDuLlRJaQg2FAg9uyWFq96RpZ
ZF0wiMY4pnXHy6Yl93DPl+edNeXmWp+0NUff3CtSqnUPsrMLMiX5OKYFvrVF/c2Jq9+W2YUPtxfz
crvCKFlBqKtPPbWjzWBqYgBnUixUgdoE6e0lmg8ZeQUqHuo9nP9fstl5rreOteLiqSfC2NrsmSjR
ytAwYiR6mqizd00MJmSHKvSg7GSdGNkK9QQzsEJ6lh1GjMoTDYjx/zg7jx25kaZdXxEBerNluS62
kW21pA0x32hEb5Jk0l39eah/o2IViugDDGYWDUxWGkZGRrxGfln8/7D/BEKodb4Zj0aId+bYdQho
A607JspAg7SPjMU7cxA9uKzUif65v05/At76x4MfoKDME4Va9uq7HiI9HTRR1+c2T+cYrGlTGB9N
AwGFQ56Xbp34lNvzeDeMVe4EIczPdJe3Rt/uEzFmwKrTnsR7rqe2P+JDHUWHrKNqkvtjVGjuY602
hll/KlCe1t/MGKTDSWnc9H8WuzP7WUz0xOmEF/g+zWNN80E6pdYLQAhsHAeq2fknHaOJfh/B7UVS
DLxbivFHlNff76/DrfNCkm+xkSo9trWLUtuXKuASM4OpBsxFnfI3sgXLd+r6/TmQs9TfsO8m66dI
tbrE0cxNjAGA87lfijfdYPYnDIYHLDGj+XB/UtfftYN6AXJpiHEyt3VNXbSex90WlueKi/gZdFCx
z3Unf3f0IKVbWvoI2/FeWhOveay0tePiuyxHNd+jNRo+6HWhbdTOb2wQFFa69pQveb6sRdkKBXCV
FUtxFlacf280fU73aLhnJ0uvqnwj8b6xcHQkly7L0pBAXezyFuhnrTQmLRZImbrfFwjlueeW39id
63gI42m5Y3hS0Ntd1+lBkVcWqJPmjI3S8ICw7Twj0912yVmNMvNXaCtSbND6rhcRYUouF7JiMuMr
wh0MSYSga66YOE/jr2NjDghUKp7EyJvMctjYshsTXG4VNDuQCuRFuDrpxiAEueOiBAeqpPczyxYN
uEEU1I/RZMYm2POJVvb9M39rii4tckAeJEVXJGtdmTzRYU1zrsu6/ghxo/+cV654SvHv2MgVrk8J
pDruGHgvVLgJG5enJDeLGm+PuTubGGVrflNkLhS5ppmy4/05XQ+EiyLEaoAVqFFdwYQUDZO3Au9W
OA+d5o9GBvo0Mt7N4Ya/TXJH8YgshLrH6iZwi4gCs2V2Z+xi/okscdKK8WWoO/g2Un1/oX7Ji0nC
qXiQuq6DhsAuV7VipYNL1uXfJdjqA9jgYePhfn0YGIUmNQ15ZBypMV7uEPpOQFJVIc9DOZaP6KE5
vhvZ4wJJ3Hqr39gjCqXMiTycr3ndpXJUjH+oEwznoc6UHfAMTL4XMP67TwJdcAI6wAnqEWvw1KiU
9D5M6vvonWGbglfoB0Wb543k6WouSztvCU5InSxbtFq2FCqT08eA1ys8AV46dfGybyt3IxhdhQeI
qXw0wIRoUywE08vNMfPES3Q5DOfMcKifSE094DGGg4mSJ6cBM3r//trdHA/dBZ4UdMCMdX6tqoh6
GajFnLEf8z5TYR8O1TDWv3o9zk6KFsKauT/gVULPBLFOWwhrS4LorOJfo+Q4FHjGcLbEZB6SKH4Y
5+T7OGgnnqAftFB/mgtzK724PShfls5RXAa/XFX05oVazzZ7p6rfPWfe0WBs/LbGFCaOk9J3uvbD
UAwbaaS2zOUijVzmStGA1wPoITKBy2ExTUtbvanGcxMB3u81dT/3YDvbQs8ew05RPmOK0n8dyzIB
2Vk05mdbmOavMbRe76/51cuR38Gr8f8q/IvU8+XvyNNJgM22x3NUmjYCu1IUnxTay9GuC7VyoTiV
yidoubw+7g9863Qh7vGHmE+R0Fl9M9ooKQ/p3niWsp9w4rL/JwDfNrhL+l0V/bw/2FVcY5YeuSM1
J+InD7fLWVJztweZIO0YU4b/IHGWANev2N/D0Pr17pF4iwKggrFK3Fnrxw5hh+fhjPLniG9DgJcO
VDap5eex1+3D/aGuow4joZDC3YNQMvWny0nNyMXmdQZ53gPY/uZIJ/sna4S1EUFvLB1dVEpyhOhF
QXi1dLGmY+xRpuoZu9T0Y1nnzmNRKOFHvW+LjfzgeiidlydYWyiy9NHW1U4enrlRtup4dlNnOKRh
M+xHHYZRnFTvZkxTvP0jYMN7ggt8/YqjPK05I/yhc9WL/ouTh/0bqV6ykdBdf1xcpuwRtRl0CSm4
X+5QPahJIrJoOmuzmHa6cNPXKFlk33pDOWoyAcUNBGrjMrq1imA9CaRgWSnkrtIS+HzuNJrFdE4i
wI8eTKRvPavuK1U0v773BNIRRHhx6eiDd1oXf6JsaloNDtw5oQX+kHdgZhEIH/f3R7k5IZdkYdFS
RwJjtYqa/CPWo01n5J+/Tsj/HUC1QXrFKWRjpOsvCsQjKqnA08izicyX+5XouePEkzGds7GZcd7y
Qt/oYIXdn8915GNrQOfhjkqOfwX6nXGQHW2vnM+0vL9UXX3u6Hz65SR+12gZ/v8Mxqe7oH6Z1prX
3uRa5YYQ086edCfELpzZ+WoCAYbvBFc08Ej29I1Ows35cZUuucof9/nLVVzYlHbZD/N5dKH47Wq7
GXdCheoiPL0FylVOG3O8PiCmRjMLyDibxjlZbRsi+O40gfY4u2HZnDV0wo/S8zAda7xpA8B1cygw
YgCrULOk2H85t6HFf9WdJ+u80PhPvFx+YyQ4HohQzcakrs8ik0LtxVk4D0sT43KktprC0BXIOOqO
khyTUppoN1FhvX8Wb8xngQ8sdQJadWgbXY6STGWvSbNyeeDietQXjfKPWcA7wujSers/1PWxYNF4
/YE3cumarbWNsly2VlGiblebFlg0WUAczw0jOmi4RuFM6Smv9we8sYKIRiz+xgii0XJeZRiNMXvY
NJj2eVZS5zmawTB0szlsnPZbo7gEDaK782e/LlfQaqAWYiLlnI3OLYmyXln+VLMs34jqN4ahWLoc
umXt6KteDpM0bkY2arrnKU+igyJzDI/pRb//0C2BdhFdo2IEOuJylLT0Ohwss/CsJZjXZ4XwDpIU
buPQ3ZgL8XXx1qGAzjirjalKLV488VyeflP8yypm94OaRdnGp3p7FA63Ttzj2lh9QCKNG62zMhcL
5Kl7dvLK20foYG9s/40PaEkhwI/wcKbMtrptozHtHDiZ7llFQA05PKE9I0iKuemYbQm7/rnoLt8M
lNe4Bik7qCSXa1khu0xrJSoQhtB4CUXtE+KXficcICTgtaWrfcsdSNGFr+KN26fVnnXZofeARUeK
AOf0JcbdTpm+Te5XdWp3RfzcKfA/7OJrrLyFIn1wPIzrhDH+bJRf9z/F62+fxHEJmlQQeL6ubyHp
RKnEWSFkL0BSGnmdBEOtRzujNtECD/stT4XrvWc8ztafahqf/ypl4Jmq9FMKg6gy3BHLo7La05na
AvUs5/RyPwDZUxikrkAFjZLx5deCzUsHfWdGKrCt+zMZGR2HBF67D9PZ+wj2LAuMrhFPGOKVb7yy
hg21uBurysh8rJReF3bW6oQDe61srACigO5CfEZfA6NirBf35GsJV1K6pfN7TYmjam1x/mBsLI2b
tWC02ia6gyZcFGRuPI2/NRc74qeoBBW7szBalKdsQSw8zNw0yn6CqfnLsooF2BKbuXt495ECFr7U
gXk9cvevJp/IFI51lccBbqjqvjcHPdBSBdYISrP4IHr7+8MtJ2a114REOo3032k8r6EEDQp5dG7i
5gznPjl0WmOex3HQHz2RigeAoemDa8/Dt/uDXm8weuZQ73is0AChLHx5wDAZdNLO9rozDqQNn32C
GDFERCdxzthqoWSXVXO71bgmEl/NlTeYsXBkFsTalVFSGC/ayHRRz1ErXWWXIJbd75qmHdrDHzLC
U99X86urGcLZFYMq0u+z10n7YMMT/ND11K1Rg1LxDi1jjBYy4lEcZgURCJgLxasa7nGWoFK9g2pX
WK/JXIeVLyMSnhdN743GtyW8obNopZl9aqa8Ur6XCq0LetmjJRf/7QpXNozNm/1gJbL6Nx9l5NAM
iNuIF10ti2ofh7Bqv0w6Pt+4pCrUY5287YuDOrixxFYWJe6jBXvqVRk6t/luJXGWHXAicLyDLaTq
nuxxUfJATqD51UDfTY4igrD4mIV9n/IzHZhkau850L3CUceN0dDeoINgl4jijfycZIOUGBVWLa65
fZpr2Q58z1yd9KRT1R+KqQ3Kg1bPc4ukqVL333STl2Lmh1HuqYe6DTPtLR08d3yJBe+IX1g6Z8gH
FNE0Zr8HI2ziJ71FKeYxmiWyqLmWN8NOT2xkOpI+j76lWRprp6yYi3jn5gJ4EpUcO1MfY7Vy6ZiO
6ZSOjJ2h4OQcRjdPjKOTOU59lr0zxl8ytYqiGKNUN8OzAFvUBjI5yZMP9k4bPnhervMpeGMmdmOf
wCBsqObqJy+tHeeBaWdyZ3RqUn8M5y7TF5nRsn2TIlc8pCj0uX7ALyj8TyjdXLxB2Y/+s9EkiQ8J
Cu7Rc11rbljvjDKE6z20OcT+XFZoWbQUqpCGklUr/D6RlnoIaQZjSl11hokiSquqry1JbvcVOEmk
fZmoLSefQQt3/dmwphZhJcSu8R+XFRIwcVo48pCADRUf+zzrf84GGtLP3GG9t4tRBYr2qZp7Mw3d
Aa0r7HLDZi9zxDgOrVWmyQmjTTk+TmgTWOg+lFN9ZKs5Y4ZO7Hsw5qqx90022nGQOWk2HFXW3sHt
Wymcn7Syveg/MWoy3WuD5QnoLXkDB7RUi+qDaJO42s/uIIoHUTtt9qTGqv4De3s7e2l0vJnPVTcK
2CNtjBO3jBFHfhGxgLePXEze7apQ0T735uQ2T0mK8sguH/TeetHZdtqAHWoMT46e2s/oQ+E6LTDx
bJ8iep/aEQnB3vk8QcOLXxPs3/MPiQfIZQ82SHTfRTQVLyiwI1ZSsFDdqXK0SAniPoXrjaqKrX0r
3cb9mSE3gqZygcTZi6ICkzjGNEamU9bYE5oquhvqql+mRjEcDJPbUztLjEWN10Y2cfJ1sJRJ+2CF
NSKkGSxAPFhrhPoSxccTadLxIsWK5jh6OKb7lKVEGIwOolG7OUEr+7lSBvGWUKMKDT80ivS5zrT2
aRyqHoHwAo/ek9N0hqX4LlS/77Tyw7GCQ5J7fe4jWUbI26OvFEefeYBFCR7ASVZ7ezNSnPbY4q7a
VotjqcKslSgLjwYoM/VlyonOfhgWMjxP1MbfQMu7CbJUnvWNRBuVfwCPA7pDca/bO3jGCnXOWLje
fqReKfajgpQWWihFM/E5ZnLEFsWrUGRzJlzCNHxvMYR2Lcy2OzE4ZxebXu9xUOP6PyPmmD9mqI9V
/whKeO5ZMXBj/W5NWfpLj80k/Q7vJ2weW23s/4UR5+KbjHCU5w9qrbo7xY16cz9b0eSeei59JUhG
bIxeVG+MjHMs2NvPVo/fwUlJDafwSy0S8Vs0WlTm8Pxsxn2DJoZAKMfozLOa4XYP1M4pi2eVC3PC
C2SwZkgsXYImalx1w26oo3reO3J0zQ/xnAz/gqHs3/qha9WXvnAzFyk2JBr9Mimn/vf9K/VGDoP6
/VJa5tACGlqDD0XKMY+r2YA1n6oH+FjjXpnN8hlvoPhsoK56QkPKxF+ob557UyD94iLRdv9H/EFC
X2YT0CksMPUEF2pB60weFF0jqtg0zlkX4R05zlFWHMhn4E4NPf7CE9tpPwrZQv8ZCl5QXw1NOPU3
rVCmjwSjUuzLZJZIfBhzgyU8juIZbtxCd8o0PmAXnRuOz4dZysB1W4mMBEiY9pee8a0OY+nKY9i2
vXIASTNixA15yzxyArxvkzAaLnUnBczlj7Ltql0tkW47NrAa9BJlK/poja+PJk7fvh31zr/FoIXz
B5PW/PDeFG/RY4TjCOD7jw/gKsVTEM1L5r5MghLJcWOncP03Pt9v7J6mrkb5TNpjrp7v783V04FB
F4IekGwewrRnLnOuCHjdjApTErSR1h9mBQ/nqiJy/X+MAmoOjh50bqrEl6OIeirn2TGSwMnj4clt
KGVmVmttzOUqaQWNwWtx6Q0AteKpcDnK0GM2aDqVSSKnW2QAcGCwitbzJytV2oCk1Ttz1rd8j65X
cBl1AQRiIUDTdfUk7j3qEmh1mWeBEFyFehBeKz5Ei3GjjHBrdjAcKXPToqQDsvz9L+hhZlAywpPF
OgMEkf2B+1Qmn3ucj42dXlcT+Boj7/rHXhhKt/EauErMEVJAPZIp8u7i81tN0RKolHEakYKZk39l
MTw1Tf8/L3N+x3G45Xt4e6ylLAPDCwmQ5e9/TVOUk1VLms/nBt4aIkph2J6SWfVwoDBQAKBS/f29
Z5PJIaC2cCto/a4BV4jCTZauMLmh6Oqdt/idIz0oNmKgeeOYLJwKbKOIhQvB7HJeQ5M4YVXq3rmy
YfYeIHyZul/qAMt2loVY3W5Cl7F5tFDbzPdu1c7c6fkEJQ9TLeVRJIkeP7SJFZn7OI+tBPqchyP5
wZrF2O9DpymnR9MWCRJXqdO7Z2vxQLN3elggqKbkrZt86/g07aOOVOUr4m8DtF81aucd2YrRvmrI
anWvXjJG4ammRSwxle+j9mxVWdIhb2g72b4AW0rGzMMPHRoccJBGbCJX3QG5Kjp+T65MQa3NkG7z
USj1gxUm6XxAOy98q20l731PemPy3hoeeK8FKAJYAAAMyKXLdU3j2MQaXkU+FNGjZGejDwebH8nN
DTjC9f4xDrWHpVwIOHWN5olGTZdCR11ds9v07HVW/ojiWrV1TPi1FzflMhvAAJQ9yYNQjb+cjcET
AAICgkNItI4PeewmO9OQW9/zcpNcjYLE8FLHpcC2tgYWTRPz5ucsgkgq3wQivQczCbtPleHFGzH5
etmWvGPhplLNXYCklxMaWbMO9bY4qI0yf9X1XoxHJ0GFd+PyXI9DWxjKPpgUMgxqB+v+Qad7Uyvn
uHhs1bT2k7ly/Hj0tsy91wu3HmW1PRl6lQZPguJRTcz4A7LxDeBdlLtae6w+3A9LV0kTYyFLwr9o
bdJGWEOU4yHtstme8sehaJvfdiq94iTiDiV84cwye2gQNAuPdu3lNUJ3ZiwOtt0myhdkfzJ3F5b6
2AHu8EYYhXmh2Tymnf7Vsuv6Z9J5+X8xqqgUOKZh/J/Rmm1zKFUyH589TOuXYhwG+8Q7RWl2Uy5k
5HetWWBPVoaRs3eQPnT3laa0xgEVqOofpZZz+0n2Qxr9G6HxFfqhkstXqLpj+kKJf5PHfbUPoFcA
HJCwQNdAW3r5+1+XRKINZmfEcRw0kaPtrZjKTCtxRaprO924dm8P9YeDDyiIIHM5FP5EBYzgKA5a
O3HAAZmFL8L4nwIdiNP9HV/+T39/lehN4WaDkoGDHR6tPf1ypCxZNCqrgpHg4KGyOsdvSCVbD2aq
a/tRTEjyWsPw6E5e8/H+yFcfz5+Ryc8og5HA2Ks5FqCq0fFkOUercx+WHP6EoN576UnL/GDz0GaB
O4Hz6SqLgNRNUjQXytmNRPeCCXD/HFap884I+mcUekYcczQ0+OdyFWckX5Va65QziMjkRSDl/5h3
qI+/e8Uw6l5w2jZX+pUtENafc05Xh1o0wHbnlFSi/qjDkrAf7o+zTvqYDcDpRUYDM5alEH05G6o7
AzWjNAoUW+1/Ag53f4C970Ddy3FyvgxV0fan2cpQErw/8I1jT3uHMckJ+M9aVsBw4wXRFSpcEU2N
HG0SI7ON3mCPzLbnJRvB7sYB5Km+PERUPmZjrcvQZoj+jfBYgrZzvP4YdYpe7a0Kp8GNr/nWQHAL
aShSQ6ertAocGJ7HRR6GDOQh90Rprn1wyyF9vb94t0bhlUPfEsbVgqy43DUSEjBtiJkG0lH+84Se
HjI9rN8fLqy/BvlT1v4rBhLfXZUbiKnAjv9ReC3C2lYo+wcS8/gfkXTGTmh2Rog08y2n5FsTpJXM
05EjSXdu+ftfY6utWuDvUMUBZCDv6HAj+gL9qo2U69bhJ2Bws1NnBzuyCogRxadexE0caM7UHqu+
kntRf7bEC8hq85iDG97IJW8ceswDFst1QIp4cS0/6K9p0VpFksFSk0CHsPOPZzQog4yjPeuHrpqn
LcrCjXhvGwstwluQI9z1l6M1YzRXnecmwZQM82GYKU6h1IDOdO4VR4kd6ENIbfFbmsbplozbjf0j
aIFkgo208OdWAT8qFdFqGd2kfNKGB+oMNeWGKtr4qm8sJ4RD+pEouNGdXNsICoACOKtqaQAcUzup
1vivgUHIoW4Sd2PjbsyHJ/gi9MfugUtYhUkRa3KQk5MGoyfFS1aX6s+on9ONYPznB69u6AU/ijYE
Fwu582rZxo5YOVVpGrgwKGEsoDUwxFTHa+SK6VNRyyeGlzGa8IZiRbu+U6aRzElQYBuiUUFz2hBD
u5e6XQ77OR4AhhipK2Jfp/Ol7huz9rTHqo67bh/KbqS1jWbtt8r1yt+ywMZv53qJ+Ton4YzEfYN8
sj8jlDM3u6hPLfsLry2ywCLrLf1oe1bTPdiFkYuPJaK2bzgAzunGXbuku5frAUCNU4RGFm9nsvvL
Ezwt9FgVHdRAQTGDam477VuY8P6kqC8JiJeNXb4+T6Qe0ANJHsDU8Hq5HK6OEbROKfwFbVkNOzWl
cgrtPvd5VW5VIa4PFEPRDwQKCkfQXZMRi7kJRVOjJNGDJjo2Vh6d6qr8df+auI5vcNARmAVuzj+o
t13OpzErO8wVcDpT4SYH0xvaH4Pu5k9VUWl7kErDSxb3W9iEP3TD1aYtGiALgHG5CNfghA5dZDEq
qOWNbZbbtp8NStS+6Ny5eOgmZYsheWYOnveiUc8qPtLDqU0fMEjLG79U1TD+ipZGr35TUj2bf5RV
rzw32Vzq/sjpTXaO1jZfTbOfnio0ZNPdYhEw+1Fblq2PTLBO7d0sy9FXqzb7nlUAsUCf202PRaVS
dBvX/XWI5eG5PHR5U4OMWYva1s1Akmg3TWD1Tm35sVt1j5Meq59wO5y+oRgvT12XzsNjgZq9sREu
/txPlytNvsuLFKgZyG9Uyi73V9OzKTfSvg0mk3bhfnDM1vyySBbbn+vUk9mrTPK6fRIZXjSfWfop
OmsyK/+jMx8bb7ZoJ32nJtlsfb5/7q4P98JFRTOC/Afo7Do98chYvc5ti0AipM0TsJ0/YM44/r4/
yvXXamHLCYoa1rBGzFwlQYnTJ2WHa06AgrydImiTYyAzRjxqH0xZzVtsiutYBAaGqiG5OG9mAsTl
YlOR1A08G4oAcZu6PJiIJVc7K9Kp6c2xPb5ZSN//e3+GN4dkW20OF1FpnQW5dd6MHijFoIF3uusG
1T6I1u2PVVm7B5FmW/S8m+MtRXREOLhU15pLNmD+goYVQQkDk/qYDnH4Tc/K4pMwMq6YpJHdlnjA
jSGhfKMuRjmdD2idZFaNirNEltQB5Nv2ASXxZqcbTfyA4FezzygLb3ywNw4NPSKqvuQNaNCtq3m0
2upWuHEdmFPWHDWcgJ6HrHEeW1qtW5+nwYm4/DzhmZOl8wEsyeVaWacbHXNUbSkCE7f70U+lNTnB
zI33OgHvkUHa1u7HzhyqjwhgJxXT5djurK4ziyNCTaAALKftJqjZ7VAe7h+t66uBNYB+hvzf4j62
Nocr2jbLZom8lisKCXDMOCDaLP6jwFXssMTAYU8Obb2Rb99a/L8HXeLGX+kv2KV27sKmDFTYl8c2
L7y9VkZgQ1SMWe7P7+ZQWLT+wfrQS1/+/tdQWKihH6UyPyTEtGPJfRHoaiH3CHx1G4puV9wjkGJc
5PhvchUs4hTracGWS0PYPUEI/jfxHVUB2BAZ4fDC98viNpDCKl+XXvh76it3fNLnKfpRm9JssJDP
0/ei9Zbfg+oMZRZiFQ2V1bWPQZcntNApgxo0g690VNHmLnmvYg+jINeztFzROUCDVr9c4Q5PmhhA
axnMbYYUhmW2QWI64vTufSSFUJflJYEhCl6OYg/mrAyKqAJUCJQHkJgzga+cAxkSd+8PdePWWioS
pJTkLCpp5+VQKi3EPjbtKui01AiISYhG1bm1AXC9NQqCStR16MSCUVotW9MYbTs3TR0ARgEmrtTG
i5yzdn9/LkAW+bWr4ANaG6UyZG0XiarV7Vh4vRMWUTcE0Cfz+UeiTfn808iTpn0yiqjMK5R0ub6/
5y1SlSqEsVq0B7ef9X5XTohWfFFnDYovtKuxP9hJ3Cg78ro2PyPFO+m/i6w2vvUgw9IT1TY00PQ0
Q0LRkBjh7uY0Nr6qZs6rpS200X3mMZ+CN7JHobmHxhJ6u+9A/dsPcTlqzWNj8bZHeiwtW3pGpCsf
bKWZK8xcUi1BH78VZcgN35apEp8mR8cYKp9A/+wrtzerY4yTy+yjO9vkue+2mBr8VKt+ch6k1RVl
kCg4XuzgV8X1ybSGnhAb9p080dkRxW7qI/tnES5mP3Wva/HnviycCpFzEKq+obVW9KJxN8ldicdU
/jmKhOaUfj8mGLmkqj72R9BPdg+7JTTLh1Lkjv1vWeuTfEQebqrPYDxK83NBO8zxR9o/zr+phbBb
4OCbUxzaSUnCX8y2sXZG64b2ftZCQ6UCX/ZAQRPp0dSaAXMda3br2ZyiNvruCrv+EQ5zS1E6E8Bk
Gsrm4oSwx/BzorRb7y1P2qY/Dg0KWk5iKtg8mopMPjkTWCNABygWNL4BaRw/rtHT3yIc19zUt5Ma
Y7M90K5O/9VixVX5dA4BDbV97nyVcvYsUGENgBRE9tE4TUoY0y4+vbA1YrtFIwyCcl48zx1vdkxe
wgIHrmoexdEIVaFgpxAmzrdx4G73B9to50+G6QqHldLUfOdhRaj9EAZVXL/HXRv8WFLqD2PWm/Uh
7XLXeZv0Un7O1bw3HrqsaednT43b/NRVgHoO6INwU/qObMbQ80fRpd05xWK6e0D5pQd8iIVX5h0z
m0Pn112KRKBBLjccIWPrvwbDnqNv97/CG986wAdeYDSnyKbWhskmxxYbHaXmYkjBkLdzDxYxqsSW
wcONy45xsCXBXmNh0qxiigfWq0RAQQR4HaauD8AUEN8kY2Dq1EjqbCO43JgWcB9eyPDwaIuuHz12
g5Q9TH0RxESEvRqL8FXHLWYDjX2lDMMFQ1WOss6iCQR/fhX6zTq00ZoFWNHZwsMVk97UDxexws85
3gvdPxEdufkDmWwxP0w1Fpi7KvVwtvP7UrrWuTZSK3ueJjcVO69WRBE03IYd3lqO/kajWW9fummY
8IZoUHPZ21hF4WiJV+F/SdTn4GeFYqRfrW5W4w+ceKN7TufZlucmmSrhj1ZfJz9VpQO141BiQTG1
zKZio7e5xOhVDF/EipYT5MKeW8MiEFvAc9CcBElMrS9Y1hRji8ilJWihd6vgYGPMhQ0fQY1B+ZqW
Yv+6f4CvZGTZg4WuDiaeV4/LYl7eiVYILWvBxQfRyA29H2ev/hC2Srp49IToAsk489TdpNfWk2sr
6fwoS1wg90Y/6ZpfZQXNQcdVGoPHd1SmO1vpQnkozLS1d7Nuifgkwyb5KcU4fyikOzSH+7//xiUI
lAUxjoU2iuL06ufnC3dz6Mn2RyTyMPHscUo0bDximyeyXWsjV1kO5Hq76KeyZOCDGHd1YDPwYxpw
wCoonbnxLU71vgZlPdO6Mef5kQ9po622PDmvBvyjmQiShaLVMv2/klxeB3GVyIz4kk3qs27Icp9q
bQcQOxcP8GHVYMpm1wdOaG+czBshAOIZFAwg/LSP120jpbdxgcIsh6lSb8zp9+9F2DUbGdnNuGYg
lUc9idO/FnDBzwsFOwXpaaMq+50Cqu4wlw12uGo6+vdPyq0JwcagMA+djsL8aimBxkfU/xkqcrG2
9Y001E5lZvYbO3bjQPIWhHoA/xthn3XoHGUZalpq1YGMw2fwXuV3abr/GVmUn80x25Kxu56UTfIH
moQ94om9Llm4aZ1m+eS0vOeb/Jwbxfw86u20sUvXc1q6DJTHoZrTYFvTRUVkliP+UV1QYs/6vwVI
6xxwv6xftNAM1Z0RevLn/c26jovL18VnBpeD0te6rtlr4FjxuZS4jhRiPEhgpcND2fSFeeizPIp8
8AKOeKgchxBpta4hd5kiw/Dr/Z9x/b0vsiGERbhqC5Js+Zl/fX6Nqk9qhP9H0CMwe65yFUslddB3
1OKIAVWR/IhDe9r48m6tNtQoi2uewjESNpeDRp7eh5HUukA4QzoFIlXl7A9eig8uiiJD9JBmRb0l
zfMng7iMNFRzmSTvSurV3EeXowrwvzIzqyHgJo2Vz14iMclAEkDKj12KU+vXypvjae/KkhpVKGL0
12ZNKmq3c2O9rjEPNOVMlaGof0ZJ4aXfE70p82OD/kj0cZCd7Z54Tpo/1bCLEj9WKAq/JmaP1qyF
Tfr4ooRT0mzUZ258HcifANjkOyOdWePyQszI5h5mReBakC/sIZ8/llQv9vcPyXWMXkpNMO0BKXFS
1uJ8nUFrsZylDARPr8X/ZxK7kMSn99XWSN6sYsyPkZu7jzJ20JS+P/iNKRJjwF1Y9BqoWi5//+uE
9vbQyVFpZTAnjXLCPDHzbafrNwLArVF0ABELfIU35/oamhOFVhHSeoGdK2ZgjFrxBr7P3MgHry+D
pZSOogw1HRBla5arO6IlV8YWC1mm0zfD7sdnXof6g4Fz6UbacHNCiOOB2gQuQ53jctliYsWgt6ZE
b7nRd97oYfpr5Prx/ZvDRUNStdAdqaBcjtI6dJ4L7IgD0lAEBmsDz1Or2qoE3JwLYnLQxNG+pF5z
OYrO4dPTuO4DAKLeMdWm9gQafv5xfy63Nmdp0qGIgDIMx+BylLrRmjTu3D6Yi6b91PV6wp3tVKDH
LGWjgHI9FOUmdPrpB6LHd82mk5WD6epA8JdaeS5MN/s3bLGvjGnfbdzWN4dCKgA25NJpXBNSoxYj
cK8FF8Wz4JdDC9iPLUFtYLHlvr9+17u0OBBQmV5OHEIIq10CODV1lZkMAU/k6DgpVe57mtwq+l7f
Hf+H/FJpVC1cjdUokT6GKSyfIZBSl/O+oLGCtWheqZ+SiK3lnSTMdH9/ZteXJBk1mt5LBxdhnXWB
P5G9N2c5Y7pta3+c7H7CD0As1B49C+CWJUfFrbY+rRsTXdQeAD6A/VuK/ZfHEZ5J3phKOgSq0QFn
jNVhl8M7+RS7tngKK32LgX/joPAcxhiLUujCP1ldyrYzaa3du0OgSM30pQ37zwur6Jg2vffuW4uX
Ny9jHvyU74mIl1PLVAOpDLMYg9bVqwdHtsj7xMMW9ufWAi7g3UXRgTLlukppmX1EzyceA1F1Ni4p
dga/q0KUdwoS3ZGvxZyjyn3/pNz4BtDio5KpLlx8d919L3vavXYqxsDFQccP42EK/THLzWzjurq1
WYBv+KzR8WRyq80azSoFYd2NQWhUTZBFtn4qDdDWfJdi4/DfWEayJsokaOdDdV7z5u2JhkdYe2rQ
1pr1EE/4zMetW+8SguOxN0q5Md6NqVEHIjQuZibQAPTLw4EdgGo3k6kFKkyA3xM8zdivQqt85AFg
bdzHt+aGfQmtDxArlOaX3/JXbtFWbSQ4FVowiko5uCXqUoWZFx8qfHPPArfmw/3jcR1IaABQ4QIR
9v84O7PduHElDD+RAO3LrXqz1XEcJ/EkmRthksxo33c9/fnoq0gttOATDDAXCcAmRRaLVf9iIg2/
BvukIX4UUkbbTE1s4yPeNPlRId/4nmPjigmnbH5Op6F492kTzVDw/7x1UdBb67kUI9g3CIsIgfuB
fFJiGaM7WBbn+1O73fmIg5gC9koeTa64atg4iODMSYaUil7NNY5RSA/Uh3KMqv7dRww0CLB/xgAQ
QjF2+c1aE+5HVnOsa61LqW6b/ifh/73TELvdhVQ8Ue6HEihqd+u2NcxRHeHkbvRKm5yGF7x+9BPB
Jy909d0bXjgKUyYEV4z47zqHoial4HM+jl4LfN3N7CKHGaWkB8sM9wT2bj+SqK4qaAcBSUIAZ7V2
aUEFemzl0Zsh9LqdLyWP+G7tXZdba0cFgucIQDAbM8LlF0KuTZmbyRo9truEAsOguFLUjxcTjsPO
gdoaCkNS5BDIPShQr3bdYBupbpXV7KGeTNeXzCPs3DKYhuTSg3/8fX+Pb4yGGwv0Mh5b6CO9NVH/
CBeOCsGV5ZKpVTnOyZ/M7NgMg31GUGAvUmx8KWBVls2HQpYKmbPlGjZlUjVDMsheXQfOUUXY4IAz
e/H+5QO4zBninuRltQbftEM/oa4+y0Acc2TIZSM465k/X7RESnaGupkQvVzeB6KSw2vhRshP1SCF
wK61PJsy9c9xjNpjOUTJ5/tf6HYUWCCEVlDFXPhc+8tlCwY9Ccva6r16bOoLdf/5yW5Law/xcbMR
kMfk6xDFsae4FUjGzNBOcfOklCDwLFnkoF6hVdC4jGlvI9xcURxY/FEFkk8c3XUW02nZWPcYYHhd
3PhfzT7pjm06K5dJTttz0xR7YPrbqXF0DXYeaTbjrq9ElG1m+mLYRtBglh60ScW3uCvD86g0v+9/
q62Z8R7hWYK/JSjt1RafKkSREkMevBi5pBMtLdqE0VicS6Uokbkv9l7Eb5WCRQGIBbRJlsBK846k
pL7cHFYnz4FFsdfz2zA4hJrTXK2sIdct/OIDnOjsR9JNxjWbLcedJ7wx6IQOlxnInBersNwnLdc/
aPK0dwpvsgJWGUt5eMUK3xp3qeXvCiOrKzpNGr0UkwN31rX5OBZt8TEss+FQmzFilEkb7+BYbqlT
VMK4QRHyJALY9GaWo46lUVWQwVSvQ8HK+ezH3ZR9TbWxTb8UBRSoH4E96+kZZLWOSWFQTN2pbSu7
uQ5YkjenBpMy302TmqTaqXXl2RlGQz+At9JnutkZqieDilj6r5ZyK46HfZZK/5pSYKQJohej3F4w
M8zqQzjgJvfQRoldnTpUbPIPHQJLzrfJL8r4SA6MHTjPvVT6ic1rHbpRxWk7SjRNA7eIUWbsjxXV
Kf9QUCStf9zforeHAVQkb0xEGflGNxQqauxZTzqjeTY6KhgzTirvoQhxm1HL42YnsbndBgwGEhzC
Fq91ni3LD+KnVqMlEMC9nC7JP0jHVcHnqh70/KgGhpZfat3wsb01kmmPqCOeksuDwUuMQAbBHXIJ
NenlyJWRO0E8hboX17buak7SPKDlApSt6+qnppvK6GBUZXMqEtN/d8BmouBseVrD6WLqy6HxB82Q
fCg1r5BG/TAHUv+YmcWeRONtqGEUxF2FKskbr2U5ilrOY6r6ke6FgTphEFeYSf2VimfpMFrWE3ia
bBh3UsiN7wk9FdCv0JsTnoLLQQ1pjp1pYFCeglN3mM02NWk2Ij9+KNVRag9pKKUBqD3iz+P9fXs7
X6I3clyUloB7srDLoUvALLMx6LoHXsvUjnURF3jvqHbensI8zHxXr4OqPt4f9PawAAkSjEOKxMLZ
dfUpHbsDmOH3DOo79mMT6AyDjOljnNl7dhm3G1Z01XnP8NLWQemvIrlmjFFd0c3w4ghdHrxwn/EA
fR1mtXH1PnxtJLSGil5/p3ogCSbHklSJBFBota6Szbyb4Jtq4F4mDI4OcRP5x76Lmp3AfLuMTA2+
AH0hJKPIaZffLsnIzydKJ95g2c1hLLXg0uoBZpejPe18sbe3+/Lgkzuj58X7RiS1a5h7o6ug38ra
9jI5yKr/2on3wSEBcgVkhV63dQH87PvnLMgi6+jXgYbBbEg74iJXRmZc8BjtyidT81XUsjqqLA+5
5pOpEsUb/ESGoRxntzXqPNmjHoi9tPrhVHaEKi+BQ1AMl4s0xk6YZlXueOC8mtFL5MGAWwE7NDmm
A1J3V1x3lPqAposZuLZUNvGp6fLg9f6OFxnK6ldQFiRsQYMCdbf+VIMztBaULt+L5aL7K0hK2ZVh
pHy9P8otRF4gEwFB0kNmy3NZLyer2IMvINq+V3AmfBfoGKJQBpZ84yHrKYc+FFrSwmA2BPxjyFFW
+GR3WpS4Ewiv/lHCO/VRrRNprzK0MX046w5mDShPEsPF3//xHCoyBEbmuJC8bApAJPBmdkoXearh
3WAdwcFAfYLWE2r/xLTlQO1UREGJ8Ms1V6mkKWPTXaRK3aMW3wRNoRvCa1/Q2gAFrKXGgwGPE1DV
FBZoBT87Vdg8lBCYPypW1l7RY2v3/DtuohgDYnoCsopOEO+J1bTIc6U5lyhH6kPnPIUtsr+XMFPK
AqdiITFdWHnyn17PE0J1bK6dOHPz9WipA1nnxuf7CUbfclHruE58qQBfgRwZ6XdOV9adDCfZ8/ne
WFYhDEn7jvGExehynCLPErqrKfW8Npylc6rqfuOqeD3id6uE2tnQwnHvfriFM+uULHk0ET5FN29d
h7U6B1GpqZe9cYhHhArzuEpOeR86L7YyWopr213wX5qHOjA9MHdHYJElNj52G38L6ce/1xyOcyuY
X+CQEC1S8BlcrkHSlKGVkWl6mtnAQTD68NEPjfLhfqC4uTkYRejOgjQmBt/4DKBvCg+zyRWv8ZG1
a8tcOtSR73hCbndn82xsXS5DwVoBlcsdsjr6fj43GZ16BeUoucdAOLZOsmQgHSSN2UHPLe3oK/L0
XJvBHkF+a5KgBGGDwu5g6FWWEZuDFjh1rXhSYfRPwH6nZ8FC+5WbQ//e+x5CFI9F0hnALhBlVzdx
1k4NCF9F8WowrA/gB6wHNc3THQLoxjmks06XiPKzILKvrjIpSYEjwBL00OQoL1Gt/sTJTzve3xob
34tdR5wR9RcadKvvFTUBisQSj73A7NUT0k/lFWQr2DetNRt3SlTrSzpM6SkPmvHyfwxNCiw0AFB+
WqOSOtNHdk8LVAHwSj+VWZP9MpNMeZ07s/8maz2axKrjgxw29/RZNyIPDrlC7ArkFRVwsSh/3E9+
bbTR4M+Kh7Vg/xRETXju2zb6gV3meBjmqtpJ+De2Js94kBZUwaEqrs1YAYEpyhDRTcgjS3nJpKo7
ynMVF27SgxW8v6pbu0ZUwdkxdCRvVLmrNpApvc580HQEMZcl4bkIyX7uj/KmCLPIcDgCQhkPwAIF
KHlNQWkQ8wXKrKue6RfXERGVtJQetVD6IMvBayYZJ7m3/q00/ROu0f8oNSa3ClgmQ4PemqvWITT3
8Ilb8wYHRh2RTiWvqtWd2SijbOd5rNKxafOD2frJFUFJ9f2RlGtRFEZ4iVPmW1VkpDIOu7msNOx7
s+wLzlqJF8SRcZrreQ/esrVJBRUP1LwwVFojhGXMFqrYYigZFv9PKlS9p4Wz+eqHfvyY+Aj93v+k
G+MRY0CfcB0DqFl7G6W+JOuznehek3XZMwX65OiUOCjhg+XjsVtZ7w+iorhFWQs3LOjnq3itxLUS
lNKoejUg58cUROExkvV3C9DQnwQgAkqJhiFv39UHq81ujuA8UKixpMbtNCXGJDQz3QAC+c6Z2NiB
+LGDU5f5T5z3ZVQpVc2HZmZqXtjk1efBCoKH0h6Knah5o0lJykBTA0SXsCgTpuLLYYa+GvQ0kDUv
mFvnQj/ChzyZ+89TNgmVQ71qa+RvtBAPF/gbSd/5p0FN9/hEW7sF7JXA5dNcwXZ2+SvmmpopUoca
qHyKR1RKG9+TYHEA8xmc1FV01APv78+t5XUohBJzMI+86YaNk1YrReJroAL96WjEtnrIy3Y+3x9F
JLeruCZ0kUSRm7cbRfzlvHqrLjFTDXTPMIbfZil9rSbjiZ7EC9f9FzuaXu4P9/YeXY33huLgIQOd
jcfccjwry1RtCkoDLEKamxcEp/rokffTPBxbihnhMZ1jeXQt3GAfebkF8mVAhJeuwlyX+S88qTPz
UbK7+gX3aEP/AuAuso8+MsvSAQVAzb5gZG49t3CeRBYbjcq5yc1U9VpJTtW/+zRGqIhkuYuemilK
nIcINfqvhjlP5aEMUzKnxqkJNf6sysllChsDeoDU29kDvP8e2bo5j/rvWoVaNxc1OrfEeX9GURtJ
x+/lkKLkPqpyax+1WtKBTcJogg07xIZ9VGueBm4slYhj61aoorE1Wv5ffPn2l5KlY3BMqkwIlPqx
pB9IbFHTGkrqVucUxE2KlHaSfbEtX/09UYMeDr2qI3I+qqXP00H2pe9mCT312ZDLQH0qwgw3mcAq
80NX6fVfIfrhiEaHcme7SRRo6UPFO+VHieef4pptpofuRJyE/6RIyW98LvvkMkSj+qv34YwdYAzV
DoFr0MNDljnJ3yhxw/Ks1CyTj7akd9b7N78Jxp9kBXAsiK3V7UbPVnLabNa8tgdZmpcWwJ/BnN8f
wYgXgm6OVuVtMljkVPedgc0fSKrhyhO0aEmf9nRiNg6yyU1N5sWbnYfJKiT3wCesGSiRVzddeNT6
EU1xvw//jxUDd8ijiuxSiKgsD9bAzeLYks9cDLn/OsvJ8D3rk+B0//y+sZzW51ewR7BE5bPcxIuR
8mIdUn3wuly3usMkmmNP6D2qFK4RMlGPea0CjGnMkFR27rqpOMbaVPzOoGprRyVGaP7VKtXut0yN
Jt77dSJ6rH8deDtAM6RpMiCd5SKEUwGkyge3aoaB+S03auXzFEuWhdqIoT3EbdzIrhAq+jnVQ3Km
Jzd5tBr2HvpbHxwJOHD0QlfshkLcmhm5jFEYnlpnykfI9+HfaA3sOaCLD7qaK71JFO3QiqBwsUZx
z7YuUTIhASTs/JpiP7j0nH3E4Pt3qyWS+dJvJf/jSQ1yZnVHQDoAYFL5qheOWPxGRm4fMqH3fX9r
bawagFMqFJDD+IZrPd7eMJKcgKt6UaeAI8zgvg0F4er+KBv33Z+j3IL7hnbUavwwMixpED/PzC8w
zLANH6L5qlRN+TXti71H5+bUdKhX5Es4aK/B6V2QYDWAe6UXFXbnSlgDPFS5Zews4MaGAAgKVExk
DBQ9VnEmkMJWV4tR82LfUI9D4HyX5Uk7RgWOq/cXURyj1dZDbZKCAL5iiICvN8QMGdHENFuDLQ4Y
U6pSczq1k500577Jk2ezkr7k4Vxf49rXv90femMpGZrZsePZI+tdotk8ZlO6gF7NA/qUEsJPYRfu
FSRvqXKiOMDkEOogA6MmuQwklYQDROGkupcG9SffUP5Del2CJtedbcn46UTRMZa+WZX0kWD4ZaYd
ipKN+mKDFnFJso40YNHB74bPUTO9tLU543axd/63VoILEjQESgWC1bf8iRqtEEudWAnaWdU1mGb7
HMSVtBdSRXq9/tbUDkWZCcEsZrEchpyR9pPT6Z4PnR6wgF5U/cPYz/pzNJRtckbWM+g+ZOaQp0/q
nFA7VXB40M46vUaFZCix9h5uWxPn+QQRQhgLU9tc/iKw9bGTw+L0MEWwDhUqFyc5tvfEgDZHEfKT
VBE1OiyreY9Uolrmp3uVMbbnQu31c9RX9f+xnSnkA4ZE5JJ3rwhXf1RmonmYQlQjdMqzaX+qZDO/
mNK053N4GxkgcwiEPVAd5rN+6vKEoodUlLqnd3Jw7m14tU6ktGfMZt6/bGIooCWUQmlVrBlNk53G
qdYU3MByYECqr6PhuxXucmG2ZgQ6B6wW1W1B0lyuW9+nXSRpxDrN0GNUOmIqMkFiOOSvfrHzZtka
CyIhLQIwMwq1n+VYkEzBn5vst6Cygg9jpTUHPD4kb6oLZ+e03d5O5Inkb8LkXqdMvtp0Xdeq0SgZ
hlcME4rYgV4853qbXwAo2T8jUNRu1bfyzh58qzwsjzijQsNADYmaAZ3k5QSjrM0Vq5ENUkdeZs/Y
VGX/xpGTl+axCMsc6wQeDiHvM7V8URFpmE9+WjffB2DCPULkal+7cpU5Lz7qEDEo72FAEQB7HViK
vWA084jqyrNRFt0n3wmLf+Ia6YhDp+vpfEhgCc2uljnBS10U0YsRGsorRdS6dtUm9r+WnT9nrop3
jHS5f5PcdhNFX4T4Dt+Pi4y272raSFNEBq45Hrxv36WPqz3UxH28SIgoeqvwIIvNz00faw+pXyRu
meBy5Y5RlH1wkIs63v85t/GGX0GGIC43YMPrdE6Kxsrs8tH0srgOjkXMkwonUnvnlbC1wcgZoRzQ
OMfHSuz1P+KN2oXIv9aq6emRNP7Ao6s5JEWUPfhNFHkz1GK370tnh+G5MTW6azSGLSz6KDas8sde
UTvN6CLkkprgh5Jp8Uvd5+b3++u3cWUTrCEWg3cUSeqa32M0vW7PTe97eRAY9Q/ZklRo9k4gVVhA
WXJyncceAbsgiGz1wpWtB16d4q7lIoqbNs2hwl08cp2AHvNXH4eET3ZRqcmjFfvpACnfNGIviuY8
8OIuTy0X+cVM29mSG5GGK4CqCDxUrpw1CmEch5w/gYVk4VAckZ7DwrCFo4Qh0x4AemMolouynei4
0lJfJTjznM8Jp9Ai207Nc+U7uB9mhXRJyq5173+Zjc8PTp1JAbwnTq2FM6o+7SVbnpgVqC/UZ2qa
u4W1l7JtjUJFSdTnmA9pwXJnt3LvqAHuLZ40GyBhNAVdF3X2dwL0xihUrrgteRDRq3orVv55frIm
LdtQ4KdoVJ1bMxov4Lb2WHFbowg7cQjsdIpoZC7nMpUOxkQRqCXMaIwzsnHdQ1mM0fn+d7nN4gXc
kpuaz8I1ujaonvSE4i4HlzJ7RiFVTl71cHqwtBkyWRgdI9880af+7/6gIqiu7hqQUfRpwBFi2bGG
xJeWiZy8kxieRWTneErhC85qyne7zhV0JUI+2/0BN9aS/ABsD7wdaBJrymTfZ+CT4l7yUEvHb1nX
4mPUmNnOyb0dBclagR6AOg9mYo0zg1ACorubLU9DouSM2UoGdZbC2XvnAj1CuPWShdAgXX+x2mis
luTa8QKKpy9+MarnCNLE+0ehSU/iJBh30NNW92Jf96M6+dT7LFGf7MA//mMmNEffPRd4snwZYTMs
aNvLPR7FaJo1IFA84ADBy9hZ4znFce/1/xjF4QwBqhQzWkWFoTYm9J5i32ubrnyYbSN0Qx6q727t
0KMgslE45kFGKr+aS5RhZ2qFvjcjTO2OM7jlIcjnne9ye3TAGECbBkQCCw3eynIUbGZap+osB6Jl
pEeePNTapzIItKcJdI1y1jEC+fLu1QPVIB74VJl4B68uCSQzZq2iEuuBW7MffTnpj2al7e3q26uI
RIzWGEwCUKLyGj1ll33XR2nme+FcSKSMU3zuJ+xhBzX2d9AaG8eULIsnEAxqwRpcdx8crSpsPfE9
346K37Qbo49lUdk77e/NUWgSQ1NjZ/O4W34ox3eKebAw3lPlqsX5IqweZOSKvt7/OJvLRq1M1K1p
ca87fbEdRqFdMordlP5JVoPwbERz+oSX4V73e2soAASg78RRIiwsJxSqToZ/XevzSarmoKi9fch9
S3PTNt2DKmytHWGBh+NbEXBdWjLaZmhLmeZa7hTTRxvzoPOsRntaKpsTIh3lxNLXv+nmJZXShoNE
rhj6VvkQFA53T2gWQCbz7vH+Z9qaELEBgAKpFrq2q83Q4xYFSXbyvQRxPgDskXG20r7biQ2bo9D3
pb0gSqfrCqMc5FFrRxo9yXBO/kry8RV0s7qTYm8FIOSrxO3DsvFaWW6DXtKzKMU0yqtKTbrQp0s+
KkWI6VQvZ18sec4f3r90FF64wdjf9AvFpP9ItkJEB8sGcJ7XmnHxpbdC7YkwsefSs7V08HtAlsIx
F8DS5SgmWF48aPlAlDPG04xjj6frs/P5/ly2dpxFb4ZmOWqRALaWo8xmRl+yGXzsqJXoGMip9BTo
iGBWRTac7w+1OSFkUETT+K1hvRxKrwuUcB2GAhiu/lMU9XSNwDXtrdvmjP4YZhUUatlR4qydCQpF
qz7JkfEsFU54KaWu2tncW/uOAyQageQl7PHlhALFR/aowZ0ey8XXXrPiSyCNg1sXfXtCjDV176/f
1sSQDOUQ0RREBWO1IaYJDxUj07nN8fb92nRJ9a2A45Me/Wjck1sSi7RMh1Hy4PIDMwBCE4TDcmot
gmvQzPrgOltGfZqoaP5qjM7/mcVjrosZ8jAdewsZzvtz3NgjCGNBqCSkA0dZI/r6YYZ+1PcoV6I2
eMoJXp/a0dJ+vXsUqujcGSBroVyvEa+G1GapAiLaC8O5dKHUO6eoLdT3z0UUyyD0Cn1gao/LNRyq
2qcyw1wUdKpEMBqegkqO3p86AD7BKJJMj++0fsVaY1DaDZY9nj/H/QEhVPlk1lb7/rOLfQ4IRWIE
+glr8UdjKqukoDbgoYQ4Xu0QOwwfZdMd1ZWNr08zjwItqST1xjUII5rjIGqVyvKyWe/dYrD9U2vs
orpvzxFib7wjOLAsGKZ7y+/iIPdoKnFigtaf+2OWF84T/Vn7lIbte31JyYG4Imh6C3Fo3mGrLYDD
S5pKcmnCfh61o9wg2cHtX+ws29aEYMoSWVG04BZcpcNNqRqpozFKJoMuCVFDOTj9JCOlMes7e/o2
LjAVkdRxcN4ED5drJ43SoKohe3rq7G9dInl9WP0OrO4pmzhJ2dTslOg2pybEz+hQUqdZ726pxYhk
HplamMvqYbSH/otdqcaHVGut4/2gsDeU2Jx/3OrYl6NvivG3BwBv+jqqw3CKMju/NGkY7czq9uJg
c2O/AmUCwN0Nsl+pqjnLEstE5d94Maz6N7rT34PGblzARL/vT+v2TImxQHgIFjSXvLacVmZiSV2L
2l0kOZULoqg+dc28F7c3Fk/UrMkiQOOQvK62YNeNjuToo+UVkODnA3rBxqEfxkI9UsW0d1LXrcGI
yWQJZJTCY3I5JQSF7RibUcsLArzmJcBNbprOv/qU4/XuxQPGSjmSFSS+quKX/LEn0FN26iFUbW+i
JH2QU6s/1/Sudw7VxicCJSxWjgIUr/RVlKgrrIuqcLY9UPvOYULL7SjVxb/vngoNKS4jIfjAo3a1
D7jshyhVqQUodSu5bdFmD2mh7jkfvHHCl4kDrz6hCE7XhiruOuEfVBMnd8zJPI2CXe3lA0bkNRD2
rwMmeaZbqRNKOI7VxR+lhJN1TOZ0DA8lAvrQhLXKVDl0Gf9ESaN8+K4Pc6keasufG9ccWtXy2IHl
i+J08/xPQNz1f6WI3UmtK0eaVPgu3o1h9D0saqU5gCxHbur+KoqtdW96qxwMSSQh5GXzhCYXz7yx
b4pTpI394zCZ80uS+a8Q7EbK8lHy3DRR+vP+8Bs7H0oShWRRGQWTvIpRem77nW40kmc40PfqqozP
IYLc1yA1f71/JNF4A+cGeY8373Ln9xjCT6F4uMk6Lpl2L0snqtYWlVFo3feH2tj+JGI0FpEaAIay
zpN8O251OcolTwqy4ORjHnZhDd4t80o5AoQ8OgZi/cDWLSfk1+oslXkkeVpZT2e7K+GpVcEPvZX3
xBi35sNdRbXVpLNNJrscqdeyLM0mU/KottrHHg0NA8QQ5PudddvaDHwYoYYK8ZAC73IcOjJh2RZh
cLWsojjOWZP/ZdlB8TDP1nC5/4k26FpsOXqSPHZJmCn9L8fSKmmmJlsjFoMiIrH3c60Vr1OpYqaa
wtc2rVB2zTz/LOXtBUXN13Cc9moj27+BedKI4gDwjFz+BjKOqlbAtnhaajb/GX5b/egmeT7aKMOe
U990XMVv/EuS1dZxsNX6xe5a5RATwXfe/289z1UUoFkpOCsUG8S1uvwlVmvEMlL21XVG+CM96GgC
OK/QN+PwPI1yrP8jp6P/s9QnaX5smwBtkJIMB+tJJc4l/0hSiHCVnSYqKp1Tn0pfm2iSkJUNYeAc
Z6gjigc4U3qFFuO0zzjXVtGXweyk7mi2OhTxpJKL6pC2mdUYrjVZVQcAuJa9EriB+hGKPbFU9qP6
ZDiRk34f9HJ8jWutjg+tjZGCq7SjXx01P2qSq8kzVjtLo/zWmDKt+VHu6lH6CtuVOoBbSVU9f8BQ
Ncy+RlmZ95/KYQ5e8r4NDE/JfDM8TFnufA3jdFQOvhokzlXDd6v8K50mOT8AZZIGN9VCp8zchkdn
8mrAZsovPTlDceThEuKX4idle/CL0AGHqoxDdy7sNpeetMFK04tdNmbiTZbRju5oZIriGpLKq0C3
OxxzEVvQJnegd2I9QKZoA9ulBlj/jmUlc860DluHtEoZfX7dqIxxfijsjG5pKufN9Mma0qR6Uesi
z/+SxnrUEHRorelXosdBekoVtVaeR4hPlhuDpC+V4xRbfn4C4hEWrh1E1nhpjAxvyqNZBoZ+RX8r
S5/syInKY6DOBg/Z2UyVPS3+jRBjU5UGkSHSSILMcgMGeYbphK/4nrA1vmI8EwBVCLqd7OdtH6/2
OVhT6FlU8BDcXAsGQGyV0rApJfCBqnJVU719jUNlOES+gHiDlugfkalUXqJpdp7nUu6+YgaZfLof
e7bmakPOpNAvMCBvCv5/5GDlqFWYBjq+ZyHJdlAoi59itRp2gunWKLzWwSIjhi9UppcrqiuVqcwO
N6sZh/aXIPND2rRVsdOQ2QjZAoJEPQB4ByVydTmKpuaIKKtJcM18H2KBU6hfRHf7KVQCeY+3tDEj
UBv0SOg5W8DFVuEyb+tsnn1J8nyZEH1Q/f4rPg31np3hWw682iQArpHt4D0NRGQtURVbbTLZGuNE
/fyELs1BMoPYjfPwA9HxsRmdh1i2j7x4PoxD9HHSgsfGxlCy6YLn1EyPNTCWVpkuCPqe8yz7u02r
M6ZjpySDBBFIxWGSx6PRTIUbafrOtbbxmgWuKVhPgBpYodVNjUxtMiKoHVyBa37vCPkuVWTpqDX1
U6bx/8J8PyuQAysa9VTxqB2v8ZsZzC78xOvgqhlh6+qZMj2SafU7BYGtq5IBxEVtiIfzuvHnVJE5
+mMeXGUbtxo/iy9hmkIeAytomB9Nvx+wlbF/1k2Os6H5aeisnStya/OxplyQlCVAZ69WNi0DLYvC
KbjCMVF+R0rSKW5VA+V6d2wAAyuaGJRDwdytTi31cazWZj5giEbNMU5qBT+IYE/Lc3MyHCMeNuhS
3bRKpl4alLnwg2s66AF1qQLaiavid3u8P5vb7UgFhz+Iygrq3xpqVSAob/ayHl3lqjfTE/WXHCPU
OUEJMFA7K/6UDk74WcsRN9lZx9u4hJoJ5H809qmMUd9ZxiUApSnE+CK5qob2SIqQXJD4tMhd9+Tf
bisfgkUtIETAc2/rOTgFtLINsOsacfv3h1JW6szVKyv6ZCnjhDVnD81o55Rvjcku4aCDqyNdXm2S
2ZcbY66C/FryGV+mVKmjQ6e3yFZVaWc8i5fmDjLzdsPwBd/Eu9Bsofi3Cr1WbGvAi3PkMHSl++Gb
lfyYKHm6p+d8+9UoF/CepxXOKUMfavnVyO2Uto/MHEG0wcF6uTd5NjvjpZDL9xdCYDrCMRYWORy1
de6dx4mmTCVDYZLjF4+TEvnjZWiTbOcIbEwJyAXKvBQyZdH5Wk4pzusE0ILKpRVMkqsZZXQqlLQD
c6buwRZuPxJtKDBMYPYpLaJjuxwKdoWkzEiKX3s4cj+pujgXG0TGnhyC+MWL65GyEaguIgcQVprU
q6NVoo8LVnUaroo0Yw1oIRumPVWhOiRubgTFD4h7Yfw0V1nWX7qh9jECKvN6z1vhZrICv0nuROlH
+MasbediA/u3GWbCNcXKWoEr1ypIvsHMfzd+T4CrGYITjqcPF9ByVS3cFMqAi/UqJ+Vw7MZ4+tJ0
c3UNZ1X6dj9c3pxrEMnCSo82EeKEoDSWQ+nOXKldqvVXPTODb3Xq9IELDgkL6s7oqB2hiP9uAxcB
ggbVAI8LtZubnApLhaLNK7W/1mpcfsTUNncTuRzfKziB0YlJMEYdk745H2E5Md/GzMys9f7a00Us
H+R0zj5HqIXt6Q5vLKAFppf4RN9c0A2X41QYwijyrA1XXWvogUh9q1/COu0CN27tdkL+bI9yKD7J
8jDwfKdAxpOC1ZfX5kVDmZVS3YkRK6f7N1Wa/KHvlfGSGgFSXZoS/sh5xx0ideqj0/3dchNZWFTQ
dopFB5U7fI23q6wCd2Du7KuBJ8eDrtbRXzXGSRejrvbIiNtDEfmJycSx9bNJnq3WnMJ+uHa+iSd9
KRdadprTVP6gRPNeoW7jZKN3D/SK1AR43BoDE0QBR7tqhmtSmNo/at7q146E//j+1YMMgu+oQHkB
elhuFUosJmUMCYvpTI3x4QvVnPe0Pljlh0JCPOj7+4dDdZBiD4wxB8WA5XCpOpbhqPsUNgPBJbba
6lz6w/dhbveUFbfOAHLflKwFSdVY65TBOEY6LU7GqzyP80/QYOU/fTApwwNavml0Vss4V3Z24uaQ
gBiFzDiaCGu9dlrr/ZAb6XgNKNM/pJpcm27uxMbfbTllKQZiAen5/7Geb07pQuXIWrc8UyWSY9OK
x6uZ99lPU5mmM7UYtMCGoNm7AW4vPEqRAE55TFNrpaWx/HaMYlWkVOO1Vbv4EEvEaFeq8/Ch4737
MuZW/zFt8/pgx1pxKcpyr1W9FWNod5E+CzzQTb1AMeasbym3XoOh6rHy8rNLmxXJYz391Dual25j
0+wFXKjOO6t8Wy8RzFo+KcIIokq6nno5ZCiCTWzbsarG1sM4PqwOhYYCxSHvA/+/QA76yNWDOv8U
NE3/oki6W1JwyA/v/ty8LfkNZDZALJ3VzThVwrcTXx4u4bg8V/2M3aYU/eoNv3u4P9LGYov0Eyc6
ldQaKObyY0ehCg3GisYrLjPToxTp2o+waopzVo/Kx9zvO7g7knoi19tDiW/EPQTZhfE7WQCv+NU2
K5xY1qjCjrwkyv40am187hK/3vEf2AjlZKGooxCFRB9kNT/82LOSS3+8VmVbnnKlyJ9bqxtO5HTR
zq2/sXuEzqoNikMUiPR1p1aKMTmT8gB4RW2O42c1bQrLBe8WP41ZIg2Hxg/r3NXCCf6iNuKDdpA0
KFLnNKCzu7ODbr8r0VeQ6SnqAMRf/5YSqwDFDgN2slz/zJ3ur842H5th/FbDAHApLru+3r3e30u3
X3Q5pvj7Pwp9+PJmDhW4/ir1HNASXCJiEFW0s2Nvvyhvayod9HXBd9+wq+wmiHAUFpezlVl/lVWj
/a0ncRW5vu2P/96f0eZYIEaFDbzK/lntUSWoyWvQibliazYcZH0YT1SupcMQOu+P8II1Q2dLoyXE
Lb3KGbXISvNAZVqp30oPUxSnD6ac5efRtvf2xsZ3orMqChQIk1J4WZ0J8vppzMKBF00UJueGOqOX
pkWwg2sSa7NMFZkQWiz0VwgsN9x0e5oaLZXH4dpaMBfSHGpo+FzKcuKORVggYberpbU9L+4uDiF+
ZmvvD1OqWlVuWcJ24GaKEJD4UPRVvAPC3twTwDCoOVKb45AtdzkbAa8AZGWudYdeVf8/0s6r121j
XcO/iAB7uSUlrUKt5RLHTnJDOI29DTt//XnG5+JYlCBCOUEQbMA7Gc1wylfeosQzHP8G4LJRPUwx
QYFPSvDSW6XYTD3icqg4Ut3EpDYQ9oMYkI4EGtbSKT7e3+TX4QzVB2Tb4dCxbGQSl6OUpGdNVWtT
2Joj2Bmr9zEdz4MOz2u/HMiQ/sNw1JtdYC0SLiF/zk+3hFZNxmBD6w7TKXPf6PBNH7tZd/4dVU15
pry07Ix3a1egr8YbRxjKP/XL8ZzaRmIsH+cwamnv+w3iL7mfukP3+DLy34dCQ9uYy38bOxiLAMLV
KEtoIKTqnN0OwuKhcNupY7RpTVGz0vL65f5i3picTIuAQqLxD3VdbtafFpMGNcWVfFRDCuFgjKP2
txQRh9P9QW7seOIiFz0zCiG8KJuSQBt1C9VLoYZmo+EtbCf2J53068Vs3WbP9+E6+IROJVnKstpH
ure5m9Z0pQMZixFksV2cZjtjhNxN1yOuMLa0kE0n9I6nIchSJf19Edae+c2tyf78AzanoagGLaqS
YQy7Fma+kymZb4zK/FHR6vk/fLyfh9p8vHoswUDl/RgSddLx9hLDN3K8SO9/vRuRgIQBE02jk04X
cLuii+tMmljGMHfdOWjYMf4U435adksRVIn2PRsyz+96e2fX3NqaP4+7WUja+2skpmkMNSujzWi0
+RvWz3tQ/huvjASEAG5gf6IZvllDQ+HVNxMKOiZG3AeC3OQQ2VoEf6mO/1HUMfIH0bqHx5eU9/PH
DqVYti2mJkh7LaNL4cor++K3pRiq0MzG/mNGN/3EI98Fqd3FH2nePYwUlfgXSMg4QiLRQUxyed5V
F/dhUTBdhWrxSxyPv7ljI55T+qE7AeQPtYvN+426vYQeIpjFh9zsm8kus8pMqbdkZjk/6Wk/A38Q
BQq7peceynjVgrEyMKsozO4prSvvZLqJ95TFlBeMueuPWuy5R8BdKmF375yiVexRc39EsVe/EWo2
mFtiDHpVl8vRLBnkGjOZEI/uG9/VyvKtMSk1uHl78Hojxmo2tQ7oRzWnoiZhxyxOf8V0Q0d7rVeO
q503X+5vjVvXB9RDqgLU5IBBb6IDrSstTQzqGGaNFT8pbpb8qq+oQa3C2+NJ3Nz6snvG1U8VfCtl
tpSqW6LvPIXOSgnzlM5lWYNyiAvhu1ZvvKm2Ek1BNid7Kqy3TjZPHLkbPX3JQLpcdTjjmeksOdnp
ZHft0RLYDvnWbK3mTlfr5kAUWmSBGMjStmhlK5266m45ha6LIESGU58vqJTtXMM34h/yfak8Rq5N
kLDZRD0c23TxzCmsUxvJrtlciei6vk597k1sp2yhdnu0qlvbRPqB8NlYxSuNLUsAsXFl0W+ZNO/X
UR0Xjlm6nDUCo517+Ob0XHai5EmAedrckFlVatVQRGNYeZX6bmQTIi2lbpe+OibYwc/JXgvo5lcD
2CtZsdKiUT7xP8UkzWgrWlFnsnixptHTuKxF7o9DXu9pyN6aGThVmtSQSfGL2nw4OGNIYE89OS7I
Fd23co1YfDCW+TekJ83mVCtds1NOuDkkcQmBP7naFaerWHHzUlJSJy/RkicxDdWXtFXdEN1z43NH
P2jnBNwcTxIpwIpSIP6hHvzTWopR5HUykwGUwjyobbacGowkXhS7sgPTnX65f3ndHg0CK4ADiU7a
vC56Y3mxnQBHNUp03PEyXn9tO6WDxmPjN9it6s54t3YKjRKZRAGEotx1uVPitdLs1PX4gEj/a34z
VdQolsz8T8PwbFLZg6e/tfKshipbvZQOnuj6/HOudfMHFDbn//KpwOlwhQBBAkJ/OZklsce1mWiN
aEof/6Ekdna0XSf9vZim+rcpz/eaxzcXT8JTyXTBYm8BvlokzGnkHgm7acmzkxL1uFV0k9p9vb8p
bl1V8vKQeTwaw9u+S67X3pQUyRzydrpHu8qbE8K0/SvGVlZwf6ib++//htrmu0mhW6tVUX5FFzAN
6PY0fqwNZzUyX9p+V9H41vvJ+pE1kcizOTbXx+phqtK07D6k5eznqWqGo9fhSjqiknFcYDnFfkeJ
/Pj4HMmh6FczJmfauNwmejXAHMk4Yy5GXcep6+NDNwn9vCbgKnyEJPdsQ29lVJwwKWhF4x8Rk8sB
G6uOlHHl+wHh0bFwqTj8fj1qxbc+aotfJng/xyJflE+Smyj8Rqncf/7DlKUCFP0tnqAtiSpxLWVu
CpoXrppgujGWnqoEzkQJYAKX6vi1kLap98e8tWtBB3C7SINR5I8uZ61UljJAMpnDYYr1JYjy3P5E
gJS91wXP5M6+vXUUofmCBvNwyuE9uhwsj0pvjlQ6FiouHF8EZ0QJVMWZ9iK+m+NIs2UuDqLL7WtA
W5KCvC0oZhcagNYKt8ohGcXORXYrYYS8SX+XkBrsw+YVyERitM3IKE68jB/ddalPQ4vRDcYz2XrQ
eqN+mdaK+LK0o50S+o2vBj0RDRcdkB0iMZuv1uSqsxLE040ACMHh8KwAy53YX5WuPD68QSBMs4iA
Y3lct0AVRcSF4dDlCVmG+JtjlEvpF0rpHLNK758eH0uqVPGG46eE4vjl/rCWHt8dLSXGi9YYUbl4
yuuTUqhr8qpro9grCt242EBDwgbHZ07aB20CsHhyF4BRsLMjU2huEBFB/UmwoOn+oJrD39Jfan2y
3cIxd0qjN/YnxxvEKs8RRpDbpoOqjo2rxRx0NIPz5xadvbe4qoudeP3mKBSHeGoxXkPd43I1aSoJ
Ze3ZJGArype81+NgqdI9/fIbW1FycoH8wJ/RMdC8HKVyyrWqxDCHtbDsb4tedW8dGIRvSlcx4P39
cePdI2WkFkrTkat6S0fIzS4Wiu2x7QcHRfK0N63Aiyx0vqc0E/rBbS3t8UPOeFISjMov/c7NHnG9
OcUGk7SDPn0X4flY2OtZN4q2DAZgI7+P5D6pX5VNUgbUw/o97a5byysZ3KjaSAH+H06iPwW2GvSa
VhELCgJFU36eavRBD0mLDWpgd/3c7twrN04ENfQfMGFK6saWYEv5IXMXMP9hLrwRQcekU4YAK9C1
Pmq5vrQvTZ01H5y00eLT/U97Y7PKTIgbmzo+ks2bo19K70LbXVQ4PkZ56FUn++B0tvUoLB2dVs46
T9CPQsD2hc3wBKU5b6ngFUUTlqrZn6xEKg6qo7sz1DU0mbFwV+cq48tRHto8dqPZCUw0ey1MLQp8
/ppQIQVHEuOjChbpjErDMh/LKSvNgAIQUvBVVCmSJtgnfjZq3Z6qwq0V5mKVcT22MNAvLw9qtix2
QkVKDQVSgP6QqeNRV/o9v6vrUdDekgxm0FzYVm6R5kJYc1lkgxpOaOm9D0rvPmsOKv33d8v1RQB2
lxBNFvfIIbbf0UtacOdUaMPFA1kwe1r5V1sv8x+NrfSY2Zvp3/fHuzErOKuy/oCkOabO8s9/OoV1
i1snPWgzXJZ6+Rft3WU5LJ6R7AX21yEFzx7VFcrPsOivIB1pp2OqoVdVmNap8TbaQ3y2KyV5KbK4
/ZQVkXXMEkt/MoTVPHz+AE7qUjqLrybBHZczHAdHayuzEmGZRdnRsVY68IiweF8eXUiJz0THnGAT
p5ktPic3rAUGLE6Vg91mJyCj09tqOHupmNzKl+VOCJ14EkmCC7CjLftEs4Xw1GloQ0ux+0NZOIUv
FusXgFgm1Y/q6KCw5ndt9YnP8Nf9Cd4ANzC2FOgnpKAhrm5ydUtk5tAsahu6ygTOO5FEkdJ1xAGW
6eBXdT+cjKJ2DtThvYNVaPUXA+2tx78muFTiQ/oZPMpbxKgxUQhaG6XjUV7T2RepOuSBvXbZntHb
9UGU0ZMM2citqX5vDkbqgB7rSqWnr6Y736CY9cvBjhfXwy7UXIZDFuvtusOTun4SybCJn6i5U0O4
crNtcnNWzLaBDkaz5CNYq9r5LpYsbw5zSet35x6/Ho3wFw4yKRLBGuysy4NBV6gquRV+dC7qJ6Nf
9Y8DVzVqKtVunf7GWLIugvgsNutS9PpyLKuNPTNO8zp0pyx5tu0M1mlVFs/Kqms7L/31jQZyDXoO
+mhknEgPXw6Vcp1NrHAd1mrbHaxm7r+sQ9F9vn8arreHFGSUkCmCQ4Mw5nIUVW+rKIbDGeaOJg5V
bSvn2HLH0F1T5XMpOm0HS3FjPNJmLhZeHiwOt+ZyebJGy6CnTWiI3kToPzWKxVfGGHdvQAJ5FsQW
zM7Tw5NkMPIH4EMyUNyceMjjbWnkdsPj4CB426/Daw+84hg1Q3fOGzva2f/Xn+6HdAxzlG65kBUu
F7XIk4FSMV01jNd+y4xeOcVLOx/vT+r6JaIVJkXGQE3bCM5t9oddoQvSG6BS1KzTggSFgc8NWitP
Vbz87mhJEfuNU7lHOs5f7w98fQaIHMhoyfSo48Jlv5xdFZt6hPgKMISyGtd3j8To16zVlvEDWFnj
4VPABc2rBydIYji3B252prSGck7Nro3z0FjSJGgple+ktdcf7H/FszgLHAJjK4xctDkoLTdZw2qa
4/kAJcfNAgTNZ+/hnQhZFoQDiHqANySWl2uXRlOOF9Kgh9k8l+fSTcagc5L2Y44F6WHkrdzJx66/
FWgH8PQ0lZEnoTp4OZ5ixZmNBZERlraie1ipGlUTzJFovWezNu1Pj+4MvBY4ZkBiKEYgiXI5miUA
YWec69ARnR6sSAKcYmtO3vtCVXYW8sYrTihEqAzWk0N9pZgtpl4vvCXpw2qMimc30yFR5Un/V6/D
V0elMB0Pde8oBwlG+5APTVpBNTEW43h/yjd2DghjVIglkZIqzOYwKF6WKPzJAPIhrw99X+TKm40O
lti5Uq4/JFJXoEsJyKTUzDbLTPUoq1orH0PUhkyaUDptRFDwykvST9rOm3A9J/BTFAuoJUGfIR+7
/IxAKrRyQCk6NNbYO+hqMx1zwhP//spdZ7Iox0lOKL0MSUzbbBaMlzJ9xIY2bOda+WNK3Hn50FMO
fMq7Kf4VyFumILJsLXt2HfLXX4aecNSoh0AtJFOAG3c5O8NuNUfUzRyuU6s9dc0wPcEOzo9dnecf
FLQUHz6CCLtxccFeB+fJ23c5Xu/koiPE4wZLlhI5hqw/VV1nHlJ4NDuh7dWHQ7gHVD0EAk4Fie3m
nRur2Zpg8RgsKTLiozY5p25M80e3vByF/AMeGWEXj/jlhBKrtAWYJSMkT/pXc1vX18fm4deNQSRm
UKJIubq2pVvqKS1qnakN0bVO2l+b0hFlHGROUqZP2lLb/5RD7c3vcd7n1XPeGIW7E6jcWEsk/YAB
UxqQKezm5mzrTORjkauhR8/w1KuKGxh6ou3UGa82o5RIly5/VDwMcq7NF4s5GtAMPTUcaQ+9peYM
F05Tuu7NFG16XOwpnh7djkwFNCvRK4V3+qObw51GY4ODhqmFuDckv+Ph434q1dx9L2s9/+P+Cb+x
hOTI8hOyYewrybneIhFoIlcLB4E9Y7T0ID8h6uy83TeWEG8vmlhw4TAS22rcpGYZESM4Vph39vwl
SVUtmOtaOeAIWB6dyShO92d1dRPTiCHvJ0zAsk7ao15u/6hPFm9aOitElNv2jrnRaFTd3AbUv7Y6
Y/Zyf7jrReT5BtBBUYhUkeLG5XCe2hp9n2lW6BEx4KIodMzHYSu1v/+HcbgP6fmCwkTh4nIcNZ1R
1YRxFQ5aNn4oU0EU2dTdzjN2/bEotAE5oFFJrsH1cTlK1MJ0bZrCDjl4L0It+4NiNWGrucohy9rf
7k/pxpfihbEJjnmXJQ3mcjA1ctvUrUdL2lenB8NTCnwt9QrZ/naPaXRjKFxYKMty//K0bNFscdS7
3mgvTlgoAIr+Kg2nwv+iUVGcTgfKUjuB1o1lpBEI1IfKCW3BLWxvGBMnt5CHD23q2a80vxzha15f
PNmxCjy9F8peq+LGBFlEojpuDP7epjSNRwRl240b2vUwnXolG05RgZvZNIqHEUWymyUpCshwQRHb
wjx7u7AadZkYKu3x+EChzRiPaNpgw1nXhbpzz9+aGLA7CUuhfM24l5sEaYhqXAbbC/UIBZ1BaX9J
nbR47nR95yDfGIiJSUk6nky4/5s4INVEbGfjGIUlFIVwTt3ROvaiE1/NPlb27PRuDgbSkb8AWIJ6
vJwV3LKiTPArRI3Cbkw/jdzhD6UrQHOA3/7z4WMGhk5WKXjESAo3E5uSWE0Ix6Mw0635MNdN/Swc
ILKKsA/3R7oKGUlhKJkZkkon3dY2twdg/rZxWi0KbVFnv1HWt87ormvHqp2XQ5f161MTe8nz/UHl
Ul3Ei3JQqVWI8D5lkm2Tbq0KG7tdBi0VQz/lDv3bNHP39OOvTzT3h/QSUSU2Clzs5oOl3E7jaPGK
reUf9bR+A06NgGotHH9J27/uT+l6dzCYK+vzVLIhEmz2fBa7rTKk3MKx1kZHrbWqFwrCzbOxZskO
zOx69eRQEh0C8pG6spz3T3V5a/T6YZkUC5p1uqrHiP9zBmVMBtz353RrIND26DyyeLLlcDlQE5uJ
iIbCgUFuLs9FYlnPXDB7JibXO5A+KoUyWZkja9ne84Lm1Dy7pSMrEYWPDSYi/M2fs66+WL33EdLY
t/uzunbg4kVmMHqp9KmI6zcBYqm0dpq2kxOm2vg+ZOKQNQsK9hDfxrOnDqfU7NAnojxdr967U01x
0DrGHtFF7ofLI8CPIE79YajC5b854VDEuLKgqYY2mne4dxRtEehUJ59LkSCHWSPEfMiTZvEjZxw+
31+BG3sVjLiMF6TpFxnU5XfNcsW0+qh25F4VPhgY5RlaPWpuIt+zO7s1FB9VqkZIbM/VGaxFghPu
6oQZaPhXV89tSmi0AKsp0nZushu7lRP1g9UI4u3qzsyaysE0hhWtRS7+LuH7/Cuc9mH5RzYPtwkv
DnApFm+zdiRHvV1j5hXmc5J/rJ0peRfZoOwEI9dzYQwsDQkMOHnoZl5+oSJq1sLKl+yMtK8B24oZ
qYGZ1NOe7OKNgQi45T3JRgRyvDnioH/bcRJmdgZSoyIJoRQHBAB1/9ENR2UawimDgKfDBuVyOqmy
EIXHVnbu524+oqmwBsNoak90NMR/GEqmEYDsAY5ecSCMpF5Qsqvzc1I4Wv462040BjQVVuO5aqNy
jxR+/cZwhWBGS0Qg+Wpblc6hRLyWVzk/o2xR2/7aGU2gCMt4j7sCxF5JGPTwpSxHlCJLxBpcYurl
WuJUkOR5O+VnlllgM+8tx4wEaueFvj63l6NsiqpRrkOP0fr8DALCQ9fXTg+wJXu/adNiZ0J7Q22u
41ppa5HiH3JWraY/u6vQPxjt0H1cnGV4tPJNwwKDbPxkLQnt2vp3Vk5DEmYw1ByjWBZnk+N34HF3
LqKbe4JnRQbbbPgtiFOhyJrVvZqfx0xVfCwtn+beQRzEfhtE3zxce2BKpC30LWRreXtTYHFnZV1j
5OeJGDvwynE5RtGQvrrZtPehbs7LlkAKAo9rUFw913PJlZWfU2N9L4rsAE39dUg0KxBjtEdDvn4f
KXrL4oMO61RCEC63+TAupVNRPjzXq5V8c7puNXwdJxPNz7RuMvyxkmoa3jwO82EtnF3hw1u7EiEb
OVdue6DNl+M3KoQBoyzys2gVg31v9yLIwcn1wUiVZ+cI3LiFZRuNqAR3OgjR8s9/iuh6HDcKkXGm
exRU3wm46yeK69HT/Vv45ihAmela494M7vVyFDtx7XnA7eycTrOHQbeZPs/9uFdlvLFwqCMT2UO6
cKgIb54uY1F1aisaF3CNslcaOSsi05GL0p2zy0K7NZZEjEgMA5VNdbNJktosi7hYivPYLp5+1Mom
/tOJom71l9Gr52Boat7NyrHhn7XI7/5bwUbSAq10VLr0SIK+1Yq1/juIynuvM9dTfN521Xw4XgfK
jdgZVwG3Dn2qy3VfB1UblCLKzzklru+AmtvjNCnDn/e/7o3TCc6J+iOVT7CT2+JqNittiupjfl4U
+9fcSJ9d8JyHFc/DONf3PvKtrUQNiOYv2ADwSJuFb5OkXGtRFedEd+tTO9RSNmIB7LHzmt8cR25W
YlXJ5NxkpzYbVcvdtji3SlQcEuSU/cRJzcP9pbu1jdBzkssG5gHA7+UHapOpSfuhKc5pY7zPpqLg
9CNWf1zixzMqknowDrJ1DupsyyarLU8o02gWZ2XNp0PpOctpKZP5dH8+t1ZN+pRL3RYZJWzmU1RN
0lP/LM6V15WHcilGxFkN8/t/GIXnhctRdke2B50X1EjQDSnOACXr0+Tm4mgO4H7+X6Ns1dIo/qqN
HivFGYZ3GkxjR5TaL3v6GrdWTDZ1pWcMb+i2tuPETDFpGKVHIjaox1znJkB3+/5cbuwz0lvABfxN
62rbBJysSjGHOl9elzIW2L7hfDC+qblRflnm2NjTd745mrx0ZHtKBZFyuaudJE1NG5XW126C7+y7
lWkHkZYbhy411d8fn5ktgSAUNEn1tvokiVVEGV2Q5VVv3f4J1HBe+Drr+btWJOPOMyZ/92XmLPuo
5COgr2UBZHP3NOq0VGNjra9JBtQbSEGf9+fRndTmmNtRah5zpWjVwMXvdS8oud4m0mfF9iQChc7I
9tpbi7U2QbHrryZO6d+sCQ3EzILxcH8xr0eB5YSMKnvFAxS8LdbmYhasJyYbemyvJz1a6hdVG5tH
IV6AjmUsgMeKlPbYxsKKVok1NgeMHNG8+Fhjuf4yKI12QiV9752+/mIyV5YCdj/SwC1zK8ZPcZkd
6eBXlE5gNHb5p6605ofBjN2DtijaX/ZoPAzSY37Y+NFppMFDfWkT7eiQrZc5Z370MdPVtwdvOOgL
ny8YUxD0zjiOyc75vjlP2J+UUpko9c3LE+c2EYRd6QVupJPqx7OTQMjEvEFgmHmiprv4mW1/eXiz
EFugf4uajmFeNXXLIbJ0MWFHkc72dFamfvjAQ/ywDRllfKhwgB1lmR2kzeXMPPpyTlmqjJIo4Lft
VH82IrV9uj+XH9fE5dFGXQ3PAB5ISa/Y4hc8N63UWEFAvejMbvolT4yiQrS7Ft2XEghd+iLbeZNf
pnU/+hH0xmEK1sxE9c1qVWTJiczLKOi0Rf5rHZ3mdy8FexuqSetMvuFVojiaRtELH1y/Z6E6mJZD
ALA/33u2ri9fZsJGkK1uWNXbJ3hFiKo2HWbStQbGbRgXmP/io4yPaZev9a5K+40rQ2ZKgNClohL6
pZvvEw2Vl1hVEq7WbKvHAVGz9tlT49Z9sqNO087jhHJ2OGrm4H1FOa+KX/iFJRWYNaW6jzJuVYFJ
tpQ2MBYMeEvfipY1RiBRmb7ogzMogbsYUfWWDkLv3/s8mrJAdOqs/pHaZRm92GZbT0gLIPL/depr
b3y4pSQF/8iPKFxqtNg3l761iLVVOzUP86Ykj+6X9FR5cfHeUUY73t+F14E0jyZEJQreIKkJbC7X
Ep8TJF0yUYS9Z86wvtbiKISrgiFg90T1+rB1Dah9iBmg/6jnQNzbnC238XI10tciHCMhysNqRYV7
6LGu+KzrmaXuxFM/DBUuzxhsT0TjAUjjSYyM/OX0IhqOdCgYrsQEo6/8dWiN4TcXkJ5zGHIK3ZWP
trXnQLgxkQDzu6yz4mCyVLf5iGU7KIdMG9LvhrARr6VT39mnPIs145zMLeox2GV41VcvzfT50MSO
/g8+tFEJpdqq4NzHhpIc7Z5a7a+FTjJ2UowVXsackNq/W9Xo/UO9qc18nd/jheuwqN1TgYLzuPON
r84Lugr0vCQ0kYcW3uvlIkAyrbKlrrJwnHvTXxwlO+ResYcUvAbUgfRiv1KWkWxe+q+Xw3RNv+aG
CeVN4I9yXISGcLJVWadMRKU/xonuY3aDH1JlIcBDd/GpW9Z0Bw5zPVWovfhB/4DCUGLY/IakqyvC
W6D5iDHoL9oUdb9oSdL9cv/QXN13lNWQmJIIRfIb6MSXMx08ZB0QqxDIgkbNYXGXJsjKSH+y1GSv
c3JjQjAzedlBKkpn1k12U9dGh/WFLcKm0L/3Vm4i4YJHzP35yP/IxSlhPmSdlKJhYssC2+V88jJp
3HhdRchRyM1js3JED5GZWsZBabvJelGpHNjHiVLH37T48sXvOkPZe0Xkt9n+CrRNGB5+GjPd3HoI
anWtYyO3XbZ1/W6lY/Y0Z+X0hC2jBWh3cOKnanaLf/LJVneARle3IFmq1OWDagCoiUbE5QIs1FBN
gTFbGCXDtzE3hw/R0H21Wtd4VbOk2LmV5HnbTFR6fPNikoVJu/nL0dAzjUwlTftQqYX9HKkGtPMm
q9HUT+sy6oJlqkbyZeGue/fh9Tyhcco+O1p6YIi3ElFo51lYGCGAUgoUOl8mJ2e6ra4lp7Edm+JV
RHXb7tw+15+VMWU7hIhY4uC2h6XE2a3Pojns1pGopagmRX2rBB5X6aFTW7d7G6N+qT80TZJ/retu
XU73d/f1aSVOIGMnbkMUi+LZ5XJLxQ5tmm2pQ6RZ3/LCU19MdYV2hbvdzsN9fVqRUueqRXuZKJU2
7+VQ3Ix6E0fIARV6On0xh2z5sAAd2klmbqyoLHYACoXyC2VtMyF6WIpQC25Re8ktJUDkS+19xYHF
cqzqcREh1lFO9EmQJI6+SqW13Lllr7cRgRdIYnYwRECEbS6nOQya2RU1jFW4pIoshOR2F9SxXaZv
EIgQ6RSQhvY4GNefUSYZpDaIyqJVsQ0yPZQDwdt2axjnY32Ih8nzPRVYIHyPr49uGG4fiuCwnrAC
unKuj9d5QIVFg0KaWvYzohDd0Wi1+ElrZnMn+72+CvDKpHXHBuVEkm1friQ4N7PKl1YLncKK0Oka
9A4yy6J/JjRMPxvaWL1PipbsHMkbS8k5RFoVCj6Yii36y0IDaVl7QKPe1LnPiH9Eiz+nrfiU1Ogn
3l/M680KWonllHatXHXbK8eRImhFa+nhWlJIxydCS0jzEzSIT610Fw/iJB+GD7ZWTr/HU63tdRBv
zJXMRHLk/xeauDmSTqTnkHfVODSlxZe50InHQ2h+qTCE3DmXgHv5XJc3+486gzSbJDMmxrj8nNrY
L9Uaz2UIBWmsPtTKmA1+3FnJqvl2jwLbayzGNTvEmtZ1L1yXqhPoXWIqvxZVmsVf2gEKamiCHvgy
dggSNsFkrypaZpNZZd2hd6M1PTqe1KpNvWwsvtqRTd91LPyuIkFN2EVfSStFIIPdYJ1j0/EHU8lP
6GOUrzmPu3vK57b7BRSEEuQ2UsHlGP/hmsno5ynCD1h7O4WGhDuKEL45tkNQF1bR+10uyjooJ9s5
dPbyd5tb9RutTCf/qJmpZmA6NWbvVe/Mz55VmC9db0XZIWrUk6N4a3fEJi+DZb72nQcEDzlc3xYR
1Vq1MbSs5ccL96MomlEEpdfGU+IbIHDdoFM859XCvBPKTr+cS0OflmAYFuVf0Y/E6THk5O/SmzwK
5lTz3iu3P6UTqCSk4FvfHbTiF9Eb5HfuOq5G4PCg+vHaJk8GMpNDQD7r2j7yZt+rSDP8XkeQN7In
6+gSMs7+2lTqAhwN540lMlYQTlZzSJ2YY+KiZORHkT0HE64gQ9DX9slYCrQjzUo9uDyjSgAJDqh5
leFT+9fAv/DdXFqMOjux5KY/eHpeBUaWJNkxF0M3vLroWE0BAopN44/56jnPhd5DKrfLyOqf0ngt
xcHIkSM54toRa89UmaLfTHVOxIGPM3CCq2GY+anJupZ+0qEIEXSmqvQvgxZXy0ldyrXbub2uzhYQ
SzhBlEBRHYQIu3mI1sGaG8weYSZ0bkLrCdzBL3rWZaY/OWr35f5FcvW28p5CsgIja6Jmw11yeba8
pNH0yRzMUKFqebSy4VtRlXtK7FeRMNQYCH7UkGnDoE20iUFje8lUvonLfZyi22hQmomD1Vw7prQW
7id1cesocM1R8K0bJa8+KlWjJjsB4tX7Kn8FZqv8ACBiVzz+2q0NhealG86mS4c7Vun5eaJ7s5oM
t3IPl8n7S3v9HQlwUY3UcEOisnZlZTINPRKyA9ptWodCqBPP6V9JFXnNgUJ7++n+YNffEZCzrALQ
b5aCM5sLWW37Vk2o4ISjXuWBA73sMFf1Hp76ahTg7lLhVTq0gG/ekhupJVtxzIURdnWG46XZxl0C
mD+qvJ1vdbV2iCCQCcLldRiRPOFyWxp1MUZRWVuhghmXHRRmHn8dR0P801tzugN+vzEWeGYeMgnF
QnlC/vlPnfPFqsdkTF0Dy56uXQME0Tr7ZckKXTvg5LmrxfLjU1w8Z0CkKHWg7Uc0S7iwOQ3KJOtG
5UBJMW7GgZLi6EW+mpfD9MGLEixPl6z0PgMxSdNnvdWpeVurW46vVmmN/UHgWWG/1TEx2+uKNWS6
s/JXsRO/jn4fRgMya2VhLlfDFXEuePjhUVAMPuLUlLwJoc4g+5Sags/sNG+lgK21kyxfHU6Z97OB
JR4JhM1WK22mdxbj4GWHy5w4T6Xwium3eG4L52loorE+ksuvj/bUoVSQt1EQBHZ1vZnbPI26bIhr
7tkxj0656WAq1q3utHMPXMVq4GropLKz0KaAuLRZ0cGsEneMsiUsKy06pnDv/Wwa//aa3PviGAti
BnVkfoqraa9XeH1apW4rpWP2Nr/gR2npp41tZHkOT7dRwrE37bDrp+wV4OrDtUcqNdBmQRMjLARC
bxOdDVbqCi3KQOrj98I+tvqvztBG76u3a8VzvTcxcMQyG1KAZN9skaBeOXR95bQeiWBefB4Gx31K
qt49te7UHZxejf6x8z1diuuN+cPdgg9HL01qhl2eh6Hv02ahQwSAOTHeyZYKzNEmzSkObrcoy1Oi
iNJ7dMdQXaUpDtZDJvfsnMsxK5oVlWlNXmhpWvOtX2fn2UhFGQC/wZvZjoviuc2L/M+m6rWd4OPG
nmFo2kBSZx4Rwc1mLduJQuxoemGUR/oRb2jj6OWz8V9GoaNGtY8VhXh9OUEIWWmndpYXlhSu/UmJ
TL9Dl2ZnGa8vduz0eK3oNcmquLvppc3q2OeoMHvhrEd1gOCUexDNJM52TY38weeXL8YApCdUR/mf
m13iNLM3rjaQ3q7MtD+pLTZvVVUm/94f5eomYRSUWrmaQaWCTpZx1k8H2knqul89uf+pga/fHZw8
PhhrV03fiyVxu0BxiH9PJroiaB4qWvn9/vC39gb3LMdARlJcLZfDL009qPUQezyUURp0JWYl6jrM
Ow/QVbDIJLlS4HYwBjRk+St+mmSxNOuETokbFuhjmAc7cTqwc/maDP5QqF7mp7hi/Wk0fbvSq4Tp
CEogn/ZQNjd+BagUk9CNqjtKHJsjSAwOWZE0K+yG0bWO+jBXHwZ1XVQ/MSfvbHRD4vlFpq/rAYXw
RP9mlglWxA8vuJTmpVlKSQhvzU2fRVNqboeh80JvSaujGUUoi3lVvzPKjRuOq40oi6IXlLRtnVqJ
nKnRhcthdMfKx8P89zrSUl8z6t+1xXn8oacHB/ydK1O2GbeB6pJGeragJgpHblTfoXPEz4B0+3dD
YKbmmNEeUfPGJSBL/cSqsvkMufFyOzV5nFB2y6JwxPjufzg7rx25jW0NPxEB5nDLTjPTHGkULemG
kCybORRjkU9/Ps6+OGp2o4mxsWFtwIari5VW+ANSBJCT0jHxfKex540C3uuXuozsAAUTGMMMwXMS
eOvlWJFUURXBrTNopTu3+4w3c5G7wQ/Vj7LS+CCdLMyPNsK2/w4VcgTvbS92E19p0UrNY30YdrGB
rv9+0MZ6+Ksqs1Z8VeeMSDtGIbfwy9qdnL0aeZH1vubzyvdahVP9aTYd+ZOwzipOxVD26X5A/EMN
+qJzq302hbToJJ7i/b63MZ14KAaBjrUxtphC6ANn2R9E070bOyUyd5ozp5qfeX2Uvph96YCLsRo7
OdW0M+ROg4nR7Qcwk+4+L0LDPIytLP/OHTT8T3PUGAOH1Byqnado1rcBl+nSH73OFHsVJgrIO6VK
xcNk2HPlC8+OepTkl8tZy2Y5PY2lgyyvUxOZbezx65uT7BMA05IfLRSFVW11aNQeKDrUKjdSg9EZ
9J3d5gZFHg3l9RS9mZcFmPNME3vL0P1GzPJKnOTeJLsA+nC5Jwh2AYnWnC4o19MB7Y2xpDWpZs99
n/SHzDXmFy3M3Ggjnr5xV4NjoOkCbWapma22fTYijjnGnXJWGy9pvqo4mrAJR10pNqLo6y8LZIuL
g7zeWhrCqy8L9W+MtWaIgtgNxcdCDGGyt8Zuyh+6JnSz2NfpWXa+VbrC+TC4kAU3SqE3ZkraCw0J
WXHaW2sqFq6TzuCICPZh36dfq0k1D0Y12BtVyFujwNhcpMuXy2TNd5KZjd8qR/k8TmZ0SGKZ7Eyz
fXNTBe0NcnfqMcRedCFWEYvnCRKWFlJjOzTl6OtOPj+gsyOjnSLKLTu5653JE858EDmFQgbm7nJn
4sBojqIqoqCNZB8M2DTtB8mezAsjfqQAVX3DXWvLUfb6O8IVQ5OStjlx0pUsQDNLL68GNwo08smd
1zURgZl4Mxp34V8jo0hla9H0WWN+MzoMzRDbUZA0kfZoFm77xaO34cf6SNn1/iN94zMSkdFMhmBO
sWIt3EjhOQJpZESBmc27yu7+RhsFf5aqe7SpYu1dZePAXT9ozI2mDeDPRbpkrdGXuLkWh2EWB97o
qpEf5Um+o0tofvUEYfT9uV2HBjxldI0XayYqFutdH2WVMgvsbwOrc2ihzPIbilK/Q1sdfFhYW85I
r3DSy/eTyhfWasCoyctpbVzuSOkgi1Q3oXIeXaGlu35Jm8+2NUQqj0WiqN/DbODmROM7znYRcCUk
owGVVacBSSjVb+NcM09aZlndoaPn8h15YhoT3ahXqDhVnavsbHOq6t/3P9KNBVlEnPi9dJ3If1dX
rY3aumO0wkZUHmV5Ouy/U8BTT4meb8Tf11ctFSO4CtzmaFRRnLn8PJPH8zh4mX3ugCxAgqSv9JEg
QY67WHGN91g59GdZCPtFmHH79/1J3ji3yPmClUDy+bVwdTm2axaZLUeEBsh9k2Pa2apP1c/b2G83
PiWCIWw4Wj2gatbAopn+5iBgSJ+TxLGfi0mlaQEDe/wG3ST86+0z4itCXCSZWfCWlzMSMtcJCmyH
itNUHqKybJ9qw9260W99N4QuEEJmCKowqy0tUlmKUsbuue7p1dSAEAg3zK3w5sY5pSRLIx5fuEXB
bzWX1gD71aJ0j8PM+EMR8wdZL0KL5A6+IRDTfPuXYx9yMXDNkqetnvw4rVNrjgb3jHGv+9BXqXGo
FWsL4XBrLyASAnuKvj86K6tR6kEv0MYUNA0sR36Z6BK5JLz+iCzEv/fnc42xAmGFEhQo5ldOxdqF
0yvGyK4U3T2beFzUPuI/Zb733L57LC2nj/ZGk43fqoE80yfwTytAaF2b7FQbeazD/d9ya7/wM3D3
W/JfMLmXu3Ks3LLL+9k9x4qike1F0860K/fh/ii3vi3vPt0Yqp8e8gmXo7RN7MC3sZnwkA6+Yo/d
KQ/L3nfmcSv/urU1gYaTwy5qA3T+L4dKQ0PWtUFjAkxk86Vw1e6sD2b/F8KWuu9Wuvfh/tRuPMeL
myppg0l0w5m7HK/Xp9HK89rDTaSbx4WCIR6qWQNJEVfdJ5qzxS7u6zcL8C9yDeTOiwoBHZI1Qi5p
tUqTchFHcVPkjcJeeR6rojq4toj+w721NMFpVZDQoD18OcERZmYYh5y+eaBdGmmds2vnesuB7tY+
pAcDYBYfkaX0eTmKSKJ4tBr2oSbb8Ukps/gADX8rGry1ORZRu+XcwZtat0IidG+jupDcjgO7fSyT
4SWJq/JZOmr5EEVl/c/9zXFr35MXL6IXHnW6tehbrQuP3JeDnhJcPUyRZn2eVIQR7dg0jveHel2H
VTBD9QhE42sPkClefsHYRUIpnFXvbFgSozh+Tv7Se52h+fM8mt2ucJy+eNc0lRb7rmKgk6gLMSt+
VCnpC+p+xtdusEvtacqy/LNnpfnXyLSmbzUSLN/KsJpeYK1E31OzS9Vd1Sp/UQrVj0WYAjpovbE+
jaGw5IPZ1XlxqPGCRnc/y2fnwFnQvpm526n71k07HHeSgtqalhXmBv7vlfS2/gQL1oeeB1KM3K+X
n8CJYG72IemMnseuJ/w8l2rvp40B4BexDIsqEy1LGf109dw2fsTYoLt7o7JMSJQJYIeziiZsyRsG
UOPjmI+22GFkFj3Ay6gxP2rKuT6GbZuGj6XatfGLmSv5v/eX8XrHLCwaaIpAswjv19o2DVxl0dIk
CmrDTj6PiRn6bjbPAX5L3calfCO8Q3kCZtdSf1/EBy6/lh47JShoLmWpFzNgBj3SEJQc5UNTTVXm
18noPvZyGg6aXoVvrxcYFJa5oME0U3Jcs69U9LHmmir22a1gungpwgME2G+PU4hPaN8AjiKMBWl3
OcUssyAmSZjmMpMzNThqzWAx9L4r9mmZ1ASuff72VjIxBAJZSDyBR71qGjlO0cyljGAythSX7LZM
TmklFF/WWJzd3yzX1xkIba4xgA6gttU1eUfFm71QcW8OUppFgP2n9gBGs390K2nsqyyXGwfs+pIG
8AowW2VUzAvXwKgoCk2vnZbPmcvhEFNW3WPnthWS3JgVvQYE6OgKU+dZL1qlTWo2VXEeWFky4dBp
nqacAp0swqPiSmcjuLw1GjC6RYCUawNposstMhInV55egc3Qsn4v1CY96qWGALwmftiF1RzvL9kr
XfbyjkINGkoJlN2lWrBWtMwkyZZIxiIwjE5PT5QmQFYpEPjah9B0izTI26qqn6QJb8GXM/SD/ThZ
nrmL1dT8iQez6x5GtWrzgz03IIucZmrejfAwQB9n6firUo2qoW5aJA6V0EIWvyYChWbvjn3706yp
FqNG0DufLY2XaV/Iyku+xIBi5heCmKnZw4nJ1IOeIed1qJSo/9g3tiZ8MU564xeS22lnCDn/jtjo
gz8Pnftig1rFYVIXw+feNOE7W6Ru6cmu4AnvNz4fq7H6emRpZB1E6ouR6+qRk0qszyZu2wEdjHin
GfOwL6piPtwf5dYlvABzl+4ydYG1lJkGtKXuLVEGkWJZn3VFul/DMay+dWbyZlY6HQKarvyPOh8x
yXLk/ug+6Z7kUhJ9GaiRbvnoG6QHq1O3JF9uToiQgP4qPYkr2b7E6b0cmGYZTMjkH5HqTA4liMJj
0W8mFLeGguC6kBCQziGruJyQotgJ6k9NGcRJOJ8UPEUQiBXZqYaEsbFMN64jktClX7Vg04HTXA4V
l16hxIpRBoi09sfGdsOjSRF4Y8vdnNAfo6yaoNSbq7QqZBko6J3/6kcgNO3gaCepT+nG/XprKOp6
C8CW6s6VW0qblK2K+jeboe0+4huJf18XxTsphy2Dpluf7s8wYxXUZzIbgRgSZkSRnp3BISS73FO8
p/vn6OYo7Gv4l6R+V0SFyIhVoeARHxgYZfvkmurOVhL39PZRGADwG20whI1WcYwYhtQedKMK8twO
Dwr+RIemK7fcKW+sDYwWpkGsQvF/3bWkZBAnotTKoKDV5NMQHx8Kt/koQiV/c4MBCRlAq+AW6fCT
Eq22tUZ9qOtdDmsph4QGqRY9RlnvbizO7Qn9/zCrLRDGbudarVoGg53/1lJHfyAJGH20u7YcIm+N
BB6CqhcsTwNx2csJoXVYNVOvlEHaJ+4RilLd7VIjsl6AGKbuxnt+YzAIkCR53HTs8LXNGbCvJM0b
uw50Nx9OSYKMSlWL/HstnC2JsCU0WD1GdOwRtVoeI3bfsv3/uLudNvJST8QiWKQ4UBuW2vuum+yz
mDJtpxeJFeRuY24FEDcGXbS9F21UnTL7Kl6pKuFE7tCJAFtgZTh2dhT2+7j1hk/3T9U1IAEfNSo1
C3z6tSR2ObmcrEhvJrsk85AvshWIbao/s7qCSpk+pZWR+NE0fcKy++v9cW/cGUt1bEEjoZUA2edy
XLdVJpmGbRVQtSr+ElOfvOC7Ux42Rlkuhcu1I44AP4OM3IKRW0MdEnse85gTHSRT0ukf9XK2o11t
ctFTWyzr5uSqYdp/GGsjNp97C3ig35lD1O083hoZ4GGcxu/0mSbGU1fo0nsuh2hoPkR6n1TPc4gU
mT/LOW5R5++Hr8ABxd+el6bRU2XOUXG2KdI6J6PHQx77UKsmjIlY8oMnAGAC14MCdVZBYms7dWxJ
i8ZeDX/Eo1nYvupO0T/OIPFK0uqhEp9Gp54/6FaRD8c5N5WPOaUqzGbbNPnXE3U87O0w1b9pdTfG
+8YZ7X4jj7w+cXxKMEgYGC1YynUXRUGel85wXgVTDm3c6e1u11twG7LMrDYO9/XmuBxqdeLifG66
xEyqIDac7IDReXcQ0HvffMQYhaL2gubiFV5XUoSUCCZ6ghw8jJSTlhrGrsYd5j+MQlWblwtOM56W
9uVG780+TjB6E1wS0+w8DEYsa5QlJjvd+GjLf2i91bn2lkeFhJRs+HIgyVYLrYatHmZC2zWubPdC
jrjBm0rTP+JOPGsbp+vWjuAGXpi7lJZpElyO2Lp5MnQkvYEZd+5vy0nFV6PqKtW3aEVsfMbXfufV
9ECb4rJDKHjF+nS8ODOUrhHoBQgL+z4ra+sP0q3j6Uj61HzrtbCvP7sTSlNUpGyt3LedOcmTFbrJ
XyIpatWHh6yWe7cUqQdBwJ6RL56b+HsO/cLbuYK3dwc5QzdornrWsMu6OR8/2+aQO343dJZ7jGd4
BX7flZP3kYs7m04mcq36LuqjDkIxNbHJN93EMk9dZDe9X3GJ9nscmmdlF9WaM/lY/enVvsSALHJ9
lwpF/6g6cs72ehmn2ZuffgiUsA4RWgLzRhvicn34CItj0cz6JEl9oEipHDIvzXweui0RhBubj67/
AoQh2aURv4rRKzg4dlebImgmPD7ydkAVujUGOlOzeprz6O3gehQXkJZHeWux/F1LijmRHtM7lCKw
0jL7NSMs1vt1VDc0rpVE2cIi37iPmNqiDI0Q09JBvPyQCcpBdp0wmqrO7Q7iWLpz4lDbKPNcxxnM
yQEcC7Z0wU6sqlgehZYmI5QOJM2aj2zS6mvWi3HPLZX5oxHNz03s5f/cfyFvnOElz3YAarwWR1bv
sDHOmZYkDGrlUvcHNe85A+5vsxjn/X8YiW1IPMMmQa7l8iOWnpBh1bsiiLoJOB46FsJ6nxQYJB3M
hKdlY/PfWjMCDNYLPXSK5asAinpVmqpo+QSzOoYHAxOk95o3bxlE3lozGlCLU/fCP1t3GrzUTEOr
qJvAE+ps/W1BTRv9vE1wC01rt/ICrL5N96AQgW2BKK4jNwCGxE/sfshAZOGX3zPTZhxnR6cJBn0o
f2S8zzLyFXiGiq9ElZb5cdl2CBulaTb7RuQojZ9kRmxvPDu3NhBEByIC2lOLKMHlz2h0rYqHNm8C
S6vMY92Y1YdwNMV7a06ax/s76NaS0mAh9aO+sbgJXQ7VJYjNYwPTBCLzhvAUWbFuH2WIAsHh/kC3
bjOMGhdkwkIrXvcxm15DXNyyWFXIm09RrnTgQsQgnjx9mr/awC03wDc3BkQHjfbscvqXhv7lzGxl
niHHtCJInQGQj5H88uIy890oS8Aob4HObiwZlzSVZJrszG9dT7bCaARywbtQKYb4EGeiPyRt637o
TbkVNN5YsuU9oNm3iG6CkLycWJ1iwqWPXC8gBwE2Z2ruy3Iw375eiCPy/IC6IMha99+KPNFG+oq8
Przin6h1zHSAkkp/Z43S/oIs2xa9/bqnQu3r/wdcd59nMBEoNtki6CotJxaJP1R5/mkGzA2i+hns
1r/CszY60Lc+JakMmQxdB4Lw1WveJyWf0HGY5KxozW6aZq/YIa2kvb0EwmWyAN1ABFEJWd+cmhEm
ZUf+EzQetNSw7hQ/FFq5GyexVee9cX0yFBhB+FnwKdbmUkoyKU0oiyboa4NeuquOU+CFWfJY1FP2
NKV6dyjUcAsCcmtUMk9qFcBnoIatNqUTWk6YyrgNysmJHvqs1Y6ROXbHXjf7wBxa8WCPxVbEcntQ
Ojj0/VD0XJd7xiKLPDMPm6Ckw/HYiHnw9T40F2W7Zp+UvLt5tdk5uja95ruiaw6ghluTKsnqkdAm
IwViVrXBMAvRHEMlqx9dPvUH9MZB7tpVWyJAkZf7RjUyMNWunQUQkvBiSyz45vev1Rv3DuAJDZYH
/MQFpnl5GaQR3BGebH5MaQPUEHLfATLeRVjGbsBqb3xsNP0Qu4ClBtd5/TaGw5w3I4J3wdiO+c/E
UKMfWDHWT7D00xfPUBqCkCo63Z/ejQNK34wOK+LMnJ21JI4pBiINs+oCxZyzd3NZOk/wycuNUV7z
7MtEiDICkrNLxQbV3vXcdG/EiNPkK9qibg6F1HLE8RsbsQacR/FiTWGt5/M+z5LuiQbltC+6fNrr
edkfu6JHLQwR1uJtKwuxHP+EpcG8tLIpZ67C/3a2RzvtnP6sulRWjLAuH9PZi8/WOL+RfbgMBfCc
bH1xGuaP1VBJnQBQbRJ5RhZS8XVPi3z+bfv4prV8HWVhyxMC8J2Rdbvcqjk21oYjhTyrRq7uYktt
joQ+00bEv0YyMMwijAdrhYuI5uS6tAhFIeuaJJnPRksVOMi9Om5OYzM53IW0CUC5a21bPdRmaRQH
G7vSn4nS2gNmOEOPVgUtvN92ns7lh9KI57jwu6Szv2fweY2DYZZOgGOrVh0ySBrNoY1U543WMsvv
Zwawx+iDY1myLqHQT3W1erKmcyltKv9wMSJ+Qw8qqzDyjY3/ar3zx8ZfBuNMA93jWWLnr5VwPSqh
ptqlxrm2NfhiVMga5IMndEjYB/T5bXTj2jx9SCma6X6uUR8+Ygmmip2mp1W/x0XI+t3yGHVfxqK2
k/eRmg3Z3hRljGyqEs0nb5oGx880pf/a6aPISLtyu9H9oqtd49AmXZN9HbRZEXvT6jvtaMTIlTD2
lFYbk11dlbS5VPRzsCBatL5A7a+aA3VoU2LGnioYBhcpib7v/M6R39tZ7zdipxsjLV0V5Pao4NDy
WP75H9XtooN67xZ6G1A6ErzA6g9TNLSKImV//0g5/IdWywcXfqk4UHODa7h6imwYvWmdZ+bZ8BB3
gc+TdvtZUaNdrofWh8FIir8rq3mjy8uyaZC0XmDUBtMjE7yc3tijkaLUunEmA9Ns3wQdeZph/RW+
2W6SclYvwOtgdAgg2sPkoEi6fII/vqVltK2XpbN5RjLM4FaO5z1E6majcbRKFhhl8djgBeDckQmt
pwRfXxdO4pjnCWnMR3OIo09GbrrPVqLND9j/jhv8s1vjAehcyHwccTbj5ayS3JOofCCakCSh7QNb
qp40O0kfjT4Cb1A2W4J9q+D6dX4uDRccRKhZQei7HC/svLZCJ8o684vi7yi9jceadtVjBVHRr1Dn
eUd/fj62KNdvPGPrcOl/Q2PP8ko7Anq5WsC20l1IrngICiVpfI5lfOpC+U+LUtfjmMRF0GhWsq9J
yU5Z6JW4XHr4PUx89/tn5epQLlJhS7/bI/nEfX61a7sSGnZDDRG6dG4fKTzIXQjvZK/U1VaLeFVG
eJ3yovSG6NMi1rVOqofWU6tZRNa5IWLzi7xS90lRlftirNQHvenPfc/AU1fg/hdX0UaV5sZa0/6E
swNWBgbA2l6zgPeSW52OD2U12zuR6MOJI8SHtdIOIaA6PsBjR3Yp66eNe2+Nzl4mfjH0apv1ddPa
iojtcyPEeOi0CcmRTLXem3rtHGcQ9ruQZX8axrLftaKPTmb0RqDV60/gjl80t+A9XxFxTdi+We2m
9jlJC/soNK3fxa3Y1PpcHovLm5fmF2R1XhPEEuj2rQ4UAX2Fxql6FpotnePQhBQZOoEN4mFIYrXy
HQQ+a19vE+292YpB7oeOztmu8Zyi2802Rmcbuez1skOgoieCgjjZrL5mtOY60p9dbqjnNq7PM0+r
fDJa55n4Gd9ux3qXopexEWtd380UItjny3cGeLF+fsBYT4hzmnyEwsoPihprPkaGcuMGuT5NXJEE
qAvckh7Fui49Z7mgtRca56m3xl1f98NjC5Z3X+ZhdKwARKNzP9c/0amiIB8PWwp1Nya5vK8Lnskg
rFzn02KaKV0lhXmutMpC88hLAgdAw8bRuTkKjXDuHVJod40PLDWraHJlNM/E3eoTXz37nEaZs+GI
9IrrWW1bGnREQLxzlKjXlcUaN2Ek9WrnrFZePpxFkmkREmgCWBuejHVbvtOVurWeEW7soucptT3p
m3EZ/ePOThq+tHXdq9xcqZlBznNaNA7iHRpc1T/lhKPYgwKNULX8ogmdzzEY4GmHEHDyLVFdNO+E
ZQkwpEpWqM6L0PJ29JOJwtMOpYz0b9WIB/3RdPoOwQKlsuUbhWS5GLj3uaD4fq/pwepusmLgdTJK
zbMUbvlOoG8Ol9rJvt9/Za4jMl4wOjY0UlD84CBe3guUUs0a2QHzXEah/FRkc/cpcjvo8oMwDjSe
h2OjFMP+/qA3jj6eDwu+lMyK6301qKlHTqvPeOfWWlc/6HahYGZoGA/EFSY+cl5yaDw33cWdyLYk
IG7sWzqjPKh0xKhJrl93Pa8STHlw/MOabNijHGbts77YEoy9PQrvGQLOFPfXF43asU/BojtnOUz5
gc6U+YT/2laJ+pWztjodFJOIbSm7L0yzVYaQaA2WCDEMsBSJQVxhFPCYo4Y7k2zao7DT7PucqcaL
HNXkk8fS/uSti/dD0w4/kdCeXu6v6o2ttKTK1OYpzlNXXufLIsf6rVUwrgSy+kRX5LnN8BJyIZHG
fSjfeYqRHu8PeR0jUc9aWJ2wLqA0rQOXKIpqC4o2OmilEj53vWcektFsH0pTqhu3+vWSspqkR6wm
FVEUly4PStJbkSAWVM45iAfbn3qn1veFY6f6Rmh/PSeW0wYPA7WJB/KqXOeGkuZYq5yVRsrvBbl+
5jui0b+Eo7elK3p9EJetw0OxdK4oJK0OIj06tfRml7HCtHR2aj6YpV9kbiX2AKHi1lfNJml3iPZM
BoL6qf5G8ykuOQvsG4kgf4LeXwcBXjXPbaSVUYDdtOvXVNT3Uopvb90lDIJWK0k03TIKoZdLFydF
15lITAZOW9t+YTrdZ+ig867sY3ujiXNr8QBfvIITubzXtBRNY80qvAuCqir0hwarh6PoCuupiiNt
47jdHAo3X6InjBxIAy9nZUBgJCXqoLv35YcmMesHSslfZicXG4XU652PXA3I6MU1BGDS+omovS6N
o9aLgq5VledOHYqfWmyW+/uLdH178NYBP0Pr6FWkZ7VIfZjIDD3RInAKd7GZ7ctvTdeKX7Vnte9k
G3UvAoXAjeW6ntryynJdLZJUKIyt2u3FhEtYZifAFV2wTDCG+L+w7Jxf9+d2YxgolxwvInwmue6A
SXgOvNxdjelcS18jN5N3PU/y6e2jgBbkPeAcEecvX/iPykNMiJOGAnRMmPfdrgaKucsLbYtEcbXt
CJ4JisCxL2rowDYvR0FDdiH0KG2gZ0O4y23ezkjLM4Q53opcfjWBAB29FL8W7v76cgAH19QZgLxz
N3TdJ2O26h9DbbwR2PE6CuG6SazODriiUZP7DhMZPypsUTJ+KmeUYefE7jYi2astAHgEZBY+Gihc
ERYsn/WPxWkJaLiH0GrppFbthzqO9t68qYB0vTgk0tSd+IveFnjVy1FKBFG8SUC1QjbK0A7JbGcn
r/CMca/XuIXc32+3BqNzRi8HIcAFwnw5mG3iqdAaoXdOxjm2H0tXl1RSy2IKfR1m7sYlflWBWpw2
l1eCohDvxfr9rZW5ribADGfLFLZv523mV1Z8UGTxLZ7KLWHFW6NhuEcGxZml27o6S3JQkNyO5vAM
kkX/IWuJmWdWK48dmV3kW5H1xvY1u3Dh1lPbpv5BS2Od6Kh9r3oKEM7AANG0F3nTHXqrnFr0mLu6
PBFPvlGObxlx8e8CqAULgWr6qiKQ5JHVjfhs47c5WP+g+qG8NNSBP93fJNf7fjlT8Ja5ZyFDvVbb
/tj3OWxbjVaUCFB00j97dSj+gl4kHv7LKIRm3BQLnWI1lxISEppXQAw82PYHXKkp0IlxSzPt6omi
PsziLPWTRXBzXZHDHgwvBLvrA6+cnfeZmojDgI/Bk5Fi9JTZ43TIa+2NAEuWiSyQ5jjRC4oSMB8u
T1luNpaCTnQfIFZXHLUqS/dq0yMYDXNgf/8rLtHeRTqxGmp1tfcWLa+GnnCgF+78ybBTcz/FC/pb
M5J9ksvsxZvi/DFTsvFwf+TrTIZDtvR0SAnJzahBXs4SqT8L7W69D+TQxo9ZDLrOtPNq37sZ7j4h
2t9DO/tVGzon0SoDgufwgVr4vmAm/dxti40fdH23ETDSzaLbpEFnWMtk8hHquZH9GGgubipgN5X3
TuKWB4mE9Ua8f2NXgfMDgrz0c5fO+OXUEVEVRmfGMhjaND/BlbT9vBtGX5NNjs9VNR0GERsbB+bm
oLi3L0x1DNzX1AJ6C2OuILoTYI5ZPkXAxI5ZbQ4BhX7x4iBd/it1060+zFVhTAf2gBwybwZ1vysg
EIlMVDRVNgR2rBbp+1SUlo9o2T/hYvI1o3m+y9Hz9nsAQ9ppsJxNkdcbq0pwuTg3ILO11NUvP7VV
JUNbd9GI7lzYH6UzJXsxRGQ5fSQfN3b0ci5Xh4mi5qJG5SyU5DWJaPCoLcjJGDGeitrSL6PGsfyo
T/IPWrao2xipDH+WzHL2e02PlX3emcj5z4OgwhQ2aWRtnO5bk186CqwBXCPafZeTr3ua3EiO4MJX
YP/nWIO360bl5KlFc9qY+xI2r+fOVkbQk6iaP1en2V6MTOw+kUEoamnRIak/pPl3PXctyLZ1Kr85
fHD4Eglmw/6AcYlvYee10bLSbk3YQAeR8AT7EUSxLyeswrGtioGDpQ8tGLrM8/pDbcfes6UXVpBE
2o/a0FGaSiqZfEsz8Rir7mc7MuPMz9z26OmFuasjVA5OiUDXcCN6unEYYLywDIh7cRbWSWk/wce3
MlXyMPa69WRRJrZ2gnq44+fWNOt+YjWfdRHq8d5Epijxqc9H00br5daP4M0kwFkECKjbXH6iBCM+
b1A6GfAKNXJvu8g5FrYIH7WUVozrZf1OROq/jdPkP0a3QzP1/k65DrOIhk0amdz43ETrlAWB5Uao
OddQ0td0MXP5TseIc1cQrT6IWmzM9sb7xj5gL5Ds0Vhbm9EXNWYPTppOQVPE7aMqwprcRUDN8M0p
eueqRe0jDN8GNbHfVtq0FiBb3nFUHuAsYoJI0XMNFwyTNA6buJwC6qLFsUWvgK6Ki41LqtQvSogA
ptFZWGgIYQoXgYSm+uSpLU4gqde3+r7CwTAw5rE9RXk/HvTG/llWc7Uzynor4ljOxer0/g/LQ6Tz
ypS/3BSuMrY6jh+g8FibY4+kht+lprlxSdzYeovkMKvP+aQxv4prjHrQ6ipOpgCju/idousANcpI
w1pgNg/9mE3orFni49Bnza/cSfq/7u+8V1vzq1kirWfhqAOlaR3+Fg7y6DVvDuCRXp7m0Y0Ouhor
CEegydtUYf/JiLzsc8SVunMtoHlupNR+nCfmMZGKs3cmx/CnyNJ2adbKg0tRdeNw3HijIYsDJNBR
a0RNcXVhtwly+dj+TAH+n/O5HKf5k/TQ6PFjo2loReph+y3PtY1EdY0te92o3EmLrhIQG8qQl8vf
iK7shmGaglHx6p3VN5k/xKN8z+/8yN7F/LGuyoNThd7edBa/61odPovakk8DdUYQ586W9sWNcwtP
EDt38HQqiL5VXNqOmTKFSTwHNCtoCavjQAboKT3SDV0qs5NonPZo5DRIRlfJvtzfKLdWgYIKfR2b
TXJFeaNE2jc6uixBq2rDP5OBKLVjEO+3AHH9Ovfi5zzPvP+yCNTCUMVAsBpKwep0oLOWG/iATYHr
9GowuRpHvW+Fqp6yUldRULZ4PXw9TlSc4HIZf1HgcJaPGQp6FqL/WdP6JF3u1wrz+G/3P8iNO5vI
CRENfhyoOH21GmjmhQ4CFVMAlhXRjjSFsu5rsUOfY26iZ2nIrt14K2/dSHQWCNnARBg0sS+3JM6u
aqlYGArNLV4aisztj3M/Fxt1zmvkB1c0cP/lcl7aU+ugv0uYWxmKKah0KvD70HW9gzZFxOLKWLXp
o+cI/UMpavNfG8zAvwpCZ9GxgWoE/qPXtS1HlJsnEbCszUsFMRdVm8tpS8tEH1lp5qAxUlseklq1
Tb8e0VTdtaguHdWMFXZxgPzbM4u0Q+JBV3+Mjiye7b6JkATE2uTXmDjNtPWlboRWxPEQociP+Pu6
ztR5o6GEcTcH4WiYXyv0JVRgVdZ8GEqTOMLSpiLweg+dEvSffmVmfZpR4XpMvIiSVw938a8ZKQEf
FTDHbxEU2EipXvsWl5c7BCo0ZTB5QaWd+ObyyzWqzD2tLNRAp87aP/VeqHwaqP9FD6YwqeXQo8/e
ldyjmp8oXvLJkmX5u8oV61nYGMk23TR+xofZk4eFosy/33YQ5xvNPDsKCqNAZPqw34hOrjf55W9e
/vkflRJU/m27qWJ+84TiS5t7xg4RRO/x/um9XjlGcQi36Lve6H9ObbTgSEM1MMBZpEHG8zge3LI2
8vfqXBvp7v5w14k9jztCAAtSFzgjGlCXs4Kh56WRwx5WZgcspdE1Rs2zmeA5M7vZseua56FrxxfF
mSqCISqKCw5dGT/l6MpUOIhJNMTv/6ZlyIvNQQxNTkKNDRoft8pqc0gzn9NQN+YAMMhY+UNZ5ocR
JAy2ZhQVzopTDc6uMcpM3QMTSfrPmhnXP+//huvkZPkRtJ95UBao2bp42kibGxtNhqCq0SP1xxTP
Lj8yimMWW5LSpqkMgWLpOTmaK3cZYlaPCFu5ByemBJp2CvURZcq/yCmp97FEIf3+77vajPw8PHMg
2qJz6NKlWy1bir5nOHRqkHNuC///KPuy5kh1dNu/0rHf6cs8nOjuB6Yc7LTTdg12vRAulwsQICGE
kMSvP4vqPvdsp3eU7+2I3RFVZSeJENKnb01eQ/oghdmLp/PfX+jd3r5d6JcpGeSH6FhfzI/Ytrq1
haHuNVN9j0JjeKm1/mpN1isPWA5icxnatPz9Nd/TvgBi4bLoq4E+iHr8YgsLqx5x0tBCXxsHNPVs
lpb8HLCpAlNkqTgCOrWcblHzWgNIb8Qj6Tp44ZAaaC/tD+7//aaD7+JjnLGUAvEF1+PtSBuvoQBp
jH09+XPCb60GBdTRwS56wwmtk3LAuY/kMvR1VYBDNgZw/Qe/B6WgBO8QvsD+19+Pzl88elTEOKsA
8Ntwnov6r2bSHaEUca6FN/OrKrHlHQlM8tHpfHvLLt5CNJ5Qf2N2YapdukA6UkjNUIdeG6XCH+FM
Qa9vqLWMOe3qYMisxvD2aCPbwMk5TuVVtiIZ41szJyZJtTQAOFJC3RGhHQJSpY/UDL+0OG++H9qu
6N9AXIlTECbJxXNBD8xCFbB0JzI4fVCMyjHW2YXXVuUj1lEhh9xxF23OFH8HU8GEIJCtrCKUolcM
3OKusCPL8KIHtR8i/K6zpz1vkPn4VfLa6HwYh159aT3iq9INlGU99FW88NfYsFWckqqNgjklbsvZ
C/cIoKIUtjRBIPIaWUTDChmd8mheU4Gk+9Csnf4egl9R33BkXchrOneD9cGy+X4px46P1hFKYWyr
sEG5mBjtGGqX67o9xZ1xQSGE5c8Pvwu9J70SBX7m4nIHjOogAePZt4j3aIiBwn3yajLk7uw0wwOk
Mdz7YKnaHsTbB7W12MCe3EAvTKeLpQqKyopMbY8ssahRtyKY529AGfAuO6Glktsm0raH+BrEEe5/
/6K8W7rQ34I5Cw5MoFaCqXExQ2yD3lJN3eYkG+iY91yNdbzrYcOGSDGf92AyJvMJEqqaI0EeXqof
PI937ykaqSBj4z9gEhBxXmxjvWIonMKwOfE+UTxF0OjyyY3YR9qA98OL2Y9yGJv45p9+yTSPGLYZ
Hdj0RGFSHmeeTNR0Z3ewbn0xcUN/VjipPCNtCnEMvx/ed5UKtmhAAVD3YHUAi3C7/z/VQ5uxj8ta
WKyMuo0Pk5VYO4a44Z0fMOuDouj9UG7VADr9EI6CF3bpWpQsaogBsrCT4aHZu0hA3TXwB89/f0Pv
rxJsXvfbZdDwAhL89oaspncZl4Kd7KkPoCfSUc68afyg9n13PIOqcbsH2GTgtXjXZ5qXtUo6d2Yn
6SdsBxdFuVMx9T9Fy5IUrmOh7P79bb0rpzYZJRo5DtjbYPRecojcJGay9yQ/odZ3kSmKUyoCzDxw
KksTtGF1i0K0Zfc1ZIe6gIdRpL6JZGqmj4RU7+cLaCqQxOKcBCk6uLdvh3dZE4/DYm88obPL9jZ3
TVVCUT06qYycD2UCfzHMG3Ky2WpAXoggsLdXC1yq0KZt+MnClCroNEx7Gptkv9SeS1IHTFPng+nz
F/e3aZvRMUPzEjSci+lDOuYbUF35qdYkRGYOATE+IZF4DCJL//z9M/2LqYp6ZKN/gRUDouTFtWSs
7dbYNj85rcfnzPdqhH7arkSn/vcX+qthBDIMWvqGsr/rrhAHAYngHnEkpbZ25iGG7BqtKX7jyhnI
QKe0+eCCfzmKsFL9tx8EGpBvn5stljhujeInpnBgB7fYPsK7cj2GMUrN39/bX14KzDN/WxhRRF/s
DxFy6+UacH5SVRIO2Wpsb8ynIKmTQzNH6vH3V0PTHF/9zUYIfiLKyHij9G1K6osXAELCXlHEIp1g
iIzU4yTjnsNu4YM7XCPYnuUejJ6/xqF1bdnqmUBEXwxrQkvD0dY3qDKzeO2WGy1BdEiRTrp891ce
vipDM6O7KGvq3jk0kGyl1ONKZAjEwMHAbTuEpDEn9WTf7PjQwxN0pkn7tXHMNZ+96CaRoYNDvmWl
jG45vV3Sn9DS1lda+PHt1DZTgWp3QUrScr2MM1Bdq+rNyXSSF3YTxvC3iuD4t5rma2sczoCcCVnU
dYOYHClzfNRSutJ6GgS5CSuq96MNizbVVrJPWx4NTRrVYjqBSO7UOfHi4Z56wXQF05PuqtOVvaPB
ZLBS2FUKy8xbWsV9gW+lTzFCqctRdmaUzQHgpa6/EnTxH2ADqL87fKi6fDRJdy02J59sbJQIbyLI
8tv7qALz5jiGKwYrgWt28jlAZgzJwQfE49nQuU+KLs6S9qx3x31iIvZ90qpp0skekZ/FEHLZlWYI
0aJOm8Ht8URWisoO4+1TfoLM21mTY1tbEUUsEY9eYl+Rdh/rZXNXmIdFTc1pxtZsPoU2pO57hK34
1VeI/FoRZpLAWSLIbOnMah9E3fhz0QGounGjG7+Ei5lmu9nZHM3stmvacgW7H7UbtEg4EePVmorK
QnJA7hmh2hJeY3wtoJTVVxYkQs+unEaEdTKUe8s6hXXZOMrV2RzN8EhWs9FubhM7ZlkwgaabJvBs
RqaKrYQN3+Sl5/u5Fw290gmynfbB3Lo6xwlhoJ8U1ILzDvjxAu/CqkcnHG4VIQoEpF7Y12BwBc6u
p2RAFthIRhcyi9iqxde5J5P1yas69XP2Jy/4TLEciSHzgbh1mcNskZRN0kXLDpR7VNaL20NYarxY
cDTbsMeWSC5YaOGojsGITMn4yfUHeDCAqSS7dBrDEWlD6IB1xRLw5H6k3O6ydjLVgPi1qmWpn9Sq
342qG+VnH0Ls9althGnveS/ZtwVhQmbPeWtITkchwjRiwTjcVSIaIMtpSQSBSthMaKb5huAAEMDL
pZ5S0kniZogKdxucCEXff/PGhvIU2MDiyXRRQBRgaU7kAwyUYv8ou7r/onRfg84LgZc4j2DteT2I
FI474zKbc5YnBgNJLFznqmMtECp2CsQYhdsbVMXzcQ6QknpafYaOqJgjZBK1bahUCc9h099UpGrk
Zytm9k+U6VOTNwFObXiBkE9XxA43HcIu7GW6056Z5geRzOO8uWv2tjohgod7KbKH/CUdcJpZjxEj
9pitLEDjO+Tx5qSFuPREVCkcfZbuEK8aEymG0004oqO4emg/z0NoXXVw/4rvmNJeYyBgqPsoR0G2
sB8+aCvJ54bMY5PzNRzDzJptY6OVLiU8+XSkoGBGBPXOdEGsflTOwPobi+CiSAhxa14qhXh6169i
bPDQyRJAxKQh5EsNYvRQ+sRflhSx90gXqmCp8LUxNZ/SIGobeYv4YUNT23RKXsEgjnY7C7W2leOE
EBhopqUf3YUGxmkZ3B39KLWj2eeFwXOb02SdJnL0u2iQee8OI9t2rQ6Fd9CzuuhDf1l3hs/9cF3B
gSxJK+K5/CCnwFUn07pwcJDBgDQnB+5VkLpQMlVQUG6djHYdbfcchJgUWVsNNVKffSSu7WzbjMMB
HXckkckVrYc0hI76CzwB0XEIrQaybqu3fXlG+JFnQ5+u3CRLRCKGaxgeeNY9s912usMXEdajWqBe
P0VOpZuCYoKH+2jsvTVHL2V2czzq2EvXqVu/BjWM9xgeb+M3WC3Q+s4i4Zsgi2B7rvAOVJUbZIgy
FkE+DA78qzHplSwiRUy8G42e+9yy+dieq9CxKBZRIk0ag82udtyH3CydcAidUzqLlZ+N40Md5WjY
/qWUC6x1Ah/G9mYzHTxQhwTDFZ6d7vfrNKADrJJx+FJrlLJ4qTgmazdO0xdJSDLkzKY8SMGkF984
zIIe6ziq7CKa4YYEZ0QI769GADJIKKxdrPmtBtEP9nJjM+waAxlGijOQgOScUWiUrH4JzQH2cc2C
l5sxhDQw1trpDBbmk80nX2Q8gFxybwut/VxhmbTvWTUCr+g0M03a9ltWckxhh5nqoe3XQptwCu66
eDbkIDo5Q6kkF8vTwFaNBec6vyGyycJ5SbrvxJe+OI1WgkwuLFoVT+GuF89l4DHvmk2QRqwpMdSM
aayphOmqrlarFOPgr98dEndjGeoqelpYwESODDE0e12bS53y2a8orKmQI7uDT0Tjpg63KaQqBtm2
qXC1f7/SlQ5lgG/4sELdL57G1YGZAcRVELFkWDp6VtrQ73xt7XVgWIHWlZ7rGSkf6NJBxJMDpRT1
DuywDsQN1ZqxIBiF7Q3qapNaepySDKFJgPnNMuunCUwZXbIIJifZwpwVEZlUJe4DhApyuFvg6jVO
4JgObZdR1korr6GOjq8hUPceVxX4cK3nkbkZYPUJgmbvecsXZJtocZzXpZOPc2gaP11raYkDKFER
TVtHg90xxUEjCrB4u34HWyTS5uvIofEA/CjXQ9WLtX001I6mUgBabTO4UMn1pPxFqtKOxRTnyq8T
cxN4Y/I58gmd9tXouOJBo4MZZu4YVNN+irZQ55FVsHEBlTVe7hC6Qvqys+LVusJmwh/hBo0Y+oR1
LXJD0SR5QRuJNLnAYAPODuCluO/qlbMbl0Q0esLxDyWCN0eeKsJltOQJgXcu3dUx8uiyVSD3oNAB
6zssSR6rT2AxDMiTwNsZ7aGDtPuM6dp3SziyoRQE2rGsxYpKZUOXgWll8TAGTSq05687f3Tr/tb1
ZjhXLrRexCERk3GOydpEiGmiDpjnBlMfqILhnSgbO6BhbjvduOz6eUX5wolbf9ExpsURsx+UOrtB
Z61AmlpvrpCqt0yldiAFTWXHmu6+8rz2NA+RM2ZhtRAsG5VneiR6OpJhcBSvIIPecDfsel6TuwOr
cLdxRM+qhcdr2fqrO+x8B0VYWcuEyePIUd0Wfd1w6wG5Zl6c+0I0VpfCjGJBoYdolqRaM+U2vXmu
E0GSNp17C5lM1tIxnpGew0cDGnDGS2saAalOMdJTs2jmtcq1U1nWF3+t6u81mV33wWr49NWpHHj5
53ZgtNiHkG0g5btpmTm2qnUeJ8sH76uS6NaliQgrXaIIH81tMvgIiJkone5nlyXJoUb4HU1R4Imx
AD0/pCXMURs4x3lBn2DjGuWXAH2/o0OqkBwgzZ+h18OIdDvdY+bDQFBNKu9pMLw4yqZBrsms/T2T
q/XZRgEWpZi6gc7l6sQ00yHxrJOl7aEtPc7mI/NIX5W9bXkGQRBNQKG1t+iMhJcJy0C/+ohZqgNb
D0WD5Tg5wh5lxGpfDZIeQsz7OV2dScPyxuuGs+WaMEYBhvL3pDyHe3mP055Jw07VAf6f6RDM0hkQ
ixFNEh1rdOr91LJ69wFZAB7Z+2NHo9QyWH2uxtWESeqPcGjEa4JCeIcnJascbZ3FuWJD5ZureRWI
htKxB3eJKuAa8yxaW0wZeB9iJRKaD8fQjUZ2QMExs4wgehnJF9WsXrvVjdTOWf2mLiuA6msa6jmc
yo4PrVco+P82d3gXyLLjsgEA1CHhKMZhbFjZNXVq3e+GzcUmRUQlnKYy+JEud17rdOR7BacpmTvC
Io3OhpHzM6s7/s00xIdHYNhWI8dC4M3xFQMttk7RRLUQ9YuzJKlK6Om2wyETq91gHzdLe9PZiQT8
rICNHo2LQ9cOvZCkuk1QUHllou2kzjvarEKnoI5V00m3HkPtBR4JKWwD4fV+ZkgTBIsDpoReHrjt
2pwWJjjPyTBHaxYSsCYz/PUgbrbING+HEg4CYNSMcXuEyABxrKE7A7kl0eo/+B1X9BQSxXXhEpQo
jxC7c98AG7DC5JUASZtPXtsEEAMr2bcgVNlDDQ04eJaWnlIwKEYJ9HFIRJzC2GLpXsAMXPndrzP6
/3nR/1W/svO/D+PiX//An1/YaCYkWc0Xf/zX7fhKH+bp9XU+PY//2H71//7o21/816l9mZhgP+fL
n3rzS/j8/1w/f56f3/yhoNgezZ18ncz9q5D9/OsC+KbbT/6//uPfXn99yiczvv7zjxcm6bx9Wt0y
+sd//unw459/QKP9p3bF9vn/+ceb5wG/d3wen9///OuzmPGrgfd30IFhivbH39Trr79x3b+De+2i
HwTFByCiP/5G2TQ3//zDD/6OCI3NmgMNf3AWN9aYYHL7J9f+uw8UCdQ6aGHRHUO/+H9u982D+d8H
9TcqhzODj5345x8QBr7ppmyAAqiC4BCgt7/RoH7x+f7Ufob0AuXR0tEz6CLuVWwxnDw6pKCGrY2i
QTtrFmmwJeWsPseJuiFtWpnd9ATH6rwPwkOr2LW0n8Oeo5iXryO45GnS9KkIjx1WOth3rzfao9/E
jF9s7xK32isTQaeDsiBbNZDHUQw6r+0AIqs2asBMRLpzFJBnhD6DpbZabaHqCRY2vu2k4zAEiGrr
W3A2GyySWVW3/SNaJmtOifsD9u0DTsNTCDfJW0jp4DXBXuZ1ssvBoDO6elFd1OMDKjWRycZfMlAf
vDxR7teYmRcfRNg9Dshg6fUNmAls6b8KQoeTJxy5J9O8687kDKLnfoZIELSc2ocnTGcfkvVq6ep7
q1/jHfbQMaWT0yOtW1vFWteP3HbWdB51nA4vCcMhUx1xsojcg/FxnPBK0vAMSU6x8V9kR8cSe4Gf
2kJp9IvQlAoAwVUVGkEHRS1UOREJUoXTNqQgOYqRLHRfCOq9JQtBPKWwaAeOC40hwsEFc/bUQc86
jWbv52hN0229yjivLM9/BPT8PHiAG4eo8wtf2E6GkxHZJd7wgwicP0VduQVoDCw18HffubZ2Mr9a
poyiKiphZfuCBkqcI3EjKXhLxFEY3uc65Dyd/EDlI+JscFiw29MAZ7oCMA7NE2dCu2IR/NPcT+RW
xgIORdrXeWctzXW7oOhzZhws0HfLI6v/vvT2kHYEBTGM0RtAb0SWa7X0j8BUHLz5znDDBKatHPm3
foEgixpKcoeDQuUpHRVDxb5vvcRMmuiJoieAYdw6MjxxC+JRUNxm2ZRuHzzg4bXo6df1cUagYxbx
UO/BK7kzgaCg/vVVwX1mwzbBsIeqi+qd7tDt8uyu9Adsb7Cjd8B6p34eKyWOK9pyZ3uu4lI0Bp4D
vqqfPBVExUzhxI3MDWfO0CEFgDjI9hmmM1Fhlm2SS3hGRZyijuv7OPWoTQpZG3YkgkYHMVQ9xgCd
LYvjNCn4UGdSGf+6IkOcVhoNFCATY9qOEo8PbZiUWWjxWHW0wERiUyFME19+Vkm7nIbQA9d6XiO3
6JADVDjCVimCdFqnLBelFoTZrdjxXd3cWniQRduh0xFbVo1tN26ybmUkdxMrKiGEx/vq+CDiRSHN
RDU0JTon3r6v4GsCW/IudaaOP/aNw9ME7bxM2rPYIZd7unKEnoqQgHYKxwnp5lgbVcbY1JUYBzul
aCwWAB8RrRH0uHrby0PjumjXWa0GNl7VxVwz74CzIUU5OTqZAeUnM7Xnp91C6jyql88U2ZlZu3hf
gJI26ewk5ujHWMXATPnazS5Cb5gTZW3U/oz8WuRQpKCpGuB2LGlu6TRaIKDUbZFMg3/TRHiTfYrC
tMahMeNrQgoApiBXtWG8M8yKYTrA+AntTu8wJcTkgdR4Gx0Uce5SOQUo26C1Vn17pAw9rClSQzrV
9VqYQXWp5Hh/accXEIdMnYZD+6ysIEm7LmLHGrebdhZauDEKhb1b9cthkOsTSBfIw0XrLbeXtcmx
y3d4olMNaCpgxTQK+PAjGrDESeEj5PItMPzvrWNjbUKJBoZkHFxwWpApgXLEm+gZRgJXQyLzAG+C
jRzNxBo+VyGSJZhTfQBhXqDzuGiA7guuCaB0AzEvL9qpsbMRZ+CcfQa+CkcTau6xRPyYFUbGUekg
HmwPx847SLzA5wk/QKfeIkbb5Te3yw0zAgKxOZK9xVW60R5xYqzsM6EIiUwJJuKfCob/7NB/3pHf
7ccw0oHiGNApKIdQZV4AbgYIPmZd5J2njnyzWvLIPR8l2/wRneAtioIbCSFWxHsJHS3wbrC9394I
RH4ksnkfnOm0Q7GbqwPEnzAK2f/+dt6NFxBgmEoCTwe4jktezJHKQc4mj3hyXjbcIXmxmw8oxH8x
Xn++QHSBBpkhYS6H3/9ZeCciboh/R4bn39/DW2rAr6ECqQ8THUQqF9YYF0OlgOlZaJfFZwn6R7Nc
+dvJx7+z/Z9j8/L7S/3FcMEsZtOAR5s59qXqHMPV26x1kjP3jopCm/MBav7+8x24l25l6MYKg+T3
7VN3oZsHfsStMwKf6Jqj0Pj9938/VGDngCiCqBsYEcIj9e3nj5tWylo7dgc20zCXSVPazc4bM/WR
eOP9Y4dlCCS9W641kMBLfJPg/VllvZC7OJnLxRIPSWueJhV///39vH9LtuRVEBmwlcNt4JJ8EiWy
bQevae/c+d5bv9T1nDrypeEfmSBdjpu/UXpAMMYjAYgKpuDbcas91FMbunBuRvDsbxdZIn7QVJmw
PnCCuBw3XGgjMcAIIoKRDqg1by9kAks4JkZGBXzQMrd/ttqH7iNnrgveYRTjIhttepvD0H7BsP/t
RRZ/qivMwfpMyQLRoUwN1svkrkWAqL0cB6hc44BkpPry+4d1Obk3YgYWZiygeHWgNru4LLqao+5C
n5x5JqtXan2033lvuXzbfaGuBGyJm9v0nb/2pj+dldqYwIkcUMgZVsM6hXqEnSavc1BLRGPm2pUs
BkP9FIkgdqHgJ5ItMBX75kos4LPFHl1beSlbApa5nAR3Ax2Wg7HDV10H7bllsDiPkjnaUVBJC2cJ
xiy2UEIIuEDiSMZVncYtCuQ1hFJl7DaT1iSobuMFvf7FF2sZDlWwZyDZfUBhfD9ltruGkRQcTcG/
ii4IWF1lrHiEC+cZJokJcgHYjdOd/7+fHC6BdzYGxw3+6BcrbM+SyYOynZzpdYATzZL9/uMv32I8
NxBgwXyC4QAmxiU5e+TwhkAgAe6AnBrvpyV/zjrKzPxRetr7CRjhyA4vW1irgi106YgnBjitg6Mm
z4qtafwJnLIPltePLnCxfPuxa/XOdgHYPk0mHef89wOFxW1bAP6XXbHNcewK4LHhfw5o45eEbRJ6
xK4tHt1GnQufdkqR+xZ17R7JrnrP9CjyHjX9o0sE0CvsMTsliANwDG1eTF8VIWW27k44VtcLXwpN
lgpa36Qtx7Z5CYQXnpMqkcemJ1VVhsp9soEMZFKj2EIfrvUPyPSsrhHgMaG1oNwbu4U5pZCDQcqT
4nktgvgKtnQRTGxAMXMPgd2rgmJQbhY2D5/gqTbu0DIH0td49U/N9bBbIcVVxwiwcTEFC474JNbl
pKSdaeV1eW1Nn1cN3gJo8aKm6YJaPszg2KSO3er3JcBi+BcuzQzZ6Pg06iTYLaML0AF7YKZdndxA
nDTksJ1u0foPG+BcWGTTDp4TX9EdRTgKrEp2CIlpTqLnaKx4C7uNtcXvYcEJEwcq4m9hJ4XJorFq
kAK78s8+1/wElD48wpx4KiRM3NBoVH3Zuo3/vcVTPcYBlXmolm4X9HH0Q6CzmmkR2Xk9KrvQaJlk
kFPVhQeq6yGOcSCxak+VU2xegPSQVNDlCTQkP/cBRBVJ74ZZD57XbmphUOXWzb3tjo8QzEPLIHRY
kpGSTMVEX9UCdskzX7ogh/3JUjLeY6QqfzxBxknBfFt4puPNdbNmITgaECKz3l9veLvQcg44SeUw
4WtOBlzSehx3so1mnE/9MUWjR+7Z0jWFM3oKMNVcy5RbDC2l2Y5OHO6GBw4wJk/iPr6D0TguQLRL
9iudvzizPWXcIl0pvJaniKvjaY00o4MzACBweulfOxBsX0+hCtKuD9YjSroEmVlgfoRLDxBe2zHO
5olFSkuMsf9KZHDC0RJi9cEmaW937B7JMD6mjPRfIxxY/aKJJ/kKr81HGvfVQceTOhqQWK/XSiB+
dEnWe+Yl/EoOVP2sZfx9GRBnYXdTWCL2eMi8ZtQlBtraUhbXu04FHfSXYbN3aNIVMTKvb+GH6+CZ
Rt4t2ivhAUQ4r2xYiKNHxHFGrNHqpwF+LRnqL8iBX0oD0/SMzbop4TY0/ITFh5uOAejTg4xU0VQ6
vMLxKT4APeiPHVDorB7MeKCswQMmEGSHsx+UAjD/gWL63msJeDVrfOHdTcsSgk4Tr5ljgboOCKnK
0IQYi34NUOxFsQW+NiBeYQKZgbHxPPkOLag3t2gEjGIvbYMc59pycUIkww6dvi32r4f7MPOaNIjh
CxB1ABrWlj/HZo4LGth3LFwppH71fGhqyW4svfBDB9i4iGsT7DsI4g84hULsvDo45Y6Od3BCWuOH
weJxYISZg5zTpqGRiqT+avqcehHCRMAkuko230vjSFI69WSnDEYUio3oX4xsyEg4bDCUaY+AuMJc
VuZYWWgzPg/hZ3RMbnAkqLMKvJfrEAXVdechaaDzKStrPME0JiIj9BNcNfJkCAtwGbfzvWqLxet+
oDx6mL1wtrBiMv+bW+spj8TyWYWGpZRWzsFvWF82Iia3AFWqfQufsNQRRhyDLrKKUJHmMKFvuwcc
Ne560CJO0oxr1iuP5aqPYzu1XBg+WHO/3E2jfDGD0+aqQrI1OkBoUvmTn48AOXPwpLyTsTQsrrc0
O9+TZC97KylUX7PUhgQyg+31kvcgbDapbvVYBIMJ7jXrLFBY5MnUdniYZqxkzmzZz1YYiKsVgXzF
iGV2NzUzz1DdRhlpDN5T2EUcWMiHou+HsXSHGlA3OmxA3zt2doBKF8CA+j0NaXhalmAtG85/rGRM
rhNiWUevhdmXDSUgcEWWHCWrHmWQfDO9/aTgaJWF7Qhco2/bMlgQlkA1fXEXW2ar6wODnGMsllDE
fddmEHsA5OzO4Wp5BeDTNWB8+25mh3L5tIycXGFZ5IdZVN1NNDrjbY3wUBBYSLszSXvvwBWxGNce
vsnGeoAX5bKndR2VTAbtAf0iOxNb6xaE+WTXrBLyOiDrpfQMuVkhpEyVhXGV3EqeWkOngpF6OJjE
jHs/1PWTo+eoCFkH9pcryVmFVgxRZMUzpAI4Kdzh5I1Ry5DpcROmcphqIHGP8JRaY/RJjUj97Fkl
9iAbYBussN5lIPqgvW4N86MD1g88FyB+x3KP/SE1s37xQoxYb0/h3pZe95AwEsOSpTct2oGVfVy5
tm/m/szQiiLo5kbqRQyR/alb0fOZCPd3aPrec3hrl55rlhKueSuUsuqVMiSEQUKSHCcyMECgjn3y
JSC6GiVZFocROvCkeR0TgikerjFsYCjMahsKx0m4sWbYSNuzjrzvrBX1D3dRVu6JStzGEWHf4Zsc
kLRB+nJuuXq8iYjnYvkOAA96QNIhnHEyOHeRKx3bGDqJOkIy8iK1P3jFJBwP9JpQdHdNHBqMnSL1
rltAJEqxk4MEDBbfbnBJfTZgKi0pYqzXkqHGuGEoFYqIen0GPBUp8skU7RBwT0p7aF7Qy0Msoubu
kVj+VzUx58RY/d3GTeQglaGbbdDNpkhAngaZJhQ0uLny2IPvo73N2x57OB0BiwcIRbijkQRTcg7s
G6edgdLbdVOAq23iVKxDkoKZBNI3bKv9o9VEdS50ZJ1ZBQEX5ry4072c0hrOJDeCYl+P407kjW/X
MJO3EXjvVQPE7Uv7CC05OSABGrN3avDRgfvNhsnwlR1uLg2AHIq2Yk7p4OyTgsSnYCUjpwL47E9g
utNzEzivavtPBVOOiTMfGzEnMpusODkF9cbABSQE3bSEf5Hb7/XE+1eAW2DSihgvq2e/+KR5BsPK
el5wSi4l+CGF1dnuJxNWcba5g2Hts9bphnQWcJ5qAegOPHW/QAwMZCNWGXx1bDBhR8SJxcaCZN1l
BWLHQc+fKMoNsZiz7O3nmjGiwE6avjve+uoH1DqgmTfNqW9pk9lw07qC71FbhANQDhUu370erCXA
/Fg85sbCeXmW2DKt5b9JO7PeOJF2j38iJCj2W6B3b+0tTm5QbCfsUOzLpz8/5j1Hb9wZxYrOzWg0
Gpluuiie+q/jjUWqmKfPvHxn3FHlGlbv7HC23o7RfKPDI3Uqld3GcxO9OJG7STRnwFxtR944GNOt
MYNLIkT8qRTLj0ZROtDdlpIPFOQ+j/N4YvKotoULpa/2+CXnauxXwQodkxaCJVSCg2+4Xb2hh1S5
TjnyBPVcl3vm4uy6Yue5gU4rvWkGjx0WE8NhpYaVr8xW/RVOQWW0MrVmh3l63A14sAIOBFFQpOG8
7V0RHShP1nxCW76VWpbvKW2HZU+s+qhner9TZOEe6w5/xawh44CmFJ6ezM4W+wySliXMvCmPh22S
W296ikSZ7NWE92FvnapwNHeaWWPjd4FPpc4An6FdOWRr+qoKEeZZi+texYp907j54lflojxH+UxS
BjTOc6Ll8IwlfGbNqxbsPC3T+NiTDwhdMVt8tGk6RoVW+6SLOPezA4wvdGUCUpkivzK6t3Jow6ux
RyWBfuy7pTF+JYU2IZ9b5VlJE1X7xMl7rBRjhV7JkEHXU8uLBszcR4XVvc5TGd5MgmrHeJajj05R
u28MhlpqWkxeuvEhnaozK84IENw6t6kzZHd5yxxrTdXTFDcsm5aalTFVmkPZ6F+k0xmbMKZKqAnL
95lhaWO5CcsU6GmHDURrvKaN+6AqjPk2J+zYtxEqeKpMhk08hvNBq6j3ooCjFs9YzJct4XScZeB4
GtCjKjzFWJYmnrOe6Ct9aIKRTPw7Kx/G6yEiaJSNbt4Pda7s6SFotkY9UMLcwLiho+xZv9js2PVD
HF41jaP4eKxDhpTe9TQVEaRnYOa8b1vdfCvKLN0U0og5qcj+sZhVg7dmPewKWzqPFWsFdezAG8kw
0SCQomgeqlY1fIUj07EDT9y1LY9hrRndEUvKeykia1OXEL4V2l9eMUQ6T4MebZkSzE05mVS1YXv2
DSNxA4KE9hRP5yh1K2MDDyGvyY7nibX6zTC3N7no/DlEa4hPIdlO9fyageQQ6iDnfVRFP0yS4K7d
lrXfVTG+hcSMb2bE4h6HlsKzG2ZJ3RiUbVyUizdlIvKFRFwBxRVHKFEFkSVJUt+G4QDLtczuGAy9
oe772o3e9GXqtrreyV29xPC5Mkz3+awNr0mpL9eWirpVZGq/r/NyvkNQMz9T8COOaFlmIpFWFVM0
478JFfPQzEZ9kvPgvuRWnT4pijYkbIHTGMSKku0Eh68dtDuZ8a5+b8ZzFUHITqO3hGZ2r2ty3zCi
SxAr9IIqcfBqtWN0i4/4OornVK0Z8doyfBmgwrbsn+WOmpcxKNtQJ4AnAeMalRmZYV97XYztSKrL
A8cx+riaeY04i2dkfIx4+zmEqVwSbfxetqW16fWovV3KqvN0DXFmgkUSFVv0FtXuA+wuMjmnaL1w
zKw9cSDm9WDX6b3FWjpYYU0CTMv7i0E1vTFMA7/wYhpbTZ++Ji3EYcl0uYl7Me9cq5GbhR7jzUBY
uF+MML0crGmKMnPrOCZ9GyQWg6k62/p102k/rRT578hjvKOUErlhQmBRw54ZcFg/J1o0HmLCTBFk
jc3JUgmiGFoyTdnbxJWNHMDnJBzfUGTXnEuR60etLM3NbPWlLypLC/I2L/eN5PejX6MzvDgZFijN
foG1snGTLJX7VcbJDwWRuldJkzBgxQmh+NxvXVEPq+/ki4VsYV/PpeapmdueBNIeDp/uM8ct+P2B
SWroYuxu7WDws9RaEA5l5S+hbmzEwtSOaNo8pEKRviF6NglHZydIuC+lkWhBhXkIpYSmQvtYSBOW
RyVB4eyQnuZFzTJep+4ACInT9Uihu/VEdS3mgUg3d4m7oKetq3Ef9pZck4Hc3eSiF0cli5iuV8yn
iQ75oEQ16KMnf0dykPmS6JsrRMavM+XdhyGbB19fwukWqd+0U7PxR2/37s1MUGCQQjKwR1bTISpK
FPMNmz1asPJU6ba7L0QzbiKeZ7+dbblzkOQ/dLHhHIfeNl7GWbeDKRHmV+H2zmHOwuKeGxdxy6fs
rZ6UdVkU34wB/Wch9RueE+sKgwpKL0XtNqIzTeT6KHp7VGI0aXE+jWVl+H0piqCvWsoTHQ5yNaIA
zqVJtxm6LPSjAR+O0rPFiJFD9NQpMMc2FcpT2A+eNXQ/wqoBJpK9FbQq68FwImfT9m5/Csc+2pPj
0QV9ZKXHKhqzrZOka1uXp1TaGuFVij0Phk/o+wGNgHmrZ1nxiMbV8mUnnzO3CTdGiZBShgtiszhJ
t7Uo+QZaDgBvVuOGJGPjIFPtBdUdiAEj3NZVM9NbZDZs0b1Z/pRhUJAgm7ypxEvWNMpGTWnCwTs/
7kD5xRb8GkzdrsS0Aw5DIUiiFTeV0/JhVLN1g1XKna5lFF51aEcGCgF9LV8n1dgg271gYNEX9OGo
Jc2bpO3YwCuhAg+WTP4iUg64en/qrdmSQNBnQZPb7abVFpWYusIKssHI7quUGcqu23IXU9F5UMa5
3bXVWO4LMmr2Vj0428FwqQp0h+6ar1BuanIwro141K4mAue/p6n2FaVA5ztTl25Mo5yDaCzULYJw
pobYNnZpnXN0D6N5D4rF6T2JYfARv165FLg8VlFa3cIN/6ywWaHtJjnOGtA7dSN6FgoJyz2f0/UL
Usu9Egh1M4xVcyNkX2KRcNu7pGmz02j0r6vNm+1tzZbGW3bLOWZGWeNENwm+EAYiZTYO2OmrbYm7
e5/JtjpFdLJ5Y4eSKg653Xlbp0dbFPaLG6nie7fo84ZY9p4Ulxmpea3be5nyYKaxJI2ms2sF50SI
g2syQdXYmD1DDk+Ohr2GmvghaJtO7KN2Lg6Ex2m3kBU8B07a7NS01s4IElHKLK3KgBkmq7a92igU
FmyjsHe3Q+e0nkFKgw/EKXfp0vd7K6JVg1K6r7Uhul0JLnZXz8m0WT0w20mwdifUN7epmQy7Kpy0
XaStryrOdls7abQNcgqX0y62DMael6Fpqr1Af+MVnF38opxRiRpaddDRp1yjsGmDUB/rwzIJC6nI
kG8dSqJ3Ikb2EMokQ3GOuS9Fux/0M07AKEqsfWTA41RFL3E9gSyUXaFt6fhbtqUjm/cxrOMHxW7K
AMMGQv4SKDtEA2xyHBxHX2n07RIDcYy7WJEBL7PEb1teH32he2PbIwXWc3GV4fXyS1sDBJBRyDQX
leWpwNyIglp7yeJa9aM0dDxAnN4jYrrygFZCL457MGzhlp6F3uMKv/V0tGO92IUchTbSruSVcLrW
c3Oj3KEozTxSKKrrBZtR0NlW5qO11+5i5E77EaWztyjljyXKigMbbb+taNDcLkU/01+RgelS7oL5
qct3/JAh5t71rGi2biAXU3nR88EJClthKNWt6YjAqToiOBWPBD1galEiRFBOrG7Hon0FPMdqlC+K
F9nIsOdCLpG3iNTcOmBjfq9k2q43spS8FxsRjsglwHDzrGJoC2bOUxu0tqGnQGIfIpr87se58VrN
GL1ZwQ2XMUF5miFnn4jx2ecY2YHxcXxHl+t8KRYxXUldebRs4MEWcwq5lqPK+wFtUaTaBXNGCzC1
1G9GDnYAbWxvRpU0hzJdmrsV48fe4/CaFvb8Y4y7AvhJhcLUqzn1E5xl+6zo84DkQuUL4RTWlWjA
JhPE6wHjterpk2pssUj392l2p5anjGiVV1pCM08xWhe3Zca91aR1A5C5SuP5cQ1dma9jLcu2yuCk
u9bt7cNU2P2jGYdIExO1P02JauxaPepQS5cDlfV1wzenqnMiuMPTHZJxXF3U6LttVgd5pKexspVg
KPTII26neUkyNGhNrjUPfV06BQdidODUE/bXlSmUQGQZwRFKJZ6hYfDt2AyCXlnVEfQCqnaE18mG
vMhj5FZe1uX53aS0X5phZQHGpfazuBr4hcfmynYBTkpnbN4z6Q63oZbWt4JktpNdiHHnLMlzuoTd
CSUffpO8xNAGGl2B0mP+C2xA3E0pGHWMPqqeDKMUP41QdTpWiht5U6igy3KA3TqzUm/Kyf1OFZ2F
AWLUAKZI1KzVBtPgNDsnbVwWgjjsepeKdNiOHOx9YFfVa5U52+pOmV1NqXiLLUx54B36jE8mxsSR
LDmmVMuN5C21DNFXPBPKTW8yZXXTgskwbIhmLs3wTufIyEk5185tasnYb2zwMkCEKIjiofIdYzJP
tIqNN8im2i3i5+ULFTHLbaeSHcAh0XGQJ8ovNZ6PwNEa+WhA5hkICzC4WPAVvGx0M8m/O3gAD1pI
3IfFwOXh7Rz2Ybwogdkm2jfHLdSfHBO/mlk43sC/qd9cTA/PqVX1Cq+swT1auFY8QbXgfQ0Wt1NG
9dHQksirdc4IEsun5rb6DQvvWW8rZwy0sS8e1V5KyqVkvmv7ZSmYTZdil9dwrEE159LZLFJiM+pZ
K0VaAWuT+HvLKfOdDbG/DZHi++XU3cMhxnsKW3vAXcaGQcCMD9XqSdA7EiXN1ArcrlG8hgYdzsQF
8TcLjcx5K97VMclPHC9hd+pwuG3UhDNpTQRO3AIjhrEResSevyI/sTaxWcS7XtcGSUqhphB2NZuB
g9w2aFkpd+kIjDC05sBZGgxAM7B8KGmjXxXkmnzXFt7LmRGZr7YVqrAPxTDdJo2lbKROUSq9uAAc
uYI0VgGzbgFGG7+I2fe12VV/Lhhe/NgV+b3I8vQhqeP6yTJMFPhZseyYKga8CG73tYOrF3ayyb8p
2rTslbQbyOCt9cIbp6ldPakxb6ekf+203DiAMY93ObkauHNG3T2yI+V+ZjfxFzfJ5FFf+u408n70
63SpgjR2lOtqhhFusRELa0kCB75rw2GsAZxS0tQzKxKnK0kvqBxku6OEj9YMnfCKys7sXVE2KR4K
QVaPm4/zU685KQldNQAtQTPygHQc9bLTaTsk5g5uQ50q06pxfiiYy7YW8Zi8ozlzifUfZVKRtJxU
fF8d3kxm8luod9qeUtp3/M/LEYbwBT/Ts5NW70TMAVX3saP3/lTnFcrIxqyenN59qKpJ7fAZJTgw
FZTJ49S1k68CFzzXima8p7Ug07qLhHNFoL/O+AB+VSVWwUs/i67avNLPc74U8Fu1fcQWNY/9deII
uVPlolzzmRavnlJk2KKoM1+xHVRKGXLpdglHzkSsFzQXaaRjssmmeUfhCAhEGA1fY2KyrmYye2+y
Foqm1JBxJoWVBzoc4Q0oxyI3mTVEWIFhIYPMrQo4O1f5UlmK7QM4Gz54XO2LqGq2CRTydtBKeMRY
XQIj7OiAJBnrFCICPKpxFO3jEASl752aE42d+dWoQbuUGSsSPuRsLPGwl/XMQcYosnsOZIhea2PY
Tq6F5V1jijZC4W6ItbW3Rbf28hXDAjXPHtDniwwImoGbI4tpXwx6iHhZMPVHRu4PkZP5mMB0nGOh
FQwjyNKEV9y338PinCpfh1rOvMljsDe9Tjluu81PMgYX6aXY30C4hQpnv85rehnlHr/Gd8p21XdA
brXj783Nw9CUzqYnItvPqrzbxlk3cnIg3nSirRBbfw4BNY8iUIih2tqtbZ7syZ58w+oE8x8o+dQm
75y1RTAuKarXdUhr3YKK+QjoQoej8VUJ66R283dHizlmF8vE1MEOnzhehnKVSLT5dcRUiDJatQB7
ogfee8ZzuBoJwF+zL9x17c2tiw60pEaxkOkJ57U0g9AEgGJrf8stO7vTYZnoJ88tP3O1/H7uXfMl
64rpWcFjVAfDBAbrRrkI2qGVHtb9FqcoELKdWS9mWxFwRr6W51oRnm0Cpk5LiYUuT3A/oRaDjORA
NAD02Ezp6ZogokLofFdmrFLbtMJrGnQkiAUk530bQx5wb0mrDjOhNRSMqpmOQ3bKbnqdBNOMwUEK
DQRRw3MlnLHbK+FCaSA2131Be9QRab3hW6UtXuacohIvxajsVa493vbE3wY6fs+TFenqNyU3mJjM
Nqy2ZjkJnzWnB5Mu+oPN+eXR5vhEmkbhrAWRKA4crfriNqxkYtbmYLYMNPChGmJbh83usUwdC1UK
iEek9wt0rd8pur3tDApeyCXtdnyaaTcrvbMl60H90pTkR6uknx/T2ZAPtHMbj1GB5TBMaZC26Ezj
uNy9hlPb40YpC3/V7gbIlIdTLNtym2pdgbo+iY+Y5vg9UsHQZMNcE0bQN2YX2HLOH0mFSt9hBp3X
OKRuXsWw9lPKBMOz7McdjfTZQzqH7l5T6+R1yjJQ/IbzDIDbyCGy6DZLKLNHG6b0HpIRSnVQMBJ4
bqUJ4tcH9bYX5CeM6oAaX1+S+QweDlWrtr3w6IpKONGPHAuGBvNLbxdMiZjATVPWW7fX1Y0D9tFv
NDyEJ6DBJRhiG9KuN+atqec3OiLl20mRJkYX/b2wS5VJEfx61MvupC9FeiAhErceswHiG8V8U3uC
ISZpq8CC5uucKdi743FpMN6oPwj+qLxxViJfF5W9tfEmL2rpxcPoD4lpeUMhYk6rEyaeTgH8qaIw
fYhZOPdZPqbvIHN9vzXlktxBKiLT53HZDT1pmMiQI/yKDe5sgnFnj7So+CaH1AOGX9QDhkj9i1bl
7p673RJMO4jCc3pxl6g6BKW0bgfGnrPJwa1GgZMPu5Bcke0iEIowBKvkXev1ocryZqM1e6GYJwqQ
eO2PMw9KXMg5sHS13Sx5VwCO2lqNbQXO4iopBTt2HRdHvQ/JVbCB0adZ0U9WJayv8TClWA3ylrFj
nd4YUrYQARB2dqRuIIjdY6d1RjBANcUW5ZLMtXPty4btRBJ3UqdRTDNb+IN0kwwoRRe3cBPia8Gx
ywyaheG9nQBQ4DmQDuRmYjS+5Yzzs8QkuxdkdeacDJNwV8Q6kH2jKTdZ0iPEsgmaUbrWhMHCZ1MR
Lh5ucfl2O7Pp8p+DZoQvIa2U5zRNrGc3C0GtMAeCO0qYh9y+H8nqw6acsl1+Ii5bpdgX0rLVZmby
xBoQF5dCwlo1IpUK9vouscW1DSvcT8nG7AkgqOdbQy+fuij8pqJCqOSw+fO1fxfOrZJnDX/FmpuF
OO9CkUrE+5Kwud3F/tLs3PEvVe5IqrF5YNZD6wpLZ1yI9uNEg8s3h/BWY/vpAYH/KjN3FeWRPw3p
QRKzQHv6mz5yKlXsnIKMsSm/zij07JRh++c7JNbP+Ouvs4pm/zECaESqrcTSx1tE6/RM2HZDJpUW
aeBKirXCid14oqMJ341VtLh+jGUTGfboCVj/m1BViQYqOS8raZv/6Adn4cg6xOpxiHpz405Tsp+M
Dj5ajfq7CqnKNwYCWAC7YoL5ZHV9jGcjCG39+K6NZGstWv4tZz8XaiMnu6hvoBEx09+24y6xKybX
Z5UHtaLNivCLT+SS/7kpH2/aKnUGiMCQotq6ua67XxTBqhJFeIiV7iay2gZ/kw1gmmnMU0gslvFV
1UBecsOQfpnCfIk0Xu8Q4jOPoQPYbWGCX6Q7PYI8mfsEaH59f47PIU1+NCpjderFiiNj1nggYrjc
KlqU71XTNGE10q44oCaxtloiCPnlwOebHfMb/GgfLIUGv+S2h5xTclCS9efDPD8Poi8DXKAy4Lsq
qC+aNTNpBrWkaxinGFB/2ZRP4WSbzGg4LqsoFnTVauiPGATZAPEG7sJyQTMny3CT93F3wotebRO7
yG46HpCHue+bG3tklZZL/Uj0VHebaGp7KnXEVs5BkyHSpom0yBBNz17KSQmmUb4xTbheL+r22R4V
tGfR1AUN0o0gVTPnIJzmyJDM3I7TfzwqRv6Dteqc48GBv7eG5dp2ivpga+74ksBHgEEPlr2dZ02y
GjkNzgbzujekmMtozvg552buo/wnm0bo+bYtQZJqs20fCCGZtlM3pDc5So+zlFFmbicKgw9zwxmz
xNq10SerOLruHEkIUS15xCBpboxemXwmwDdh1dZhWUVOM07eYxFqVudNpY3LM5ywrfP/XJOGwP7K
KYYhYI2r6bM8PyjKnN63leyD0daGjV5JlIpFG/5wrDzejM2tVhsbJ8HWFMWnOREQL0mB5VIdq7sZ
hPGHsErw6AlqTXqZBQgcLghOyVqyD0h15qtIiHqbl3npkXwCiKS4hs8LGwjGYUg/uVb/jttBP7up
LQ+tvTDaa0p6Qyh/fljodMPS4RY7Tu1MI3PWYkEMVYVshzY/py0FTmpbQ4k79Yw2huohYzs7QK8e
Hdr9qQO3DLQuxNeHt9LKvd6Z4RGs5W1Q+G8l6y/z4jGDGbGpRdn2S8VEHMtEwg3E/Qv6cN6e9pLt
umyuTmbZfYM8SZ6iagDnoZUMtkWQC9upU5ASlHpd2ybovzKoAckNuGniikghMyXIx8Fjc5bK17n9
0vkJmUU75KQYAZs4fnJ0eac0lMVx/BmKsLhOlh5pYJwHKPmq5zJu9W+Y6bOHqG7r3eJG8UFqxXjs
tT6+cUfpXDE7AO7xCRYIkdwkGqCyab2fO4Kt4MO/VGgSn0qd+Wdp9402UmFQpSUlhngKIIvs6UyM
k0EzSvi1mae3sNXlq9I4oZ9qK5kIVOncKIhKkJGaOqwfXSI1XLGPbSA/gBWPR9WOZ4irnmN/W/YL
OUems2tIcNA80QapIKw3sNJBfHEGtKWFwVzgMabgS2jcBH7bVUxISjfUt9A64joe5ugYWcq7JEJ4
hxP1R4TAiFQihC18hPAnQhq5nZRoQNfW9L6Y8WfPdv1zHjh6WrENwB2tmtRctfe5lG4wkNl0FLxh
+KkTC3GcJh4dwUF8tKbvFtMbGfSRONKznmAZLo1rJXabk2LN5WbRDYo/q3HYyHZ0r2hg5nDv1q03
mjgoZ6FkgP8YOgtDghd3Sxp90glwMUlQUafjz1tb72EacX5dTBIkXpp9SUjlmdVU2xt+lz+/hz/7
+5cSf0IGW4Ce6pznZxewS+7+/PdXK8Uvbyx6lrFr2qu9kLcEk9jFaz5xwzZMGWTuTFofuzjamUZ/
zEmCh7oovQZOs2Sb//trkrFNr4XAR8X89fEtuTRj2ERWp92JOLanDXq05VYNy+QhMqT92jlW+9RQ
woSMAGL1k2t/dK9gD2OUWd0fVAtqhktYycdrq0qYrRlq7k1NeNG4oemnyz4ZLteP/99bul5CVynM
ZkoTpEmKf2xDvwwBxC+E2kys1A0u/um9WYKw3fSfzWefXeRi0liKvDJCnYsY1MfVAfS9nvhmGvz5
l/rsKherG/woT7NidOmn8pfxJhS+QBDZ/5ULkRvmOrgoDe4YNZa6UC/WIIK1ZTaGOOFlm/TbaBrr
m3Qeok9W+uV3cR1N4KPUDSyojGeXv3ybaS3lwPVyB8kckcIzZ7ssacqtijziqBA2+clK+ziBOrQI
6TbWvdWdvJqUL62u2hgR8Uwc5LmKv6BCX8YXtwV7vBPtS5iUyD8/86N9/ILryIsFkvy89WKOiVv0
49LOuoXw0bkUEN3xBglapwZqgiBR+bst6bfrXLizRlxCYA+VuDaWwblNFmfekFUWfvubpff7t7lw
CvdOXiGc5ttIAi/ITWvfKFtRiLb782Uu91cyY1Ezra19aJzQk6439ZeHlYSeOpdN3D4kJjl6U+1r
jfPJ8r74XThj2vx5DUcZDnWSXcTHS2DFCcmMz8MHeHaQYcDR2QZC/mTX+bixYanX2E4FPnT2HtO0
L1ujSyNWQrWuKtKsglWJYgfzZybbdQH9d2NbL6ETpIRN1EKGy698sRvgqzZ0KLr6PmQqS0j1DeNj
M+1T/m0k3urvfhguRpD76hXHa7h6+z/eNb3uc8ORfXUvvkGuN09//dfZBDCkcgIgd9a82HKUUe/c
JVSL+0I9cERS/w4A4E7hd6UygB8eEyo9Fx8/vGlOBpkUpnI/jK6XnPFwfHJ3fv+16YImZsHAfEZu
q3nxrNfJmA9GqJn32zl7VmMdxU35d056OGKKUAgIogXFXKeEi8c8hj/RyfppzvYwI2rZDPjbOIb8
5e8gWFJ4RShWYOfiSh9vVE2JBP2HSXt2dla6AbX///35i6e7dTOD2GL+vD5s7V0stn/+85dPNoET
4DD81gyAOlvuxS0i1CxMVDHKs2qOG+Lg6kHFbfBcoLn/84X+sRJ/ePTWajqcsAYrFrjqstSzlKVo
syXTzzSA6xxStGNjYno0OzSpVV/crjJDaIRT2+L9WyZGj/EZV9Tf4U4sCRvVCOVnwE42M+/FU5NJ
wyzaehruo32o7Erlb5+a9c+ze/E4rrEEl4CgptQxuilzuBfq8t2U5gtJSH++j5e7/foFSMlnn2fy
I/Dg4gvkWltHg3D6+8ye9l8VmIU///31B//wM/3zvPOGZC0b66z5cTlP44R8mW3rISdaTumyE+RZ
gJ3IJ3iHENJqEylQbX++5oW9/rdB4zLyAsVwGo+iLEjTaogIMNKrxrW8eo7fs7FFeihhqxCsHZWq
PRWyP39y+fWe/fc7/9/l8cE7PAREgV48wrOedAggI1jAujnydnjpF0T+6GyGJEmCYQgtsBeMbLO0
jlafPioQS598hH8btdjGmezZcUmCuZgVkqzRtQ4S6ywU/WZSuushT9GIiOWnUy0vTCu+5cbfp6m5
rujlNZskJc/XRg2Tfk8Va9+kq0hVI3bR8TXRnBAEf7IP/esHJG+ZDYMxV71MVeuHCN8oToJzXvAI
LxOSC7qQOwNFVYmJyarmoLG6N/wan8we/7o4IOi0dSunsM65+HVa2RILm+bFmYDobTvDDJScSgDa
C/OJJ0wfvjntlTJ9slFc7Ff/WRS/XvZi453hduJGsihCYwJT2tfD6zR+m6OzGbtBMr2EIQ7a9hal
Dj7U+JOn/J+upssl+evVL96ORKZUWNyK4qxkcKnYY0+5TVRxXOCksorXwcK021Ei5I0x3gm0CW+Q
uz+IIH6gC97neLetF/tKYuJiFzoYKiTxpEn8EvXbGDcKIgX1zgSd22p9SUUS12iW4s5ZJRygmTvC
6HzeqM52HvqfVYFRyiwj8gXwYgLFaiXWIMXapCUO9NXHRI/ZxliWF0wvJ3rfcZ+MEk9nGxRVvJ1p
A9d1FkzELkKg/L4PJUixnj/lYfRolepdmEkfp/rkYTxCvjQHmiyPTq1tjLl+GC1361aoSqbSWbyx
sLKNJHiWNwi2VmzEfmgWgHcaqZeV2DWW+DHUxne8Xlhfx458UxKIgdcSdKkIXxBdR9FjnbS9n7bi
i9ZGJ9shwFMCarvPlrGKeUlHlguP+4jw0o9GDb3VQNmt8Tgp41WZ1psKuaU/4PGWbXT/yUbw8YX8
v8sOPof5i0FVXD5n7ANgk6CJZxqd7qCQiTRzJ4mOSTlOkSB3Go9Ugb/JWnZ6upzIwX6Kk9HXkCVA
tn0ve+WMw+WzHXLd9T8uR6SusE3/TGukhVxsT3oFIZ0YlTxn9bvJAZDfyUC/omhPdbp1kVMo8/du
eNSJ1Z8/LSX/+EpabwmyJ8g1QtPXRpPLW6KiphusOWNGGZTytCAG2+qKaDZJR+JwTADtzwYp1Ovi
dpg/7EbedvnyirgiPi6aqm6UXLeOPYHtt01NxwWvr+5owD0Qg5r173/++fSPjOD/flaDcZkgGoby
y7AJBz8GCk2zOjfuIRnek+oL3RzXrpuiN7gj8D1I++tI/YZ21avqG91WXxvSD82lvGqm25BEFAw3
ge58LzMUfuXPaWJhKg3PLjbqHG6RaIlIv6LkBVA8u3PTv0pG+c/Hh5Fei5Uxq/6GBSZpJKHUaH1f
jO4UztldlhBDP0LofrLB/cuuzpy0Fh1BMxLOcTmIkfeoNQLN4JnsdLGSNfE7yp183yn2+1ROxW3i
GtN1aqEDQJKOzSCZjE9m339ZVzRUrVlbTFLAXBejlGUnBVUUrTwn9fM8mvdlsaDCoYjB3rv5m6Hm
n7zkf3+F8pV5fwLcmBBrzsVDpKhRpZqUkpyj0rXejHGhI9IgEDCyu3hvVpN4KrKmRHOr4XigVi/4
89r8169Laz2cogoXd5nIpKg9qsG6lJwkVJzccJteVJX3SVcU3jCrByMqg961dn++6sd59Z8V5QiD
Yid7fSJ0cfGlW5VuCGVZb3JMuGkLQmFPfz8hcGP/e41/HspfEJDEDqWyDJ08G2LnIqXoZmLkzWdk
zBjqpoD6rFJLDnP/WR3lOnlc7IqgpDRJ0ewEcHU5N0pdw3UdOtxRzX0cHA212fBEocUnt1D7/TqM
4xYwPSQpePMl7kc2fV+J0m7OrWbetmH5pFQDWul8H4H64PMJCHh6JG/jQE3KthoXJui1mgeHrlvI
+zH7rNBqHT4+fu+Pn2ddab/c73yUVH04TsNEdmu27E6sHOTWlKY02zF7/PMC+v2FuF7MhsIEKMCn
djH+TaQSLfjisKQlyUGt0Lf33WFxij16+0/OIf9yKY2AH4DHFYak9Pbj90ooIIlmlGznPkkfLLNy
z5km3W2Uip9RONufPI//8qtyNep1iXDS17Dfj1cjM7jXUip0uRrDlmy3ql1uCvHJpvP7U89RFNwO
hFpFafGbkMPFJtjFU3uWZrNpi/8h7DyaJFXSLPqLMEM4aguEzkitN1hKNDiO5tfPiZ7FTNdr61o+
e1WVGQE4n7j33OEDrv/JtjxOgWKT990VFpW/nKv/fOQvPxLQ0uWhZ1b9xyOvLcotZ4MfWayTCUnD
0E56q00v//2++I8/BXwhTZNOsMOfD5/lg1rGMsxgRNZ39SgeLCv9y3f3Z8QrlYfNxJ0BD+JkYjP/
MaOyMoENbGW2U/0qswnbaUFI/D17tIASncMcifqOyFCISOlf7o7/9PH+/4/+4xkj5BlGvHe5bp3c
t0aP2nDEPfTfv8P/cAteJiG8/UD4mLT8/34L1hIfFRJ3+9YdxxYAk+WccatXp5X0kb9UFv98tqjc
4NhBU2Sg+I/LpeWj3y1Ont0Ntrty4yHrJsVbjxbW2JFsi/Uvh+YfZxQKOEIoPQtxlG4yKvnz2CgS
5tlDMy534yWrQCM7ZLcOOmzgknQRH/kOTUVn/WWV+o8firqYtRlGbBgBF7Tev3+fcWmWeJ4G986L
u2EbGz4NT7oUp9Ge3O3M93ssJq342116+Vf/33EMVFVn+niZpYIGYhn/xwlptYxOylnX7ky03gdd
GZd0blAQQ2MAFuoS40Zzs+mFhhJuEqXy0Uu6ogrVWBSvq1tgyzTTNQ/9YSrvMgkoo8KycLsmGZXK
3KTHBinBf7/v/ri5TRRzTJgoky8Zhfz2f3xPc575KrEr/n0QQ066G82H//4D/rjb/vgBVPn/fiEE
5mNvdKh1Eoccmwo5YsbmWShIXX8DhP7xDP3vj0JextCP0RnX4N9/FK9aFDut0dw1KwaGLxKHqvlv
K9//+HH+72f8OfQbuwI8C2rjO0w7QryAYkA3Q/TJX44DJir/uIMvV+b/ftKfNaqrzw7xZ1Zzp5Oi
hd7a967LnPyquWUN0GEqOkzcbtcFxvhTJ8wPJtMaWTEIfuxW5ZGEucVQir8APo/s19ZAYlx1F0Vw
yRR7L6w+waQpNFKIegGrJ6m938yonX0zuW/QH9gDy/Wn0DSX7OrEifKlbe1oSF2GwsSY9OBGTH9f
VyVIQpUUmxTv0VZdog45Qi6i/NQgG8pwg8Se+kBhD8Ny+FQi4ljA+kU4buUOofKX16sU36jRhEmb
vSPM+Z7wFmzyue03RO2BwOpg5GTr5PwggaNZIwwqmhlu76oCsB3Bqibknjy9W+flWK/Vfup6PfQA
FGhYEGAHOJ3phU1ai3BqB/k46Gjlz+AIMhhWCnkQ9hQwDJkgwc2EBmIWBJT4RltHrg2VgfOaRFIB
paYw53jv2Lkks6v8sqpEbLAAuG8uhlQ4tEWzq1tyyhKNmGoK8BaiPfFko95PUedV5qbLOHX0ooCQ
QijIRnN6+76zxu6kSwyc9UAFAClHHgog+AGp1WJvGHHz5vZJt7MnkhxdE9ek3yCb91LLPdbG4Edr
WWobhRE1ci2s6bEa3zuROGFtD8ZvLIBOmMqenpbWMTFCL/MAQAuE1CIUb03iGxPC92JMNJ5VbLJx
IEipTQwIxMR7BojO7F3SAjby/bp/anpHREVVx8D0gHVdlVNqXplJ9dsaRKMxLPEO4zA2AWprZ6vW
HIxijZcd74oJUJKnf8q8+T0bfdBBGKE3uhc7m6XOrL0UeAERnqtzVnjesZpUv7f9hVUtq04upWOc
0qT95L5wt6W5WG8J2XObwoRwNA6Je2hRtwZJv5SbXC3f5nSa4JmP9fLYujEUqZShmUzT8TqOZbyz
8zgn4mG19ySgfyMh13DQelwPr24jB04DpOoSyppEzrgjIDjfeISjHzoHkdUkkeFmV2NxzNoAKjwm
kqFyycAxTOJbsmRPlrjYx80AzwuoBQr70sJ/NYkitIrhV03ae7vYtHzKjXcEnZvXnaiY+nWSAMJs
cV9hySxOQFgMvuCMXXUxq3XXlYo4O6szLnGAYBmyVLutp8Y7oefpt72dz0Ft4l8Yhmw+TQBu0E8C
yevTNjl3rvjRfB25u9fbodHizxpLzNdk4b3PpI2FDJrrsEb9vS3Z+QZxb8wHI6tmXpfkORHTMx66
2Ijv42TNDp1sAP/PbXPjL1hp/RU6JrZFgIw1QHnNxF4vyIRE8D0nm6rMCC0ltuk661OSA3DV7LzU
/nIgZ+LRQwRXtN4n7MQLQF6I0CtMPCxVTH/RSHXCbs5LT0/OE4iLA5GizFtxgjICSW89fZyjtPHq
56Ry3MDiP7eWGIhJAlq3HXOi3pGcrYwnNbx6eYyPSpvMrbx4bW1Zy6gdyPjMfCzZmXmxK87Yg6ry
wrGrGEyhsk2uHP4zzDqYSOnQZKDWlPxKNJy4gL/AKwpXYzgxtEvY2y4qfKcOku4SPuB5hPT1SRla
vVejpC1m5P8OmEnPIy9hTJoo7XUH703fnZw4Iz5LAV+aknZ4SBiQbfuL83aQa3NMPfTkYw32wWnW
Ftf9ymS/aOOAPxHfGiskHz2Vb/mQWWGxJAAkukzwKyv6PwuYFqyKHogcuvE0BSWT+0R9ECHgb5oM
Dd8KYWxbaUXLmLUWn1U862GLfyok8PVdYQINRVZ8T3X3IzH4sFvIv0dbe7HkAH9xtr7quIrBzvFB
R9aHAdfnyyYwCNldLENjGEC2WnkerVCu0XbK9IGusghiF6pM3WuPiqi9QGudEu1hisyw0lfkqqC7
kr7iuakUPk6vtnYOFIlgaikcRiESdi4wj+qRzNgAjEH3xB/kSSyzGW9vpugLODGeMrfDO2S35bNb
VU8Oas2XYdCq04Rl77isTXJKIMu32GJBSw0Xnat74SxgS9O+ROL5UVVjYcRqiPDTT9B3+hp2Jtr9
iMQx51gn7o/w0GKtuHivOteHPDZ1WkARrDMDJ7FJ02nxEjWyXXVkvjMnITZjXsHL4DnZQkpw7vPB
mHYIjLoz8LP+WkqRH1XF2XspaK+olAvCCNMJW6v9yyEko5EkD447Um1Gh2BnpGf5Vo7+sgPtMm9T
FkXc2tPA8AinGMYx7JzCWkLetevRHIcpWrvOfJB56oxIlYcBcjbYyl2GMBuPkJ8/i7jjrW6S+vSl
SaAmAaAvTF1C8WXqU3KXzxcsrzni2PNZcvmN9+HnhIrBxYQB4q+I9sumAGtEWEdg4qUEDSoKsqjd
V7ez3+xheF5sqDDKKrN72JYFXgZqQHukZHCI6Q1g7KhTOWjJrZ3BHPAx+IZ9Z9GSzwXelymeL0ge
VWFFygxh7WNSaddoSWx1rKVg94I8BwNYktyYXDV2DSDi3aIm64YSd9uXWI/qC70HDn4Z0GfFQclW
KXTdAQJKWpdBSYTKcXbFvDWVRdAj3rzrsRCsGhMBkTYWP1XLtqvDlHjU+77fkGbqvcaQp+DrVc2+
tNmG4BOwth7EhYjlu/naAVODfISWDM/Naj+ui4fveRA5/pnEGO8r+ETc83p9NgTGhUkrf+XKAZnm
yBU73VHwVrXsZm2QXFf2WOzZjKw3kj09/9vqkivhTIi1sYCelsvYFP5UEvHGix+6vhS7xO7ErtdB
gJUY1HEjDfK5bhlYDVXrhfyqxpYcYiRENQ7KsNF6BZx59G/wonMfL63/5SmsDp7SjAhOm38LR9fb
CH1CMD2TPZuUFE9Am1OMrvLZrLX+w8F9iDerWCqYi2tlY7lcOezNYoBgICb9zmjb+DEeElgjQzvv
itqIo8Svl42TsFTz65VTOfYIc7G1atit/ZI8EoZa3KsZ5eBkSY+nkh1SWsXuQSZjvKGdlI/iYtEE
Xe5teo0TCDATW8HZyrfIkb1d5ul5lLcjfl+f+XY+eA9O3UGdiqkh08mbGvKg2h8LFxEUznJCH4vv
vjScH12wAmtrStpOseXTeQcnQUnA4CeUVps0TaRkKEHFNstXEqeWVd3o/Yj+OPf5wKi7m+qUZ0b/
2PrLh9PpHSXQ8L3M8NGW2VLnUZl6VOjG92xfrtzMfM2RJva5ySPjBsQFQI8l3c8zmx4WUjgpPM52
2abGdcpCJtBqTlSvz9atVDYbAnyyW7EY80M8LzLUUp7ItCyfJjTwIDfyPqpbw9mQOplV2y+pp486
cllQx/Tm+FGW3dQSAjTBoQj0eRp2KLFx2uRLwQrHMbaA2uYNKLgSk0BcbpCOYR3rEog0HsXvabEN
+oa87I9ZVrb3dlvl+3Z2rBAQ1XSGXd1/8GUvO+KHsbNNIO83ufuvLrnt+NhzeSI+KcflXMSPWMtx
umNR3NW0sDAUPcC01B4GjoJUnczcGF76xgPriqY58mXtndGyJ1t7pWaypNPfQsiiCdDB278T+SeK
baGW6U4CryCubhnbN4KCrubZfrfyabK+c2FNxqPd9hlxeoRTlfsMRFu8tXXVvOOyvdyMJGdjm7As
vO32uGmd/hKoU9t+WA4zsFJBfPj83IFFOjsTr+XRIYm4wtp/sHtMo5Xrp7dFLZyN78lmX6yZE9iG
9lZ2fRFUbeZv17ayPorWoG/xKuLZeRtM0MCy+uIPzHWqKF/PAuw5PfHdMPvDsreKA7OCZTNWeXpr
SMKJMAco9yHNfOCWSjyMEz6WJGXzxVnv3ToZBpyYKOSgVS3OK8jhbv+G1BA9JLsO7yip/A7WqGXb
FrLEIS9Zu2uU1FFpdTLKxukbGIkdLmmHnr8rAHoJ4KMMtQiVrKh5dKfwcbhK65BL98VH/bPVPcWn
nxT+Wk6zoE7jtzLu61AUwgQWa+ZRMV3OQfykgSTalo7JAyA1L+mZLEMInKYbV9cVjKo88gHOUdV7
Gr+pUVLDACzhuLTz5QwCBmybkdvr2TPkbdGWbwMMt/3k4MUMBguXpVb6Cn4C9B3yWlWUwiHYoB6s
tmAseTVA2sUQyd2JjTZ9pgxgcASY9NtJk/nL1ePxdmFXv+cfmKHl9Ok1bEYkbclqG4Cf3THmQDCa
177CqWrWngXvaHb35ppagRZD+6LkGA9mNrg3Rax4yOsLcHEkdgG0V1tFqlsA8Hixf8PcCnaa3b0l
rvujlQwcTTqQ40xQ24tvetpOLVrz4S8xkAe2WBHeAhmmPfgLrUp7LJCxxtrTwjjKgRDaWqvtMcgx
+2LZF+jA6KM2TtSVM2GN0C0ivzyUKoGkqTeDvKHGA1+o7cQ0EcvlgHS71bvZC2D2mBsjhitkJ/ka
VAXEQ4LWGHNZJE5C6iENN61//ASQiGxAhxt1IoKayi3KBH6VPM2WKMXqgyFKE1HjD+utaS/mYc0A
PoLrW86JVTj0GL5kdKbUTtgyuVKdjem+sj3Af9lwU1T2QJicObwDSvdOzpxr1xM+Rq5UNm4rMP+v
KcfMCTxBEeVzASSW28m8paiFvtGkcO/Il32A9PYzTkod0n4k87sr1yszfRjKLTF/eUjrw6UwC+ON
4nXkfKHmkZrdh6RnsyPupbshjDOLzMQkBLuXtHwYZYsoS9Mi0hfPfxWNgzXdhq3wucbuB66q6Skx
6+bQ2xphAHq1NNmBlQacIrs1oNV7ae/8poU9Hwo1W1E85+Wm1NkwSxmjlzBwuG6qpWuuu978dixL
O4LZmwMSY00sFjj6eK4yWAUjz/1KgAN8Cee9dtx+b5UNAxJXGJR+CoN5Y7FhrHOWcziTn319eXEx
I1FXLcD+Okl1p5Xazh3I8CuqGVxeTbWKDgskUtHg5SGpgOcOuArG3w5EwnrH6GJEoYZUhFWzc2ON
OO4yl0Vf3pIZkFXklWYiTvZeS0huanruAx+KKHSX2zLzUA110ztIMvx6Apu2TgEVMMMFFNKPw2Yq
KvEyZDLbLH1pvfepaV77eWFmQdsl3u/al6SrcZqeRoHmpuw70EF6/IJ5DHVEqpGyxzEa9QLmWl0q
c9/5YxJht/0kNX3cgL7Bze1ZnJtIHbe578Y44uTnDBfsidESKBsy07YM6KG1CS7xsizivnbTpzWf
yJfUdBhNltfgSl+qiJmjhWtw+JnIoQslgcr7dFAE4pZcPT0dzEOz2N29PdaESNuNe4KjnF67oly3
VeEVmxX6MfNayccwLh2/9uY3VnODyJAqta8VQz3B2CKJeSztL94qP0S1QL9CBBGKBdN8r80Yzibb
j5yLVCjJMpeXJ1T51pmaGzfTsDLWUBlq+CH8fk5KfobZbhLd/2Bx3G61oZ5pDO3uYx2ZPqIWpazq
pq0pmuqainB8mWvIWZaK04CGsYFlaKsd2cHFBU9CQ7BKp3gjPi3Z1vVoROZiVxtaGUIL9AVLu+zL
nOxaGOuJa/6C+kBdJ9c1lK0NyE54v1LqLdzlsjhy1tpntEN1JPoJQVSSWOq+rYaZ3p2g91QqAfMW
Y8nWwxYcagC8txJXY2Dl1Sfq15THVn2nM7QZEAeGdXRq7n5Ck78utv4g1SWzOUDSlNLkP/wUMT61
prONmwpb/waENoM4MVrR0F9gorl35RLvfbQQYR59j0OBidZA2lHhwacAbMH2G6CXlmrP5dLpd6Nl
pHeqs+qzX3juKzZJJlN0pAFfLtT3FdAByBh7L9xuuXhmrQ1M+GojHMiOukmlpiWDCRer6aq3vnfi
EzRCtU8JO9zHRpfeAmvsoprYw93MZQmHfDJP1silSZyEQ1xv7U0zAdaq4nzdNTmBXyb4Azh+Bt5S
CwQ8aXTN7l9ZIirptmTHf2jp4DJwlbNz6CeRbrGcQJ+iYtsaHYSGTmrTni0cXC0v5XKUE8klmXAO
E+HUnsweW/Lg0ch1w6YUPc2YnuYH1uLttQ8O/Wgymj2tgE95pShD/I6lK98cr3+NZZmeDGhgu6KD
iDRn+XfSzRO/PgNfsV6yC+N+wCubdTEMGWeOWHoyomolsGq30G8Az/N829AOlsTXN1Vj9XseTmtL
2InABGjKo6bm+sGMc/d1Xr1Pt565X3TOG1ykPQn2YKBmrfYOwm4bzpK2fuw0r4tMQUGh1+QtGYWW
vY2m218RSFqGdqYBSaboC7WV3M1clvgRK00+rVlP5AITCeDxTh/HD1wMg46vlD4hoNAZXEMCZHaQ
/hmdY78tqz0ebQ4MmIWzCQ9a6dMTrzpxmeiaB8QW+k0qGUpQAo37ZXQvGEdekbCl2XYKCDCVpO63
mbV/5yhbzIB5HMV1moBfqYey+mXkiiDMU5zIyzA7Z480p3sqcBVZduE8zwKVdA7GhJTHmJQSYmq3
ONsAPwju7Bs1a2WUuHPD3KJXoRcvM5Ed/WifB4cp3GqCNCQo9RVXKqqAuf3BbDntyfmBsjJPPfII
HUvTlsUE+J9J1lvLsNKzqZoJXqwLGdkHta6wg7w4i3hleaZTqMl3u0g7kAQtPT8Mm/4gWoSeGsG1
ZhwP31blGwlTXFywbDBlf/R8wFQ1HgecSr16NSsTMo6qumjEi23Wrxek39Q9mI3g1dDX9q/HoX/l
VtMbik15JMsHDD8zJkaXb1mF6HhOiPdhZNCH5PfQSRIVs4GJzPlL3fuWu5CyiLBnSN67+cNoNIrV
QMtYQdXuNs7rdD9Jw2TtgBaEgJbq2DksWHnk7BTx4+A0oNMG/yR9Q77Zq1Qx5PXO3C4iexr8lPbE
mt5SeaGAC76/kDeAePCYEsBQJns7Qo6/Qr+uKgH+ubLiQM/je5lO0zkluzTfMIduu6cMJfWwzXvV
P1mmGEK9y3yISh3pB21q6UcYpt5hBgX7Eiu9i3hs2UA6XXxIFobFpp8+s0HQw9pLCEMhW24XQwzY
09jEBzwCRmTnCcnNDelA5OX1oZZ05S4fJiZ3/thcsLd21Hrys9Lrz6KpjBAEKYZ822WydhppJNWm
jIfb0oNGOXhwr8lxyemWUnPTgn1irFt8DgbH4iir8pLSzBJFH9z4pdWXhiJ69ts98RYbP39nbtbE
V3U9uNYZhvWEdnTss2ynWAFfr7h7ETyJbIekjnhnsDtEoSoGXJVBcoCjOd9rAQS4xsiD+7/5isvk
Mo18Vi9VfnLarfFw+QAonqOm2TrOSYBPg/0PZUvMcBJ4iwT5aj+0LQiLJiYGxrBaY+cYsHF7lkgg
qIB2V7WEaSA4JhY59EcXKfuajFqw5MUTBoDLoE0Z27z07Htiqz4X0zgtRfG48sDvdMSMpJwwiy/B
y5PmdhbTYhBN1JEGomc/gJqxbLgnd7yt8B7aAC4ZcpqVQ8lelfHrSjV2Niv2O6G7aOmvFNPwmDte
924ApIv8BbgC7m9j5f3u5WJDgPx45+rWevTM7N2zuudE6nDiS5ATvTEy/XI16O9zo7jAdRb60F4f
iadH5iXg1d0MUp9OooHaxkh4CppMw0SmMYiuM8YRQ90kTH17RTw1TSkoJtYjFixPa4SHDxRiCsqa
PKHSYKLPnKhks8EpvPBthWKCMTVKcyQWYci2ALrQKHcVeSxLnYJvZUJD8ghvNeEOj93MHqXNUvdU
5ssb57m5c1l1hBx7+g1Y9jyKEceENRpkhwcfczj9NTumlJ78Q2DmY0FoXuY+vHuCshq7nwqjSWAV
XrNpOmo18AtkUU3Jz+zO6YZErrXesN54bTl/QhYrEK3i+YOABiiETIZYwuiUJICht6YmaAkzOevf
htZ1J9kDxMhJ4AkSZjeBGkn+ZfAE651BwZ21NP19nqWovUfdsO5ds6opjVfZhks9vVscU1EJcTyE
jfRBzjr7VtNpF2a0gwC8nYsPM/GMM/ua5mxzlPCL2J8NrfApT5wF0qwtWJj4SLI7I8WkbbCRreKC
zrx805OkBeKf+0dGzp99OjDs9bzLhjLGIZIbXbxEZT/2Dy3QZxA1hYJzBs0yK4mQtt0kfRxlMtzU
lfoAhG9uROsjPcx5VVPHEa8L1XaE2+uqheXL8CIqwhKAcVZnbVCVPFVmUZ11NkguyvJ+BvM75tti
JNFLg1bAqz2tr8Z4ju8kM3xgfjW1oj70TxNu+sjKtRlevbykSJjPjWCkt5j4+wfbzo+r6xdHR7+U
24prwSKV3tlM2m2bFGmk/L7fqtFVexY1pGm1dbql5oCk0fgmJ1+tBz5j9SjO7VeSVZ8J5/N4qLt0
s2axuSfly977s0n9Fvezt2VFudyPFgqv3p2sAwCNeTN1XXXVzAr8Z+etESKaBUopNLfCSnzC0hwE
sMKZz9rqeyc34W+Qk/zedHAX58JgD6CbZM53ingYkttD+l7OTAi6d6mhUhXpsaP8QOlFclYg1tnJ
uGbAGh0mdxffcpgIUrJi4+gYZbEfe5HtLwxgmhsyIY3cp0EgiWRTzBCs0cKTs7owwQImhYzTRmCA
Ul+xASQYy07bN2EYdZBdMqZmprjbPmEmPuaw4n3qlGAsZHU0KYzYbiRFOBttd5pxuJx0OzM/CtKw
+CPI1ScF1Qwwa7P3cPLdGdRnuyQf7grSWHe505J+IUrj3OcX0bawxgjO6npCPi2OjmPLg9BwOjRe
TKCZytR7mmVyw3SuDAWVaLj6lcnrhfcAURgF4Tj6+GCNLGQAynQnUg4UON++29j1ylmSGsi6DZsY
OLn2fNKF7Ci/WNe97yfOZhxFupvKiRXz+rK2o9qTU9Js3FEM9xzWC+si/I05xtO9ZcTZlTSVPAGM
gSdpje2dtHOPrdYyUOStbGPbJL/p1PQgKDz32mwxFOs1QbzgZTst9A/bV915EVgrard3Dt1iLg9y
HJg2UWCELkVNDRXNSvPqRqUOj4U/fWeAS16TqXbSYLngLZyCc0FOyXc1Ls628LKY7nkqWGrr/IXx
AkOsJ3FHQ5F89LZV7wi4I3WpL1jqJoRhF7k7XqMdBu6vtzrvs7hFw5X4RyKt/COvZPOQFLlE71vB
6ZEFYQi8lteuWHbE0KmIGr8leVpO59qoij2HyHApE7WQpCBK5UFb9oYmayQNDvXx0kDUnpY0cHL7
qZSDv2PFo47S6S7Jcq1O9ztiwnB6uKGxD1GmiUMtm+ZrOScN4O8LedzyG6KK/F+CLb8UPQn76S/b
IsDJ8bTyZbJEcTcuyxTqKhk2Fi/hG0JlxaYYWe2adlIfc7+wjwDnsl1eFU+5cEsaUUM/dbY58wX0
sGjqAqgMGxvWTWjanAlJHdur5WDacfJSJMt33bdvWGrS0KACCKumY2I2UgqwE6T105RNFq+tULS4
+k0SI1n23aLbNvZqBsThmFHGSXSuyy4NimVhQe7MT2NTdjvNT8neYXd6PTlxBY3b0J7JsjqgxLxe
GiPbsgm4Jl3T266j/T6afRrZC29az+AWB3mXXvlc1R19mnHtQzK8Q7tahGKGIkU0sb+Nh9L7pmAz
4Jq6DfuiAoSS5qnD0kHbsRb7HUaS3KMvRU7ix0Cmh9kKanrjbUoiKo+C9e5hyWULqFpQtpferNVf
VzFlV34dD0eaGhwNLMOzADvJhAKN6UCG5j40RM3tInPrjri44mxIQKJrikFoTdN2Y2SSzMhGGTfm
ZXXg13SHAnVcYDskLWJlru6cxPFgMUwvLSV7BJZSIQq4hDEZnb1fY5/1u6OJ3xh/7OVBQGji5s8Q
WcdwdbVv29FdsJryzZ8h3KTTMJwLTu59rvFpEosBkOzEMzqC9OJJWvcrYb2hs1Z33rT2Lw6/WcRw
iguum/FJIwQyKvr0DQUPMGhhP5pj5kZGkk6PXuO6fAgIxnbBbAkYVX+QvbtuO9BFXj8+NzG7xHwi
HspQQwZIx/cj1h5x6Kmx2vip0R/MoexvBz3ud12R1Y8g0qyIdB0zNBKb1EWwgXUYt5Pzbpt6tx+9
xXpNIIo8adJLQH02RCqyNfGwg5U2tS1SqY7WauOlzAqX9lIRKQc2vXSGO2XV6/04jviLmEURvHCh
6hrF2XLa7oN0tPqKsZRgxe/GjzCjeHTbCWxmUocTLQO7TbZgNJ9K/yo6j44H59Tn2sfta2l4635O
c3drpRbTRTaPjSbCxkecBVqFev2nb6aXVEseiSAjo+Oiz5lLxoGwizw0aM707CX8BACNzabtWCDS
Hg2RwLp7Y+eT+tT7dnw2dDqfnG43KJsZSKQOYMroect2nqZf0ywmxAQMbjgUE3BcUCWR7w7GJvER
H8xxnQAsc8xHY7B+dNvPkfcTqDybVh4aRhvf+biegs5uDELisUX2DgsMciQI8jGpetCegndmXbE3
LMkyXxvzGyueuOFyqpOuUvkQjBDfX5FBmdtsdJ+8zjHvLSHNPZ0X6hynaDngJW8Wz46v4rxdt8tU
5WTGxA8Z1NITq8LqqbeRVdSLV14ZzhFVFLlKhZa/kA/ihrJxiTdt6H6Eh5iMBYV+bxXvKGUZ59yB
UqMcCBUPq87wOYPOVLD0n57zamsgJ2J/eG7rr9HIr+N1AYZ8S+Y2jn7dPDGmIXuauiX5BkbPq5LR
bwkp77LT987D8oSQcWs7ai+cRxJuSCvjobQfpHGy7Su3vknSo5ftgUhnrJB0ILu+t7dbqrwrIjRi
Qk38qqb9EUGVvQqCoCyNr3e/lnun+vbdO9quINPpHLorBpHGSiukn3pGn/WwyRQvFRhPXK2P2r1r
9CeLnqq+SbNd51LE2oelIR6o/KmmfckQqtNCs2NB1VwtTJWygzHf9gyZBjaM5dizFGEex6tN9b9A
xKgRfjotAheuhqu5+h7wQJrx9Zp8GZUiFotAHR+1Sqq2SfOYiFetvTJkfrBZVDvizm39LW+9qya+
qGuajeSbhxAdEUp60oft3H0vzC/sAhkjfZU+PS9MprpkM43IC2iMQN7VTLbLaW/kR7GcvJRdqygj
W+z18q6WjzWPjqLRPns9g34AoWNfRtIiKN0Lvd6LmvH7ctWc9Jcmk/RRnM0rCRwb27tp1IvOeZnI
4liYu8k4kQp0qEpQqTTRnAyD/pWnZE0iQjXgNi8QAKeHOMG6NAAInr85gYIK0uPALE7Io5p474Df
LzCs6/Vz4xwcJhEkZwZZPAWtdUxRGnHH8B6J+K2LdNsatxp5uuItaW5L49Cn3xe2POaicLL5As+a
SbDU2a8u2683ZiyTe+eDqelsIuC/hPG4zM9YoALWHJ04x95OssZC3q4hxul3OfqZyt70xneJSrHi
rQroPFs1ks3OTXydCTK00GoVZ4/3uEOGlej0dtvQ7sLfR/tVNZpigzuKp3S06wPT3Q+zMItrGJsb
d6W7Ks4TedEe4XwUX72akUKJW4/48coivbkkwpdDB5q6cxWb7SmFcmmU+9Ktg4lgNrh0JDmQ6wNM
CHEuy6WqiNz5bBE3JTjy/Kex5eT12auVDFLjQIxPkMojiERhSzWYF7uMvfKEqwwV635JMmyMDzP5
X9XZIVpnpsG3u9ccbjjIFfa7nnUuICT5BUy3/saen3T/vo13OQLMVf4yn9xp6llf703/KVG7tfyd
SKBggdW0xsV2vtfHHDXa7pJtYtpQ65e3rH3KSHkc9X2czAdn0sMC6Ubb4Jj1gfQztKdYYINwWFDd
CORvPtkFqn7ojOfOorzU9tS2h8a8BGoQHpL9iMFnY18REoArj6xQOdZB5XzO0A+r/Grlag0ZWhBG
Oksc2nXJPOl/SDqv5UaVLQw/EVXEBm4FKFuWsz03lCOxyU16+vNpn7tdu6Y8Ggu61/qjdkVUFBJ4
OTsy9P0fyvq4fq+u+EH8FyQp6fsu+YEA7qu5UyRf5Ry3C5z84aaChJuU6Z2/GEwkHIg8AyxNoVZW
UdZrryPyM2J8N178UDjXOS32hfXPRNS+VMQQA74mzb96TNBnPROteLsK5xsEYFthqaEEaDY+RTR5
yUQqDaQpz3TT6myKtFhUy51Nr6SFNWKO3xwfZUYaH2PCld14M2Q/rkahihVp+amlPsy7ZXWOV4OE
wrGDCYcwYmTl3G9DauJPHU1aC9WIqRMm1mtVU4jOb2Rm4UEQUAtyg7aQnnxhzyLpcTteCCm2se4m
3r/BvMlQ50uxDKHU4q9+bMIihWSo7sRy0OSbmr4dfb/InZGTO0m0p/9ZO1eMwEFGpnBhEY8qjh17
YuXsKpqiJtq6CgP37wP3akbSohOUkxbM7vfKmTu1313x7Dpn1ouN03wk6gMpWeSgGkDBgOTysuZo
2PeTdufNe5zlg8f7cFV0c8l3rf4AtQobmx3X/dT6p4Q3Zci2Uu7M/LUfv92q2S1IbBEboG97sknQ
adEXVpqi8zjnyCacTn7aydXtSVOtD/AzuPmf+uZt8U6Saof/3Mq0+7D+8YNRMY5fjXO9tSj62t4R
j+X8B/lR9z/oa/dklrM/y41u/siFykh/t7TnvOXy5BQfiMR2kSla+W6VzwocJVvvhXPldtsyTwdk
G8R/LZDJH4HGdA7/DmSjJK/5+KAv7xKViDGcNIasxPWH/U1YjDwj40QSJDHnCJciGq+GY0lz045v
fyBdtaYH3hLpqbXK64Q7ii8+3TK/BGJ6GCeUgwqMUF4MHwQyx4v2mk0Ugjrf7vzbI0DJyRV3ZqKg
1+TWGRXxMARL/qvBO3gUOw1oq6fUDlGQLo62A1ykp+QNSVkk4vVC99BuncV9TEs3vHZkFHjUUTmV
Qn0shrXtk4P03uELWKXLrXTe0vhXXAayCXW57z+9Qzvci4b/cWJX3oxyN8DIrWNymNKDoEahIdA5
Xc83Pc+4vFicqoXkzLgdEPaP5J6ikZxgqasr8YZRN1c/etR2NAVf8geHmE/jIGF3VVGGgvpmzhbP
wH2zfiTOU6/Ouf9LzUI5HpP5THXhRgx3tzcNRpqX6OAzcZuXrHmMTQh5x42oYOOn/dZltDDlgZVM
/ZcPIgaJwtXTBV1CEnb2mRd3DdoDYg9WESnvTXMupnm/GIeuZ5XV9/bsbkeuDcs7Ghp8RL+184uA
I5nWB8Sp6NIvS/e4TJ+uwRPzUWb/tJTSeQ9BPYVBjXan2hD2PyJJNNDHj8k9rfWVhM0aYrBJz1NG
8eYn2I9WzXuyV2X7rFuoLj919yTsx3h6ocKoTg6rs+3SkyTUat0RCxDY8uIDzNbTfZlfbZS22fCv
zAYegpPjvYzObuYWyxKMKi+O+ZzkVzWe9YTGelRSw3sujkRCqNVjXokyDKo8ocTIPvomhafEXW7F
6PA+vq/Gva8iFrnQGb65j+C6ySKkNi7+nQX9OtXZoyHZKSla0MuoIzCWPd8eHtKCkFOT/OPc3hj6
VrRYZNBFxVzO+q2Q7E5SxpXUB+U+5vp0Hs1/iYp3pekDVdNa1l3YaALhduw91WaEwZj1HaZCmhqb
iDGdgRnsmg1AEzpdzKwl6YVuk43LBexVjzieEZ++UMHNaZcfZ8Lyy/47QzUtK4Lcq4M0ftPR3bTm
W84BYOo5/s88AJOWDPAzbGIy/aolDbVswcK73Oe9JAUEFBdQTfLPN/pXMt76Zjoo/4qhgpEg2a70
tC1MHLMbuSThNuLJFOU2m/pHlVAasNqcMknYxR+zg2h/eombuzJ2Aq2lBQyoanX+xl6Ga/o0NZ9x
SkIJks6c86AGwuy0MNPve9+5rn5xHhqaUW1urERuiMDCvmEGE0XEvokuUXDiKfOlLXma65I8++Tb
tmCs8t92rOAikOwjp+FGpIdeHUdMbVDbnLlE/QM4V/zICm1LTA+wC3iUd0/j+E7NmxjuCcZHfMGJ
HW+76seCYCdDFsrzr/YioeydEcekSeds4u0hddV2NH7atiP6mXbCW06Pkt2hAQLV8eWQKo6eV3vX
8vlQV+qA1AR0dU7+unjneXsDdZtGn9Eyc5Glz4tJnnDdRQB/5wH78c5dHeT0f41HlWf3Ogjr1Sza
z1UXm5LCa9v6aeVf6rgnh6aMhOgNWb5PXcaGjt4NFhCueR2pELw2Ghdv+pr5L6lpRKpD07t+zehC
4udq+fNbashw2xgfiqhcxSdO9/Z6uDV5L2yJpfiXUOrahfmq70d3PCvxPLVbkTGrED+TaxsDSpiN
R+9+qLNU7adjPbQ0gkO3pfOprbelca9cgpEPjmtQbRHiwohQTwQDM6Kosp2ik3NC1WfqD0N3Uvap
gxYX6Y+0nGAGQh60gwlT2gDk5saL696NmrFD+LnR2aVImCA0mm8etwrKgCC7bWQAN+p1tijNUDS0
lg+z90Pl2NdKv4YtbaJ0L7X1jFB1k9UzuM8vZ7wdXzrtZLgHme9UQWconw3a3FkffedPUfoMC1B2
W5m+TW5MkiinETako8ZTBGNA7ckZ/tlyfqukQSn6DF2SoXPDuEJQS17+6fOd3j47aFWrs5HzcOIT
TPSLaJB97btbeYp3anp2H+c8yj9LiDCh5KQDr8qehYJtol+iaa+xeCkmJxiXy9DG0P2MZW8Gyq+F
XBAXoJ2ljwegj+9cUqbr6kmOr1r75HWP07Ibuwd6KQPQXzD0o1PyB5pr13+YbDC2f+oz/VCDZhQL
ExA+Q1m+UtB7P2eXRjvhCKSi/bF0T1K858TPr8sQuIL6V6q8UgKa6dNbDXh57HcW4KpkpU6Z6/T8
b6Reo1H7pLnLKc7MatZcbu+q+vGp2aBAfZcZO2oVLZO6eJK5kyVsc8odk2avsteRMg2cbZDX39n0
6Q/8C1EdaNZ7ZX613bhLrSW09AONEWi6eI5XTz0ojeZhUlhFjWCDmPGhq7AJjtuVKiHR4r+wKcwq
pi8bYd+iFyQsqTOuriNwQ7zByvdK5UiwclKjpS6OsQ+2r3kXDIPBWlTnsl7gy3E5gvdQBpMtkTn2
x57oLn4fLuIGr7gVcHVXi7AXZWjY4dpIxjj7WzsoEv3P65AkmXNERviHn2AeAoutqJcfZbVDWHF0
h2U/0E+j33RNFIyhjR9IqC9MHZH0+m3E5n2HDp1cdFYwf2f1A2XstyaRMWwre98uvOzuMh28OnlX
c/1u29reX8fIE/q5rulhbdYAOGwjlvIKnhlZ43wE4/9wGBCFPx4nK3+gQTGcpmWbNRSYm25NsJMg
GFo/DJ52lkVySi1tW8H+b2AzfjtNbJWcH5NFh8iHsJrMYHX6Q89bk/no5qX1gfKFWYKmG27jbpMV
WkBaz5PtogBLxaGy2n9z4SEQr0kM8Ev/SOM31aploCtr02pWtBLtHhCIjb3vb5EPQ/8k7JERea02
pn/b5sp36KHrlBVbY8Yq4C7HdU32qOGupa8FmeXvqs6AqaQ6x+jvKgm9V0HSq24/x/HVzEYyV0hc
U2t/Uas8VdpI63cVxjpdTIDL1CafPA7oTbLGVxSFdzNBPlXivJnNsBm5NIfCxOmHLsdMTtiTQrXk
LwaxWLO5vvRrH/n8GR11pFqSwJ/zyObgaOlzXJcVgQ49PYmPvmLdaY5x7mu5t3reUySVE0W2nedG
UJcfrebti3q664w5qPFX9vTjwWpS4Uw/9ytq/r3o5kfgyLdpVEe7iEO61aiXpCiYfBTWntteO9XM
dj2wPLVA3lIj4bXvdfWjYofsFG2fcZ+kuhM5UM6U4YEV6VsU7Q+awxUseHuHZT2lJdN7gQduEMbV
0sdI/NfjRGSf3Yeoy4I07fZtP9BbNeyUPtNbRJkdDB8dtwfXrEOB/c8qbu8Pn52LGT3zr08J3mS4
x95YQ5KaLqJmYhvN6WkERBrcZptoYHI6yM/szGEJCA809asv/mNGYlHgjNSpM8P9djXftyejxuGK
QmLbmojOLEZImpzp9LbjJSLcFHEN2o9pyA/FVIZ+Vx50vcLdme/aufqAVS7pQk8T/jXatuugYm6a
Q7OicoDOntCdZpIA4y20sR0pXPdpnhD5X9OaFnMbCPZSU2SnwpsoJEp28TjTfO5riIraqJybU51w
lnvri43ydRwYiFvqC+i5g/4ab33HPmigrncn9EWHYiHeFStf7KcsJNTd1+sB5ZBiraOHV1hPNOmF
1FXdUxVVEtO/7mSXvLU8vHRFkHyjHirLJabPlg1tG/mTNbwWI1tejyXeEDgD+XVyZLTNkzMUH/ki
0ALSWu9U+1kmdGYwWamGsQ5DKALICtGZDGdIpdgozx1sWDNwJDP98Hjk3B+tau4XVJN9ykthVIGH
CgIBK6ZtJOArp3ycUXbGm9C0DBgsOE6XHqt42ORxE1Y13DbuBprpkEQ2QVdzERFthuwacL6J0s7b
mwCsxDVG+ThHxeBuzMLaUZURmk51Ycw84vJl02IoHrQgITfLM7GudwKvEE5LFxNkVoGH2ZSMQhAg
NsjrwCkxZA3t0acatb7tbClVyNLo9zZTb6fkHz0atNRZ67sxQbeNy93IZrgCyzYuqmePdFmUxt5A
KHfFiSnwDlWqANkzcfkREX9n+h462xZ0pT71LIR9XQaGNm05GQ435fnSd6GJNs+fytdG5Uc153qA
XvZ+TWM63Wz5WDvIFFFRsBniXMvt6r03bFQhGGhiC01sbuh37QhY7vFB6Y7hjwzQs4xkt5LtdIct
K5pymN+VbxFgFGtSGMdzQPTY1ordjRIeagJ6GUuBhYzy3wlpuAskXzQWmAl+VL7PBYlTNuXTBqEX
X86tyn2No4Z4rnKdZCA0B1wjl6HAmdx0OtcupqHUC1FsBcl829fbwKqqs+7hMjY4Weq+QqxkUvAt
fiysJcFS2EFqIwDQPZTTXKU6zYClwKzf9781g3jD59XWiS+0Oc2ii+JVjyzgvcaw7gyg/5YS9U0y
khqadOapstdnK7f2qLt3lM88kef5ACtMKziO5FnslBbNfg0mmk/7lH7qZBA7jFIhPrIo9vMHfWBU
hYf0cAYSwvHgSu2jmdCIejB/hr6ycGDDECnMsR9SxRvYzHCp0h59i/Vtqg4DEzt9mHRROjOtBDTY
9x1WZ9Pd+fOXze010rbaY47s0ejSHj7KcBCYHfi/BpVe2cAobCcr2nf7eyGkC8H9J88eByzeYRv1
8eAO7yVKR6vM7ycAumGmvXWp8HYlp6xrd/j4oXiGQMzFvW3XB0Nhh6vHnSnyR7zf4KGwsxD3B12Y
B8P2/1qR0ftbYL5Jq6eabNEbxW7pPpgML8XsDwcFXS5j+1obQ4h9nk/ZSwpLURtaHEiO+75oAPFD
716YPT4mpIRUjI6APIiyitsPrEyIJf+taOLzqnCmTQOqyjR59qv5bigVzkHE/05De4Na+BVZY70D
YobWyLAJUmCb5VAMXA42xkSE1zdCRYuyEYfjPNX0yS4fZk41tjci6nFc4vNwbptBVipG6EE/UnkC
FRA3JDE46Lk7GNYoHWY6xRCuxSyppr/ub9LNxe3vKKzeEV50ctWi9lBsP95sbZ0sP8+gjNI2oyYR
b3oyblXc2ZdpqoEPPUIsap+dxgtdOOVY0H00kojptl6Y3FZHubDL40nVWSdE11/aMmYDN85Wk/3V
lvfre+tdR8JnQyuebffMhdVx6ki78KxgNtOjQ2fSTQ3DzBsuHoK0GwgEpiQAYgyzAzOZ143lJJSW
AsDXGje2B5ALQJncLkMNt03Gump3C+IjKrfbImWUo5YvFyRlyDaJEDVsZ5P+74biSWj77VhCvPaY
yau5qw92agcmaQrt7DB028ArxCWsFpj4MO7cskJjqZCc55UtI0UCzKO24M3PcdNd6kaQJkrfCGuS
/uDzgjal7OjA9W400Wg+GF7deFu6ToedzFLsnGPpfee996V3un/RnRYOwiCC7HW1oLFM59z3udu9
1Og+3sjKKXfTwm0wOQpptEAtZJFquo9d+ng2bV185pSk3tcCGRj5BaTN7uI0qc62IgoQJ4PGtuO8
q9FuT7TnfK9Fr3ZYDDMM45XADdcVdBum8T3pyVg7kzWdeYNSE0EeQJ5JUoXuvTZNZ74bS+JdTXuR
RaDmztzZYNqB5tG6alQgDsUY58fRdI6NTxqG3WGmXs3J+K8hc4/PRd615IDs+tXG44btcg8TO0Rt
4aJZ6hHtzQJL8YAlEvEQHibMaf2dNH/Jikdlm9OTY3mu+UntKKqtEU180gxwfXkSH/uMpV4WasaG
6ptQT5ioH1GmpYe8w2MARpK1oLFt/qwK1T3I3kHMj7x2vs988GPi9YlwMbHrPOTEcHjElyTTdWoy
91tIh5SSRQF7etTVFiMtyoZjx1Qy9Rpa7Gl5gvrfJgmdm+7iEvHQ09k0UD8CKjVO8tsz1nWrcr49
vSS+A3fSp5q1KUEb1QPujIQNYKMMczqIoBXnpef4XNIHdx3qv2Id2HGzumILtU3hI8R2CRrBL2wu
zwViiWhS+pOcp59G7/Jj5Rh30ikJ5khd5sG8Kgi6v923g4fJ2CFc5epnjbtzjAF7ZDcZ79DP/jMK
5fmVlBdyy+mL4KVYxlPXd+M2oeHppPtCvQy9CRXsy/XAHomvB1nWA8+Kfa1IIYhq3Wx/dASTu3ad
x30FdUososh4V/IYeqdLLEb0ydJ+XFGVB6PAhKsy9gpsBf899hV5FBxrRd5iWm51/r5m+i50slD8
mZRia7GeMq81yW5BQcLs0hTaEbGKDjjdA1g7ieSQMgCFwQPLVzy0N/HnWjlbJHPZGVmMGdJjpI5N
RXgKtOgwH0ZTIvsQSr2M84gzw/fAAHW/fqHZkPF01DijC6wt+qbMbbxzOaZ3lIy9jSTEGXb1jeZp
Jt/98rOujG4GMLIAxhZHYkH2qegZy8rGmQEyEibqLPUCAvcnAFuOn4rUqif+Co4nEwa81qW6mITp
cIDONy5aJLjsABZ2/Zj9Ej6dIW+egIWqwses0MJ/pa3kv9aGMsmy5tMYVu+R/0pzaikXrtyepIcl
RXXrAYfmuVruNcreMgD0o8omit66W3oUedu5y2Th+s2+qYtvK16fZTHjY7kbM3H1UkLgsGQSx+HP
C0o/pDX7pKs5ys3mKWeOorop5SiVnj3dO7FTPRSz5XEhkYvPRmrHB2pTb5kShvOizQpUkzLTrRPz
my5iH29IL5br4EpazOrRQ7QLxBDOJq3FPiusYv59LxajxmhpjofphfSAdNzy0btD1q8trz/4KxOh
qkNJFRoVtWXyY/nJP+aT9c6Yq/q9BBiyl5ekbAC8401KqEZMngHO8iTAcsoBJ+P4r6Pa9FFXXvw7
LMJIIMXj7ODG3n3MHfg0TXZ3sjVkhVKjUY2AN5/z5HZelKsRzU4W9PFusRhpbQ8Hatn148FBxLlR
CZXlIVNP7gR6OvkGectKqKjvSnIMMLs2ewtDUUAWLhDrkiwwJHmrdzhwgVrz2UTrCHBF/2CSbvla
k4NGeTnFWVzMVm7wAK6a4Zwm4hyQPbEpnMvuXXbvW/wj4RRX6V1royU2mc9WL4agHQleJlxf3xSD
xtAs2vVdW6G77UmzeCacf8vM0zKYWTQSoYQylqWFsOYYKF8DQ5tmBj3SuKGL6z5oOzve9VpnA/zk
7VYtPcEhrRczbkyGZOxGczVkBs4VWTLW4Z9gQMfbR7K4Tl5VGgt8uKh9eOv1Yos+lvdHSZxE8Nyb
zsy4iGjWRRVNcbRKdHYYyYScaO7niushLHVFl3hBzwITHGNq4dughUPcB022kE+kY6+Ifcy36Oza
oE+7BOGCeEhwjSRB2qCXUN2AVaSo8pq6qTjuwnFt7ppp+NWJ5R0fBRMZEoQ4v3aTVR76zoYkwqlk
g6KnFwRuNvuEZk5/kmucpC/L/KLS8QcIy4+aSbJaMekXgR/D+vnJeBzdLxrL0BbI1myIOTA1lLVE
EHOby7eqdcwH/A3qHceRHkwkJaA6MP8NQ51bUVZOBkPfQOBYQpbZAcJgOHgrahubcNZrexM95iYA
lcteE7lDIbdlwg2MMQuDst3717Y0ETD2xqks5v4el0CDtDJrAWyEhsemKd+9tSSTx2s+2VoVmqSk
aHjtmUpcckPswC97TmMvT4s7cgqYP/QSiYNjL/fNKv5ild3mWmf+Rtv70yyIn+bWvfeFNt/FaYyh
1/DZkly9HYeIHDs7IY5B9Dwbt34nPwfUn2dxY8t9Td9bdW58okOnElIkBEcvvrzioXTOUpHXsJn8
KYX/NGfnVaKBjRzjBoBRgqzdmSm6R2+ieZskIehh3BJBrhNXcK6FyP2HLPHhqm0aIJdEAPBrcCSC
PJZk9j/aAbkm2RSIsJ3sPgHVbpURJOZ7PLBGALLEdQo1MPvmL82gj0SBPba2Ahxsxqs1aeeqK9rX
OHZyJA8tgIAarWcLxTUMSD/+SLPX4Yztl2mg+7py5SvtAumdnSbqxWH/YIefAWotzOn0VD8sDYVB
lfNcevinbDyTXN+copu1bd+GfBYXmTP52UIjxigjUaew6+mjtVClfmPHeV6xCMp7vSlf2+RmE1tc
6Kxq0gwX3TtFR0QkyaBVK8SAx03hgUxs5Dj8lZUkpCOvAKOQBwkHCrolgIp3JU/UGDSWRgaDzmMa
74yMBl2Kam0E/bQPbaYB+/TIPBq0rVbtRKb+OaSV7MjP8E/LkNyqFHzEC3ZOYFuXAhwubEcBKV1E
pvWWuVdWjXw/G/3aCOdcWgYcq20QmZ/3fzSMy6gsRjIaVgTX5ep+ZyBx26rOPpqmwlGysPg0pbZu
crJZArW4LeDBCtfhkXgRVUsqvxupy0/y0W4i7gJUMrI7GDM3cZHhC7vhvDYX2EdLuc2jYeYGW72e
tivhavkzcAYbJ7cXcoSext2sTsd2r02+s2xVV9jUn3qzcaAhcuLtjw1Uht0SE6STIBB/ZfcQh65p
CJYYDDSDcz1XkSHGdIeeVifDkcLeq5FM6rvk1S4izdPepkV8yQKml9C4akuaNlFR7uj8jlap6qAy
p/tp7MdXx/BRPYsefVSW3lIESFhlPeyfoW+fdTySlE5pLoYkc9i2JTQ+I3eKyUF/tVKqSPYIR2wK
UL3f0eNyYNFxo1GyOW9bwpgOlrPiAC69Rd73C9hb6/o9f8hhc7LgxekmzO/Son9YO+x9zHAmA1nR
2g+SiEDo1kWHJ2Vm2hSVIgAAQwb0E98JVZUyzPrBBT9pXxYxeQ8a9SPbMR3lKRbKjBhoWnBOouM9
h5D8jWun/raN/e63uIWyITthUBxd7arIk/ohGGs+D7Y9niyz7w6zckGDY6/6EvZqh5rUB1YQXZ15
u+qgtHnMiMOa9gI90t3oi/aQeZl3KDtKZz07x7g6DTVomWHDb8zVfTdxqsgRXA2E0rphxdiNOpJI
QPE0dJ23M4N4p/Gd/BoRFK5yLnVlth+F3vfHtvOLh37O4zvTGvM33aW715w0FUxFtmzHpYBuIsrq
6EJjMA8qO8V90i1H29G/V8RpGqlvG70mOF3mvnYYsZrv7cRUkQMoFuSu1exBRtApmDonucdHi1PL
PE5VJj6V3hrB4mRTaBJzEOpa/lL8X9GFMhDTAr49yi5UNGca0JpvxFtjNH5XNbyLBcO9nuvLPw/E
5mTNOLch4Osj4fbF06ojpdPLeT6j4BZDgBMFurmXz6uTDZwmQJO2hnpME/lXY3cMRsxam94f7D93
cHgdmZ4D+tCXRwxcZjDDT20wmRkbOHygVXnM/OWWGKQ1wVzQnJyjreTcX6c06hVHLs0cHU21+Ib6
pDG23uwboa7DqKp+achGALpykLNIZ4h48Qn5iBv31LmG+TeZmJv7WbEODZm2bjPG7p+CDKbr4usI
1dKWqZ/UnrOajWup27+ElPWbLh0gphhtfeaFQhCxdsuymd3Ehn1otafGLZywEDPumNiqaJmaTOF9
CtWkr8wY/jvmwn8Zefjoqydreuukne9qDDS4/LARg/+09VvaDj0EXVEEPTmkWzUa4i8Tj3Zd7GPh
TA9tSVDkViaQgo2fcEuYS3dsLS0nFEDXMFwyY5OkVr7bU0tIRI1XAlhxyd5o51lYOzBC0m6taLRf
QW9uaaknoVVgKCmqJqZsVmxwkmOlVR8E6xUhdcHPZa+9GT5dKoioxzP5VN0Lmuf+AgFtYT1MQKyM
Ij75WPkwDLbJN5ANhfY6lhSvibvvdiFDxKSQeqNYFj/qetUBrCZwlbVzzjxeDZEW1m/Zdk7ArCb3
qbRX8+SYST38zK4msqjOvf6s3MQAXTezU4dg60gKyLSTo5jQMOXVsxwwkboltbxdvoAv6Ys5MuNi
W4oDn9Xa2lfk5mLwlgXqDVCVsdx2kvM1cuzZuyR9PgFEG9aptbE8LjJe9isK+CcbhhShfV9u6Tei
pAWbwdkoVkjMXNSh6WsG/QY+Kadllkbl2mjh6rqTC56kI3LvlsbauJ4glanQHeS1i/c2ZCDvhWkl
RVhZ66u1WhBGZEZZwKNxgs5zQX7UxE2xHwzjs0i5mJZmgWno22WF6Myb7n0tMoV83qyRCsg5pfmz
UUQ2uYZ19YxuBGQ37UtKf/JDrBO+NI9IYmYF90aA1xrJtO92+ZTc/gb/xR3K4cs0wNf6HhuAicYs
hCCQwaBsP5JrUf7QL9ydiyaPyYuLy0kEvQXv17nCuF/txsPM3TnbZsi9qGRdO8omHWD6IKB6UTEZ
pIZzoSHHf2h1R4W+GEi518DnJsR5S0bo6byW6wspu/V+rSfjaliaCHwvH654s6ttY64yWHqDMkOW
z6ARdvxVjkwb4JLMCqul7/C+ItboOeKzPCNtq0IfF5NcuCu92iDbHCQdzzj6LGrTKOlxGNj66XPK
++Y+r6TzTXAAYW0O0L0k1HHlI8PsrXOr7dLeTQPBuBDi2x9DMRvybm0WhApWweNEfiH13SORMgUx
9dtqMTLM60kcDq5IXqwc9o1LQ7Ne9U6TGNcH7UzdKmM9V8MOiK7ezb0ut9lcGVfeghvbBIopUxBQ
gs7oHxilT1KQ+qfa2NtoOM12wLdlZOhZ+ja7i36UuuqepeIJQWEhkVMKasU1DU60tHUNtWbaEHhK
urFHrAmpshBgRdX9M9Ks/ZkWOT+BvSvq7OlDaxPZXKpx/taFSC5MEZLnCgWz37Utpqi12vuima5r
U4kTTmAC8qAcQzE4RMtYSYVbEEPc6HGsNx38Rj22dF4ncHF+BsaVDbRfl3WPG6cl8BcJ3zqhPyYb
mdxh2p+rZbMQ5bBNel42A4g+NDqdkbJIbg8wB9mygF0MmGrW9yJR9kufMqhR+eQG1TgI0h09f1s6
ttzrAFWbPFveGDvBv1mEyeIQOjgFnSiha5vNyzwX3EyMKZA/JL9goJ93NiGJfymyMewsU7zXJc5R
R6K5G8n1APRnnzEyYvJtUUyA3X62hQmzdmpKGTD5Ku9v59bGxWO5qbhuo4p6BIzHNdFUqvu36Chx
Mye+xAIbe7xUedgRLIVSJf3LGFU3wpjflxExcdfF1j6dyhempCHwdO2ptBjYNnKy2zclSiQ+xmSc
VdH92jRrkJGAvf7ONTHIeosmL6aF6XOg4fLeJZn+vW1KUGnbQhTXGFBbafYrVw9CmGq414YbJDSp
vTjoi60dkthmdYZtjTrdJijPdeWRfD5EI+mamLd7jQvLmT39i9UV9MjSUKbMg2VGGs9HkAoGttY2
xM6rWYAnyxhfk7yKL16vunOdVWPEQoSKb5LZE0QGzvEONXBGSHG6WXFBbdYu+/JlVp/GuitPyDD4
6EQnsfInyKJrNRjnsmiAVbyB5CgrIa6QkcAun0gcs/ZqrYwHmB/03H2F+mzEmIBC5/Y9JEbO9LEO
Tg+82lr/nEmvLjxzRC2k6S/ZGQjVMos4n9hCCpHV1NNl2WCFvQVUCshBuN6AkcZpNHPj2RWTOdnR
sSetaMaAvRtbOqOStoNXdWvAdLNqYYZu9WCqt8hhNM3TqqOosVK0xug1kX4NNRYL5EibmfCsnbkO
jyXwCWiIfJqVfS1V0kR6nUw7Qj31T/cmICfey7+9PcyNttMhyHX0OzFqX0Y5ddust+eWUNemi/Lc
GI/Ejkwk3+efGKzjQEod5a7p4dpNWn3r++1ySlcbWGEkq4hsuXHbKlNn2yIK11XpJ6k2cpsgpyDc
rJjPdVWzWAw+AiaN0T9M7YY5Xkc54QtT7rK1d6NkKbthiwwNMvp/pJ3Xct3Kdq5f5ZSvD6oAdANo
XPhmZgYFUCIp6galiJwznt4fluvYJDgPZ0nL2161a8t7tgB0GP2PP8zuuBW2xqXRhK+l6pHW5dje
uChip1s15Rh5+dINl60/+RiC8X8PrPkegAq5V0PldFMWhUkwXtpiW067FDI/joDNycTE7JfRtKEX
2Up99EOYwzUBSh9IQVssqdDQcx4lMah4PBUFNHU4uqiNUNGEC5G8hdvxky6x9d7Px/CDoVAA5uDH
mJhgwWWW6S89pKMKWI2Ejz42LfEAUWU2y4eKMLdTiGPJESEsqn470PEbIXh1KLE+tYOZOxSV+VEz
Uf80BlAtXFl7J0XwbeCOfpJ9OXgh9ki7uEYHoXVVtB3YlbfJ6No3fU4KlDPmjwEhoofARdabTMWA
MihU+9aYxOe6ILO8HSiuDK1ND+Y0LNRLPmsmi6c4UJCAlcZ87llSwmh+cpuliTqbaGjiGTkpDiWf
zL51Wdv6IkKAd8/6wKdoaHo0G5Q9lgQsTn3MTbNWtFh5WI17ZYGhwxLNHLycAvognwWa+H7fzNH0
BR1Hs3UbZM34KPYb315cyo2JWq9WcChESZEzpAm1YzvE164Yp63Mu095BeDUpVSszqDR+cUn6mQ6
vbodJBqAjSwqem9V0TBp4sAcaWjXuj3dZJGJRWw/xp/9MvvJBox7eW4vbaAivusmf/xkZV3BrhQj
11QOjHA7NL9MGK7dynFKKOzh9rhU63hMhtF9XsX4789wN3xnDA+hDngvbV+H0zGL4gj3gMpeub8C
J/vWcrvkpRjRcSYQ4aYcK0IKB4c6r6wxkg1xvePoiyADgDHq9wFGFFDVoPTqGGUDlc7BToy2oTYx
PYVdUM0RGLImWgDUKjO2uuCVtbNjfkLIadyJLIboIfidOPoKVuByi876XTr4VATYC8FeLfzTjIQA
ji+MubEEsdN8+htxTwtX99mw00g7ZV0dfk01my4B6NjJ1Mb62k2dYge/At50jonjdZoZLceq1o58
GkpaDAuTW2I6YaT0jXXgJZFzaLm/yE6F+F0F7k0qau7YrBkcw8uZK3ekAdq6ac2x7+MFHvgIU0Gu
++km7Sus86MiOBpcvA7T1ANXjsHiATIS7uTbcYUXd9DspWiKY6xi69Mg7PTTFAWYKThlvHhUiI3V
IKwMBjo7HRWKY3KzD2vzqScJ78OEfSy22QYKY19ybgl5GOSVb/4aQKl3et/ZuO3ZgfEpGMPmwVAJ
DEwEPGDlTQtk1PBUjQblQW+7+rqWWvxZKmpksxU2CEnX7escOpkm4vSXr8WJV7QBVp2c399UhEA1
6bka4g4+bkHGkWXJxsQ+d8LLWkHry3tbHMH+KYxrXCMx9Rnp9cWjh1W0ca3ZVvvNryxrsRQb64+9
gReIppJma6TlT6AF8avvDLZzum1724y5MyuMGmYtga6BVgDli7Q3fsXl2OjC7JudJmLfDWP7Je+4
VGBAQo09qB8Gzo7EYvriQAkBo0VZNbB8M3ZeWDnRTdGBkhpQ00bRLxIWMYTsOkbypGjgc2GHm9BO
lfaxClX2IVV25ZkAWCCoCwJsSBQ99gzrcpxsyPBJRNgCTvnIPgYnPyjB5Y9WW0dQxeDsQt2c37sW
pQTqQPCdAHuTQrJbdRXeDBhcdSboXjz+gk2en5TWOgfEw9MR48H61FdkB+iwsb6l5jDMEK1lcyrY
MXZybthP5ZjcTgOcj0k3iNqN8aH3K1K10hTsUsDmeMdtGZf6AcUNjlTsfoXxi9KHIs1Kl2O4rq8b
jYJiJjxuj00k+ZgGLhR3cR5wt3PK8KOBrBwPfmzarjoRq2PnDBlydbs6+tXcYrfhTN9qUiAOaOLZ
L/ABZPtHukp3oH1IwwnrLJnZoP+LloTy4GTQVvo8tlDF9UGf341VS/wneadHTF6xANY5fgfD1N6b
SvYHrl7maajb8Hvpz83JMrpsOxfj994iVq8tsuh3js8e/MaxORjxUB4G4mUPFggX/lWBOBgz5NxM
UuBmGP8fJNkbsFDhoIWF0chjOgEvxpF5HHHg3kwCNXYfWFgsxH67n0XjwCclHKNoe/tLXQ5Ac8tm
O6Hhu+qF5l+rEcx7E43110ST6qucajqHhV0WV3j91jvbtPgeOAUEwVPWLebJlZ3vaTv4JydGY+MT
h7LPyUvGDcLRTkkYxPso6DQ21yDfiwkacmWq363UMIBarL9Ad7DrCRNcS4yYk32uwAhx1+DfAi3Q
2Wy0u0Av5M2S7ntnVlm4x3E92SA0gZfQWcaVn9CvG2xTeXRySNBR9hOVhXmL7792Y2MlSJGCp9RW
YKS8Qxj8i27cQpeyHWcb6Q5eS01BSkeSdHg+Jm58lVqwtVM802z3BqIlwrY0Tr84uYb1YuGXhHmh
tAkxebnRkrJ8tDpsZmwEZvuO6fRBUAJdx2j+t7UNAyWN4+CdQwfqdmDqc0i1AzwH2P95Mu+yvsAq
MLS+0w8SHxGZ/4DcBx5HfPGxH+x2VwXCPrpc/65JmzBulDk1B87f8pjObH5xnbvoO7MBkrKMDlHS
uE9038YN90h9U2XQfF2bgIp8ipttVAOZMAG3uJWBl2RwJ0v8QTa0XOLvgK14IEH6f0eJmGy5jaMy
I816OxYFHEutB8hXuVwqOeczRgAoIfAJwmoOx0NELOEiQp/CY2gPZDXGebGNbe0Hh3wksRNjYxri
WR5i3wluYbXC+5vBRtmNIdIahTyYevYI4BXsK4DE7dSbGgWnFt2A3IX7SXMomLJS/z2H7n2NxOXe
TjWWlI/BtOd0o/4OLXF9cNOImgppG8J5QeouJsWb2YG/R7iY2tUzJJowG61TYEIlCTBOqHHycOi3
vhfYJTwaAT7R3Er6G1NndszFXO7CeMbFK0QdmOvBHb4jp5lUPBRaFf05MkCpwaYU8Au9oqnl6THJ
UFJTGqAJaDR936S4/4aOPmwLPdevAHgxoUij8kZ32Ie27pKrI4bJ+aDpMIBaECGMvxDsJIVzHMbG
eI+xpdoEWfgrK1N8f+jb3eK3PW8jA5zAtaPi5NLCOMGvxdDAoK45ZCYOAWOUPzQ5/XF23vBK4J/o
wOyfqJ5LHC03o2qd3UAmzV7kVfQo84nkD1BDiJpg+NdKs8QjvCbr0CzlRd/35bE1QZ+BxOTNjH78
FGPEdchGyLNR1OOzMcAYHmVWPCSRk99pFkJb7s4TRC3Q7yQtP7vTaB7YLvCAo/NyahPd8dJQKw7Q
N5wHmJwYeKSKThSMBFqdhYFelQbNmHa4yGO7fNATHDw2I33SnVq6QvbsihkT1wTOcm5UUDsaF9BZ
tRwSMEiXvEJdu5dJhklFGtb3WjZijUWP8D0G0bzrtsw87Nsx45DYRzZz2ex8aygxANfB35M6vfXT
cv5cUIndkjf9ccCkYhfn3S92F+7KbtBRGGIL75NkgpEI5a4FvWdjUzGSkAHMjPca4ARJGW3aX5U4
BN76GfBNXQFO8jJhGo/CgD7c6kcstb+EivNhk3chRscQv/y0L/WdYyW/MfwsbqNSddRDSX1sGli7
2HEY3hgM31CTfG2wtbga5nB6aAHLd/Rj+8MUYFwX5a1LaRDa7+ioFcfG77mjII/GSYF8nIDUo3+Y
WMiiMWRzAS+2eMm4myShqZiVdrEVjV3hMcxZVBPb/oPY7Oy2UhG9w57CVtfn8B2Xu4prCmS3u1Il
2VH1rtz5EzjRYODxUfYi/gS9b9gO7G9UzbB8+kKN2HKCZzZ5BAW88J3b0SwRyCa3c+U1OjYnOPbr
T1bZWd8jc/HOctAC2fisbGOsTt8Z/uBs7S6ZDvns2welu/VjPDRgCg5XZIKY8YO3wvEWhrnxg10A
kWmjj/QI8/EJ03T5DuNGDlQzaJDm0H5Ocze7hS+aUV0VVCBVqf1gK6bqwnoEVYbuHsnkdm5o8CV7
cxS4JdUBflE+iEqc+NHBqKKe2MXF6DLpYUBDdsPNWgBp9WX3EEHnetQp3ODdIi51elCrjesTPhSX
XXhPL9inNE+Tu4EUEc/Fgh5m/dR+gdZtHrBb42JiS2g2/CN+GBwhTxaMiKuqA7TcJiA2UN/TFP5r
lNbVbZXkFbhJlV2xZc33pii1a5O+/TGtOvYZKhajo3yCCMMVMXYQ2vn6N7xpHuEEeB3e7Vj4AzKl
7n053BcO4J4BkvOhGh11E0Aw33Yt5Dm6riFTpSh+xMaY7pMgKYhCdhbFOMF+d+5c6Fdm1pGdAGB7
FGYSfTYXCZjuGOEtoFnyKxM0oXVIY+/1AnJpbXTj3m3H9IYLR/FxHjN50Eg3O2DIQh6BnTxEmqiK
bXOKC4Jc8IlzwWoVEDspKDsrwDn5lKm9gOAor8LsHXpVjEg6n9ZI2ZpoOmLACIXDz2KJ0j5E/WKr
obA2rYcMNgncTloBUPdGEc246tfFnp0k2rc59El0GtaBuUAWJKmah7wWNdz6wp9/+EUqmQILoSOP
quugCWKorRrO7Dr/Gc7I0rPmWdCUHYudK1v3qASfy65xINB9rLzw9XkAY9a/kWJkney4uPPHuT5o
0hD/8OUQZxMnvjFGl1CjZHxSgyrfoWsKf3DEje+ggkDUwQw0A6tEQtWRDLAjxSb7CDA8PfYFewHd
1+I0pM59VY31pnb4kd7wf4jZMCsSbrjj4TcNeUBOjxN38Y0lxsjT6MscZ2FiW5C2zBYW2k3c8Rqw
gydhBeFJx/KQmBgukSpAUeVNAH9+E9nUWW4b7jsciXO0shTt4fIf4LDjhsO2dT72SVjdFxL7Hbx4
w+DGHRN5DXmv3NnTRNtTF9O7Ks4UB3ir3hs5WBl5fekx6FwmTO+4sIDou9MLJGdjcuvbCuT5I02N
CDvY/Ds6lWCPV3Tw0Q4r4zT2+MXFdA+hEpnZtQoC9LaZWRx7gZuc39XBh7Gyf+BIn18bRY+YVwwK
Y31/3kxc3d4TJ8W2DH+c/YIbuzEW/p1tQ4kMnBJkJcfMMaGNCRZS0z3i3vNxdNATRAb4gxgwHWrj
Ur2v+4bj05VLnYbOIx71BOSQrzbpCJaShOgEJru2JxEyOkUKNhXXN3OxeM5PHcsRe1s2q6F1ySSN
UJ7gldHcWZMiaYrD8p0WkLUEd1FDeoNLJhfXiJNUld+DpYLOq6r/pcy++5HZXXBIiffCTA73lVDz
+yMAZv5J76eA9BfZ0uDCazaOoeY4Qp+ArLEa9CGX3LQOGmsCQ8mRMDETkBMPadbtTeOgDbBcOT00
TmUCMPryGhoOWnDbeFL4R8QxkBMGh62FXRs54rhoukcLqsR7LLsiRFhwOMiyG3aEdnWwLkrgtBTu
sIZ62vARlKm0JEgh90d8nnDtad1UJwbRkNclDPyDLXr3qsrm8qgZkGe6WatPLDyq6gawvY2daBeY
mbpJIcDuKO/YjdruSwmL8NRAmLmr1Nwwt8hGxDUhPoBHD1d4fLJcnYa6fdLVvW/od05qDbu4mOTt
7FhfzN7CQT7lVG1zmhQQLNVdh4DuNmkzuNst86OyYGOnWhee6K7EmDSQjDG5xF/XVYm/W1axSEBN
qbk0gWUtfad3pFuFuyERqG3w2OZugwK7mZqJ/b4pbgwXZYDo0IdipNlh95DnJzy0dJjeXUxb1Kq+
UbhS5UA+xf8lSTu2QKm3V3hqMXHxA9KgKnGHzb5LWdNT7bP+ULp1+Z55Ja4IZJsxjpodhINhQxZf
kf+kBEIR67Tlk5P0KIV7rXM2BjdUGIom0pIa6ge4Hrd0RxjslVCMxqRGf5QglNHgm98JFhdboCF3
9oxKpZc1sqrIbx7rum48vSHDMahUcgymkXDyUFo7CLnf6PzTFsRn87bg3NnbbYDRetngtoAiewuf
xzmlMcYBonPZ7Cfzazc61W1D6x5RES2gxoCpnMLg3vSEE+0GY/hGPpp+RF2vDiqT3S+Ciexrw43p
Hrn6D6cX2aHGavXOHdxvoaMgs9UgCDTQfsLnNfZ0b7ioRikR2Bqebqoc4ILIjsis3gb704ujJXGO
MtB9Y0xj+QdnQgEoSerayUBDJ++SvlWMZsGKL0V26jQRfDStNruT3BshibcjwD0Q9TWT6kfV0qco
s4ILhAo5iPxe3w+mDoO0MfSN42j5bkS0u5FTjh8h5dt2nBFhwgQs9l3Aydf6dJxI4wuRw0XjcdRC
E9EPgAxoztQSjYXpoWs57XVMzMWOT8FVPNSnvUrz3yZxiTs8ndLv7QTQbTmd9q0i0AuwQbQoDuVd
RWH5ngYbnlO6P36l2nuCXWYDuiKBIdl03NUdwNHQw1WI4+InD8eSLkZkHUvGSBHTjVJl2FyPqZSb
pq5qL2TbOYUlppjw/OhQ0Fc1cyTrUHBIUaGRYSJ/S6z4vUXw887IEMzKiBuUM5KUsjH9yb8yCTSh
wHImWMScafqM1UxH0gckKZhMjVPP167b428cquSx9UGulUnToUk4Gix9IIUVw8RtGsUwm4GBcdCt
G3g5wxPZkkDLSepgJqJj3Y9qZByLE20abZskyB17Q0x7qNMK+QjCCX0gX2jOUUq6JDzt2r4VRzNp
UKPXE4EI9Bpv0Jp8iJNE3UMDirdVXjlHuC1YOeHisQXuD5EJdBz98OoRyOjwix2tubVau6LpAMGG
NoHkftFNZbBXvfM7cLs+oEM6jst1X8O2CnUUihlrVwyTBPz1YSZjg4vHXGxP3bUNLz2gALS6tibP
KmCX29qKepL2qPEI3eixuiUmElxKENrTYAcObcG1elqtFp6L2oL4RW6TPA1diyWoreFvjmEhXLXA
um7KAEQFwsZPexi734GNS6HE21dLy18KYPYI94ao60lNy98u+90Ymdz1gmZ+aLK6MYXAOXDxKdXZ
gLeRwrQ7C/H40T9XGGVuipoOpUrlsKtsPTnW0HCvJEUVaYhUbZuG4xaNm5OcaqKdsDDF0CxSaFQ6
18QQOLHrW5pY84NNFsIn/n8JK2hDbZ91kbaXXTgh24OABANR/6l1MC8B5KqfiS0ibgkJGQJjxasR
i9eB7FHt20Jxzku6gWjnk8eGXNqYYz1Y2MIN4pUrbqY92oK4uUo68B6s5NXepH+HWYhwcAaJrWvT
SCKyQMeDqNAgl7RK8avve818oJ+NJlKaIJS2Y19Ln8qS4wJBE+Xhvsym+h3u4da+nrMKZwjiAZw6
Qs/GnpeNAksgix/x66Yi4nMx/gCthoMWRVtZd3jW2BY8zsDSjsrooyNUGjoKaNzp/Ij+qZGy+2zi
z4WbKjCTVwkYZgVhQ9u59LFcFszFOpqgC0T1g6IrfnD8Dy4iBmq8JZJEn6G4Vhp0GnyQ6d0R+LIP
kIXB+lzapnknvwbUCl+qnO7Y3Kf67RDm1scwA5nV4Nrf6WWJOm10XaT1UFohQ9aA8xYNXprgaK4g
fDuWYdzYA1JJTMqf5m6hS5r40OoRMnIukt2+baMnybG4SXvACjB2eWTyg8zJQeJAA2Etwgf8iJEd
bAkdL7bFj1XTqEFi3aXvaqA3opZz31lEkMCNGesHbsHGsUcTjgpa+f51ZRism5i0Od+Ix5PJAQYT
VhvfO8Dc+mms4CATMZY4pVeMyHd9OFXsR4Blpgm6o9IU14dS8dkygnsi18IA38qzR/jkD05rs+X0
GTHGERHCtgtZAJNemE/cfhvcY+1kN2cTVmIEEG/cCkXsFLKbayP+ZC1/0W1cadbdDEEKUl5UPxIN
Yx5VmQ6fktCyOVWYdo1JQ5VO2kxPGQsZFZnyxjRhs3N2G7BWREdrFUhLLmYIUZMXx7kV6kcRt0Rr
4tm7CXyYU2/Ho5/NXxdKSYSm0uF//uP/lD++3UWUuf/5H8b/hftGXHKETzGuaPgT2o9/+vOWMIVr
WoIukGXqxsuf71iw3LinwkP+/DmYy21hTF/fHuJ1IjpDWC61ujBtS+qr1HVwNqeLq77wjPl2Ug9o
4+wEbTKSxz8ch1ekK1dKZYJXw9V6+Silnpr0owoNJ69vybQjIpwWVDLd/LtRzJejyMqak0W+5Q2u
+sTKLD7ZISAvPDrtllJeHN4e7tzn58NjVGwqV0gpXg6X6Nz1ReRUHgcPR/jkX8iRv/T7y58/m144
BWRGpbuVV32lU0Ogz7/761svf74EpkSHzV9fTnsnPRb+7u3fN5bnLzDXLPKrn//5H8rULT73s/ez
TL5nf3/UxA4KM7/CXfejenANL+hxMINDiGR1i4kZthgNvN3HWbt7e+RLL261LltYlpwksvI0Cw/Y
XdldeLJLv69ePlhZZkNo6xYfBq4lwvLwX3741aqcMDPR9Jkvk89ov++Qwfyr92PpL//+jktBVLT8
fkC32ZBodY9vD7BMnddf3iGkC+MMA2jz5QANreeys7XKU+pTBe0Qu6/mx9tDLN/wjSGM1TOAtBNA
VQSYMclxDwdj03WUVOpRg/CYc4N5e7QLD2Ss9i8FNQkSPksRcQx0+KG5quWFSXVpCPPlOytE6opp
We0QKnJk4ZDu5gtDnJ+3//NZ/lmwzxYkhlmBAVGw8mBNFv2GpsTbb+nS7y9//uz3fVzLc6hNlTdQ
2KJY//T2z196Q8ufP/t5Q+PKlMx8cgyNoo6uJDS5f/kEqy2LqMLUjlJVeTVVJbvThQ+w/NdfTVol
LcelwFOWXP18yWFPu7OpvTEjA4DKPI63PXcXf/LeflVnv8SzgVY7oGq0DA5fXXsubTvS7fFwenuA
s99CkUsOb19y2VidfZlDs9ZoYhzEF39j9MF29SFz3v27QVbzSfnozmxCwz07wo53tlAwO/QA8+u3
hzm7lbhSKSjrprCt1eLusrkne1GwWx2hLMI4/ygmLDQ/vj3K2W/vKkYw8ADRjdUnsfpGU+QXcdzi
3uffCIIvd/aXt8c499mFaQpHuty4LXc1BrlpbeuLvvY03P3UoUTq+O8GWJ18Nq3WerYZwG22XfU1
quoLA5x7S1I3pG4K0+AR1k9Az4o3OJde9q0hQnA8ghSXxe3bT3Fu8kpDWco00Nio9Wvy09bHh7Yt
Pbu71dIvY/2+NS6UosuLWK90aVoS2bVQhi1We5VyUxX0WQILYyQ0wq1uNV29tzCzToLgGvnGTNbW
mF94eec+//NBV9sLyHRfAeSV4GE/Nqb7/e23dvbTPHuk1aeZ6KsNWZ+WHqC6HVz5Eejcru0+/MUo
krJB6mQISWe1seSBiqlMg8oDrYo+qPCHTL7M5oWT5OyLsmkMuYSPC1utVrypg66XENQ9O7lGp29f
+Phn59eznzdfHlSzanoUUjofnwZ8bHocVpg0vf2ezk4w27aXWQw2IFcl1pyVRWzKsfQC2ot044BH
cFpcmtYJQN7JEn/1yv5nvHXNCPXUTqeE8VLKkmz+NEG1ePuJ/inZXq0Zl6/u2HLZI1drxmkzTK87
v/BqB5rJMYQOrA44uNG2RsyZfccn6e0Rz36nZwOu1ksUFpmd1QyIISaRHiEGS8Xp7SHOLhqX3qhr
cb6I9cXXsmqSuXOGIBnTGLGBrX5WlrNxrt4e5uxseDbMasax7K3ZyRgGDwZy4I5Y/VcmFhHxrqdT
FjDw2+Mta339qSzd0KVl8Z0cczX7KvwYkHWGpdfkHxMfksE+cW4rHPL7C+/v3Ep9NpBYlfm07dDk
KAZSv6PiVsj3bz/HuRlg6cAShgX6qrvLe31WUurwywwSB/l5QUAcHGYigv7wCQwDVzohpOXyvpjZ
q1c1+PgtAkWbHqB0+NgnF+bweoL998/bYCsYeduvygqzhuuLJhIvhynwHxwQ1X2NKJLmFxqbrWsN
1t88j9QFXjeWksjGXr6yYQZYh0FterO8dQg/jy9MrfUn+eeBJHvAgkmZjrXMiGefBB5LmbeZbnop
KXlViOrilxHbFwY5+9ZYlNKmhOXTrE6Zml4NeWk2b+0fHqON36R+kMkH0VwoNc4N5BqmVMvs0hFw
v3yaprddnMX4+shrcQW0kntcMxbhDcoRkRjthT10vS6Xl/d8uNXHQepsx1m3DGc9heo+zeDxHvL+
Xrhf/mzh/PdArrBAJpdDYXWCGkEtEoEg1eu7L87w1Z9xKrmwNs+/uv8dYrWnVSadN+xWDc/BfQeP
g/lKNleIIt5+kGX5Pd/J1g+ymglG3uB7VPDGIhcR5gFPXgSTzpF8PfHbvwSJnR2MSe1Klo9lru8A
ZalB9ddYrDTWJzw+UutTrDfOzvIz4wpTDsiQVTUgskmcmCATf3T+YrdwTZvLgdCR660Xb6VUgkNc
ZnpG0L2r6uT72NARG1vYDb1/aTKeW8nPB1s+8LOVHFTSsWBss/ORW/4zj0+4mb/98ZbV8+rjIScn
2sxR+E6spjvOY3NB4Jnp9dZdFGF1e/X2759/gv/9/dUTpAkp0Tj2m55uQd00f9Yk8rif/90Yq7I6
m+K5cXvGgM0zYoMyPzLzMRYs+sd/N9DqrOu7oIsNm/WEfuVoE8kKuX0XaRdm2KVPsjruqnCMx1Iy
Cvt7tKkh8vu5+ptNlbg8Rxr84/UlsZ9E2XObZ2Ltgnc4SdTvxksY79lP/2yM1dty/LrUNNdig7O/
huOhRcrd//6LD2LpJtfQ5V/r2jB18yAxCl6VmeLc+0S2KUFhl5oIZ5/j2SCrXRRaYYqqyec5rA96
vZh87SWq9bef5OxHfzbIahONUReSMsAgpvbRia9N7Y9/H1MCyZYpJBqfV2Wa3+h9PA6W8DD83dTf
BkwN/vQBhM4lypILLGAId3nAZ1vVrJsNbH1DeOPNXNqbvI3/4gmEsm0LpYYCclgtC9+YRlqlFkzL
WN+rMdmG8x9enA3gEttRDrgiSixA95ePUI1cAttRl54op+A2GIx7OjThfkiLO7eOLhSBr+sMwYOY
lIAOByiIzMvBUN0lSP8z6VXtbk6e6pmNZKsHX5EO/PmHYSUzBv1rCVX25UBNPYVQBlvp+e9G+5pI
mL/5eW4xrk6NziXg5c+PLU5ZFqIPT09uesxfm09/8fsKB1bTxXnj1ZW2znvf0iJbes1EuCkChQs4
7+vVzXvB/BO0ZLkxy1UZFjrpqIiFsrwKknd6ikhC//MzliGEDcKgljvS+v5iFa1bVqYrPQMpxecy
coev2hjKCxPqVbOQ6Ut1bFqsEP6prNUCcXNDqbadDE8bISp0Nexy8W0cIcf5D5UlydLLjnV03Ywf
JmgTc/kzvYQ8vd7EBEAdmJPFrUMnC/DlXIAWV8K413Tv4Ev9WKBNe3suvK5nX/z+GkFBqhN0uhka
3mRMi/HEfuSujlv53vcv4E/nngQfNDrTQPPAQ6tZbZUzts5Ys3qymfbvu2rcv/0kZ37fNHhLYJsW
hBNrdaaQ8BsXyNqFp6mn3uuqP180psGiZ0orwNk1uNA5eoaDthAeaHw5PMg/r7jAlv/399eYQhOk
uWPXSnhD+HsqbmP4z+544WOfe0UcKCaHlQW4sIYxa5j2oWUM2PeyJqOvDdrZt7/B65UPNmpw14O8
wcJfk0P0llyetox7TyN7DekjMFmwe3uI18/AEDZr37Bgyqr1bSUIF32PDAcvje994oib9kIB9HpF
MABvyHGEa7FHrjZ3bMtCielS74m0OHBIbZeMVO2Qqgvr4dI4y58/O92hA7ZGgqOOF1DGwz8Xgrwg
65Thyvj2Gzv7URRFhBBLT2wNK7SQztOxQB8jyS6tW/1HDxVZ2OGPfzfM8uGePY+ZjMlkYbvh5a08
iDq5guP9XYn029vDnHtt0tVdMoktpQOUvBzGyLn7z2XXeXHsOdgFFbTVY9h4Dfaub4+0FNMv73Fc
BSmOKOfZrl41ZKx2bu3WEa1n2Ufodb17sgNs3ZLPQ/Btir+8Pdi5j2Th+sehbwHS26tZ1xDPYSlH
a2FvnEIEfslJNBdqsbNDoJN0sfHWOVRWG7BtO2baVQma95gIdf0OY7mNKvd/8RyODcWGJpau66td
uOmiIgHabFFcbiU8brI31YXvcu457AW8BOzjiF/zOPRQ60NNMp8RR7YQhnP9g4wvvKtzswwTdbZk
2xLuK3w0rtFbCmzM2I2Ta6eU790Cf6+eDHlLXaj2XletVJCOxb8WvOAVVhrBbgSaSUcPj9ONQ/xx
tLdccyeGzzEcxz//Os/HWqb8szXq12472Ch5PTncK/VQF8Gmij6/Pcb5V7dMMoBfSLyrmYzkHffu
ilcXjF9R1Y7x9RJKpV94kkujLH/+7EksI8jxM2IUXGyPBva4IcZLjvleby50yJdta70LKObZ0r6m
bln3foegc8NaNKPnIu1fUpbT6cKpfG4+Px9h9VGskZgAbNJGrxY/xuLaj68qq7nwus5UstJh87cs
1g3L0l69L9yMa5VOOYOMj+hdM/N6TggDQpM0BfGmy76QeguHjoir69q8RYVw4SH/ISOt36NrLZcl
3aRuX3c3Ff0SdCfm4DV2+aV3xHWcG5+SsvowK0EaGLrEStxYC8KIDdgBO42nt6fl/+cvgDJBx+0K
N7LVwVFaOqF0JjNG1Xe5+dvo+12dHSrtSu8eVbzvSrwAb6X4Y1SI90439P+NutoP86mdmsxm1AkH
gYrCiFCPCKenC5vIueXwfJjV3l7FaWfFOMh6lfpi50/En5KzPjiHt9/hubXwfJTlz58tOvTEFloX
RnEdVIQkhIYXmL/n9kLXZs+1XRqur6DoOpuLIMbZwmvqRQ4yNqRwpEfNVftIR4TlBI9vP9C5I97l
crecIw71xGqvIt4XMrk/D56PbYFZXRkZwlcifAaMhBJEJcX+7fHOvkB32Reh59J6Wc0GN8MyRaD2
9MovsX8v7Qsl2HIZfLXGnv38ahakqNsUwtXR00uMI2G+Y1BEABMtpU2LBYuLG5B2gQ31euJZlsPN
1DZY2q9vXSgbIuDboPBkce8uusvFskSgGH340ze3wCH0dcGpJI2+1dTDFjnvenywPaj8S8oe//f2
AK+nHj9OL8yEqYToZb0/zaFJiuE85V54cI29/ZvYKfJU0wvb4Ou9fhkFaAeYi/9dX+c1kYZzRJSE
lyAJ2QjMS9MLH+T1FHsxwvpCXyR9irKAEQxydgJK4wvv6ezvw+QCDqFNqdYfImxE05XuzHuK7xA5
Bd5ffAbOWWmAr9HKX+3Sc2ZhbywGfh45WoYaLemfNA0h/a7gjvT2WOc+hoD7ZiKWcBww1pfb2Yiy
W1hhknva8MnhNpHvlXPh3H29wVgUjzaXVR4JWfSyYp/tmHVvOUnYD4WnR8nO6K6b+YvlYCWTdPuI
rDO9uLBDn5vFz8ZbowixTfTPmDaFV5n9xsDFpbCiTzJzjY2OA0uQk+r75+8Q+TZg3LILmGtIoSVO
wMqlnnuxjsfyGFMmkU+duhee69ysWxAwQXtF0bZebZx48St0Zg7Lnzyaqwmh5l88BvcJqnA6ofr6
TqHhxK6yQcs9ZaoNvl2/CHLKN6OPL8nbA50pxEAT0WUYhs3Jw1t7OSMEUQ/hHMYFR1y6acsrrbrK
UQjp9rgX2sm2rxb/cOxY3IFIyvFDml84gs7NkOfjr6tNGXVEQTO+nZTfamng3hG3G6gPh6DOP8rc
vcBjPbfI6CwTN0VX3jDUcoA8WwGYKWNdPQWNF2Lo59QUWdOpiv9iejwfZPVSsTLDsGpkEPzhNbJt
7t7+aGdmH3PCcNiO2C/AtV8+QzNhuOFjfupZmHv9F2lv1tyqDnWL/iKqhAAhXsFdEqexnf6FSrKy
6BsJgUC//gz2ufecFccV33z3Ydd+SC1kdVOzGXOMpXvODp38PD5O56QW+VZOgDKjNDGYhHYEBrsb
npozru/J73NA2GY8kYdQ4+vPlxYgyzmIuHdx+1itSf7w8+qc2GGkRfH8O858sI5TF3Fs+0lf5e0u
AAkYIxLSxrdgg/h5kFNzwIPAEMDMjzQ5dm102wkkyyBMlrwpNAyq8ffv5vzi/J8BjvaYgOpxgPfU
7ih7Eu7fwD78PIH5nH/1zeaq1P/9/ryK/9yDHDxkGgQJAKpWcTh4oJgDUvWKtM8/D3Pievu2D5QS
YPDIvx4n+xqAYRtlPHT/EUjBjxK97rROdygvPsUDf7YSdeZunNx9DjgxJBtg0o5fOMbdplTcbnbe
rOcNRpI6FCD8geTtb2He9pyxRugKcSRGbcDjvq7g1LQQvxupmJGr0z30Jn9euVMnzHVwtAhnSLgc
530D9KlXnOGWJMDgXo4gBt83fVos//+NcmQO63QCSy8YIncNsS4L7V63/Tl8yImJcJw0D+aE+wwl
0a/rBAJXOx0SqnbkdQRTQP3rhAhqB/98/mgbjICBScFDuwOzb3pnyPrXCwS+LhtvBZBw34vezHWQ
1hH4fPLq9i+Oda6N7cR5xRsOVwwNCUDaHRtD9K1bAjSU/Y5AO5SgZo/Wbf8cfuvUFlAcoxmIBlAV
Oyp7+xmxBqGrfge24KhYxll3xgs/YU1Qv0UuH5mFOTd9tAlNk1Vp78VqN4GIvr3MxisQu6nfdn9h
l7EPczbXtmHe2ZH3GqhOJLmFtZqgTJLUnx39RHPz7+/dv4PwI8s+ANDSsAFr1XnPIurrM4/fif0G
3AshNzp953t9ZNdHp0llD2HxnRWvwYwgzZmA5dz357//Y9ftlvCq8fD9Vl1awb120OR/xsSesOkI
6pmNfDQSd9+2gYLfwh55oXYddljaUBunz129H+t90j/9+vYBqol4CClmD57Ike0g3UwmVrdy92wH
u/K3DWB4/lBLR1gXcOACvqXgehBhQFWPuDu5crpNrM64mt9vHdLN6FYDBASBG8rMR1thqNem9ejA
giehlGj/Wv52dTAAngYwRniIso4rKD2x/BG1JgBMks/LIf3z+68HEPj8rw8Pe3B028AUrWw7H7zd
dA1xmbg944CcWJ0Zp+QB9IGP82M3DcwPvhaAGO+CkkIF0jzavvvrqgl6JBDtOvAEkeQ9rs1CnKTL
3NoGahDijV4koQ8gN15/xlP7fuMQ/yGBjBo8xkAI9XWboZeiwCyk7R002ZclW+Y+WaGH7dcWFqPg
AcVSEdhA9+heC1eMPLYEBYgFfB/+hTUt22lH3DMZz++GHMMg5qQzVQM82yPr1yQMRGyJobvGrjfE
QyRokvIGOVboNvHs9+cX6QhkI+DngNPEPno1OE/S0oo7awclNBBaxI8/H+ATG4PuPvD9I6p1Zlz5
142BEj0Xtmj5DsSmD7PcEej+wsC2Hn4e5sRB/jIMPRoGCidT5Qu+AxddaJtwGM/syYkB5k4v5ABR
qvjeHNEzkMWVNi6iKz/oPS3O/P55lb9GArghAPWh0YviYT12NGMHfIo1tK13FaQm1ap9Jg1YPFcE
EgLj318vFfYbKGTQHqCceXznbd51WSEcILGWUHHJ9eb3n0e/MGyu+1/G/sjNMZ6TmoFATrQGOxLq
J+eypac24t/vHx0oDp2oCWyQ/s4+SNCScTSu/TyBE7cPbg2SV8CQARVz3BAJcZigRr++vashr6Gh
3VNAU1u0VWSVv18qgLfg0xKGtgvAOr8e2rywKlCzCbLrLvPhLp7OlJlOrNSXzx+t1EBFnllFR3ZF
6KPjTp4xhuc+f3TlWieTpIJO0y7zFqC4zbozWJgTlgNkJQAN+LCDKBkfmXSR957Jk9zsqn7fszu3
eB3z3xsnPN3IKsPzn5P880/4x0+brHYAKbcE5DjnIfgWIx/iguOZbTg5D8QU8DZBXYRw+OsgqUsK
w8rcRu8eaJfG3dhB/Gy4//nQnhwEzXt4/wAWQVHk6yAtpKVBxhyTXVvdGu8zHiAbfg52eHqMAIhD
QNpmyN7XMfq8Q4rQAyyQ0cukgCK6uQXh0e9v35yngEuFUgguxtFExkrE0EXPyY7Ufxu6jdOL2ALi
6uHn5Tpxdr+MMtuAfzaeTL4rG5GSneN9NgSNgaufv3/CnAfA1HD4yxgHSf6v3wc3IMDhZU0Aot67
+aPVXQTVhTNBhwz6BfW5/qNTs3Hh+ADqiLDyWxkdknWBX0A4ZgdK6qWvg6epP3eIT1TK2f/uBQJ/
FCrlx0WqeEB5V1SS7CiZ3qWmYLMDYb6J202JInbqiQ0f3SVr2JKiO03iNTtzME6cPjQxAN8H2Dj8
yeNanNCg4LfcwOyk9eBN1056ASLwn3ft1DqimoB0PxrF5r37umsqi1urTqjZsdzfOoO6iYPh6ech
TjwuADwgYzXXK77DrKE5wBJZzkOIdwoK7zaoQz15KJH+3u3GRFBMRHIEnvex1VHYBa8VGsafgACy
rX0IB0wQ882cLGrb8feGFPBXVLABwUOF/rhBhGc1ogwQCKLtIYs8kGyU2SHO0sXPizev/5GT9GWU
oxeHQ7Lak9Qju8ryrqumD0F7h9HerEytGTljIr6ft/9cb6A+0aiINO18WP4xEUrKBApaqdnNwqBK
2pHtVktqPf88pZOjUABKZ2effsOsxylDEQvUqjtQ84KhOjV3RtcMzJ7JmVfoW886nHsCl+//Helb
DRg6ay269TCSTSEme4j9p6D662X3XQeC9B79fOn/hzTF9/OONg8HIGiYdNv91lbQQ3rchT7LtNNl
CC41iPZC19Wcqz+fWsW5d2E2tYgxjoP8mLIRvW8jblUmgcUC66S8C/KPn7fqu3XAVP4Z5Mg6eL0A
tUA1mZ3Vk0sj9dZzujMH/OQ85scVCR2A1Y+NbKbz3rDOm3Z+sK7MrTXd9sP617NALYCg+8YDYBr1
+q/H2hTosuryrtnfcgnpeeqdMdMnVslHYIGsFPDeMKRHqxR0FvDGQdrsPZDXcxtyQr92O1FUtoEk
xfs6YySP3CkqvbxCFFzv+3Ix1av04ffr88/nj7O0oMWENfXx+ZQ+JGbF0vv/wffR3BwgVYRX4Biq
DB2gzM65Xe2N0hDussPmjNt8agMAUP6vfwvpNP94fZKqlGBAqfZF2MXPTfPrOBgADxfvCnKPSNgd
F8UNlKZ8PhKxpzP1VxeS+lw/43ffCSP4yMcjZYRY+/gVrt0RyiuNLfZeH6UgqA2uQGFKqm2dAwZ7
5pX8vlgYC7i/ubRjf2d7dIZMg6ZcSeCet+10Jcw5lqBTAwDShfIUsFDoDTtyBCnI2LrUeGKfQmkP
HB6gvDgzhe+PIvoS0FmKHhegx5D8+nqhewWlalIZsV90wQ1kG3vo+4HA49fXGqPgRoOC00Hq4Bih
UBE/6xIdtHu3ImCtDiI8Gr+9GF9HmI/FP+/tCA5iJx8xAojWI52RhT4HN/3+FmEElAttoAjhQ9J5
r/4ZAVLc0BEJSLsXxWXVAJK26fpLqEf9eh4oKyBFOJMCOeh1+zpKMgHLanDN951qV5A2rEFf/vsR
0BUEGwtoCjb+yMT6aZ5CMIeLvQO1xuau+7UXzKnjwUjb6GJFmeTo81bcGLvMsmoPydMxj+rfGyh8
HzVIHwcKKcfvoapSflDG5R56eJB2caCyuPl5gU5sNPVQeCaA1M07cXTpbC8zbFKs3PfuCgLekG4P
ikUpzjxEJ0aZsSvezKmL/wXzY/7PcYqZXZZcD9BnCkEj/FkEH+eMx8kRwGOF9AQoA2ANv44ADY9G
kHbETjiXLX9Ls3v0+KPl8MxynTC4c/5jxiCCXhdZzq/DFMhCj57Ck2d5xTbX3sLS7kKoYDUSNGGH
onv+eXtO2MQv4x0tXJmKeJA5xhvSackgkkHONQLMX/gaKADBh4uOzBqykOg6/TqjgeRmLEZIZ8Vi
xUH+7/JQuOvfz2JuxPVtgPlm4/t1jKSx07qO7WbfT6+Ufppzjd6n5gBkTgBzBfl15Fy+ft8ufb8v
Oa33/sGBpqW8ysrdzzM4OQJMITKdcGnAd/x1hDLXZuxcAVcHvT8cNOYBhEVMfq6We+oUzxb3/xnG
OVooUaCbSnoYpqkgGXVn5Qc0AJ2j5Dp1plC7R3UddXwkno8GcQlveaWKei+Cz+rQn+vEOvl5lMcQ
o+HO4x38ulSyHHxgHAgOVACPRM8qhOWZ9+9EgAYEAvrtcXTnsP0480WogEpJbtd7qGOEdr/xeLxI
2s88z5eVBTVKVH90CynqsT1jyE6dg7lHFjbgFE8SL1NoMxgPkmPm0wkebPFIp78/H7UTTgrsPZw5
wAaAcjzuXnfTrIeqIrxeBqVhu3Fe/QR6SF79hwsaBhAw/Hm4UzOa7yWI+WzgOY4Np6sQ4HRgmN8P
6GZ1WgjVCnvpBP+TUdAONqeLkEI+Tno0eTqUk8AoYthyqIKOC3quP/rU3fHhbXugVkcH4LFzNyal
lfsCb0xfXQHZscwEuO71TafPgVNObBDyRIjRbZy/AF26Xw+4pm4NtOOU7lU1Pg+1vYArCCULK2Rq
WI7af/p5g04Nh9ajuTlgjtqPOZEDoZypK+pyH1Q7gvOWP7TUCSf8R+L7n4c6cXWBQfaQGUXYOBuH
rzMrxgoO8uDBGfCfWDjQ3z9maBUBBxi6eeAFHB+CeDKxVNiWfXmfQRLiHAH2ibwrMoU4XMDt8bmJ
fT7q/3gZSWOwMxJucc7eoY9XjfmaqyoqhpUi6wR6NV2+bOqbmJ7z+E8cvS8Dz3//Z2DJ/A7alHG7
Hy19raAn5Y/OtqniC1C0nLlI/72VR+81xgIJ99zADdfW+ToWgY4NKJjgmTvgGYPmG6fX7nCdt1DE
DZaMv7Hg3skgJslU1J+7Yie8H6RiCc4G7DqBdfo6Njo6E1syKFe17h8lrwJnizaMpQ8pSrFJtDk3
1RPHEf7CbDEQmnvoHvw6nBTB2CajRphj7lCEiFoQYZKpjZKiikrvkyUbVywhZxFS0Hu14i5wlk3w
8vOV+A9zcbTeyNbC4M/J9Jlc9OuPyFrhFy7Vcj8Y69aOcWpRoVrEabaiiXPvQCex75xnlMbQfwqJ
K4csB6tbgSH/rppUhbRrvbAzMPdJp3n7+ad9MwwIkeeO53k30JVMj3YjqSDZAwVFcdDjLXOCcLJX
EA9y0zVJfp2pwgB4k0CnjPuLfNWRYXDGVvdS9u3Bqapo3SbFma0+NRXEOHMZC3ldmKCvi8wma6Ip
V/i+HTYUUk61XHQfnXhLm/efF+3bmZqXiiBeY/Mzjkl9HakscuWMEB4/sMhAyvqc/MK3G4JwzUW+
agaBgb7xOIfh1XSyjWTDwXP+FvUBClhErrW1jyGtUrtnXoYTcwFBpId2TNBFzAyrX+dCe0tLhzXy
UMuNRS7tu18vFeBUkCmZtT0AYjw6X11VxIMLAduDdP4m0Os94+ec+vUoHQFThToVlDaOjOacu+cF
o/KAZu0Pdc7hOPf1o7VpewgO+pkjD6J6i5hzJrP3zWlCPuHf337k47q5SgbIZMjDaz7trVfdP/5+
6ZE/gsFxwfjyrbJrdbqELBUTh7J+gcxf1Nvu6ucRvh/UuY0ZUQASq0gSH9vWBnQykGPC5qbB9TjC
bWZb7f5x/KvJbCxoT/082ryXX4wovCQ8ysCDIcpEmuTo0bIgWKY5tJwOkNgI7UpFVb3y/If4XDfl
913HOIDOAQjhIm1y7DsD6xI0Q9LLg50tm2ypf5svnqfxz+fn4f9550dCyq4u8fm+gy7yQ/lrAq75
+9CEm9k3A9yL40PrBnmaQBj0QKDoNzbJrRDQPLOriEBor3D4/c+78v0UA7QDDwLpaQyKrMnX6ZRB
p/zEjPoAXGNo68/Ef2T6DN/niR2ZSTHh+oOSGWx4R1PSJingVubjQft64TVyQZ9+nsTJAeCMY8nw
/W/9EwlUYVOW9RoHOezS69T6/fdRFgYZ5Ry2gCzjaAJYOjFxUngHteqCFni5X2OoKFp+gKjBbWcE
fJdHu2Cqopyon3qHoHj18kNWrRyyOtfTcGKrcfdw0RGTo0Pq2HMD1H2Cf5O5h27vOONCdRUE5M48
4id24ssYR3mFQfkKpw1jZBldZPpRQIvt570+YbTmlgxUB+Zq1rcQz4UaO1paMQIkuyvnBg/Lqqw/
yXRhucuCnIM4nFgzRFtoaEJn2cxTN//9n9tOoFIPWIpDD9yQTUEWYCizVLL+eUpw1k6s24w9m9sp
QFj3jTFSyN7EOmbOoRuVe6gTUm7GzM0TINHoHs2FzW2cQySSxr6zlnQCH6pGI1cYmGqsomAkE43y
gIn16FXlVij13nH/nRTAsbVeGailXSX+m4Eq8wP0nNG04acoe0WuE8cXEEf8YC5aXIAlci6g3+1n
YRCM+SKXVrvUfW2tA8nGfTr2496aAvbmIngUYV/61krZrY0OkORvK9JV7+cgq8oAZxAC+m3I9sto
SHwkyYLRvsji/D23ihQydkyGgVuUK8dOxWcx2v12BB3gVc0VEo+SZq9pjYaDMJ0mijOqYAvLxF0Z
iCmaSKTeq6yUh9KQnz1LoSCzi975g831Y6m7ZmF8UzxVgd8s+sweVpi+s2qreowgO202WQl5dg45
wGUbW3jmVPEA4pBk200WWTq99W4ml8twUIamoZ/w6i/UMtOwZ0O2dIuW3bST/QANveJBgvR3Y7eS
RtzrfSgyl4bZixQNPc4S4gC2eOohmfOsUcXqlrzKydpu+7dCDE92UI/QsZ3oFQ+w6GEdEEgCqnZ8
ydvGx+Y0nkEDZlU9TO2sVk+tIL6YHKeLKpq7d36m3Sbksq7KRV07fOf2VKMqkFZQGKyATChsmdz5
TjN9ZGT4bKEFtxJt91ob5MLC1LESO3QhPO9AlZA/6rZ8HDv+RI2Z0hAtW2Sn/KINgcADrbU1JQti
at6G1ZCAv48FI+Tse8uq/zAOHE6ZQA566OJ6nyEvs3EDeQ9s+atnj7ukzlO60N0I0T7yqWwtw7hh
423QGa0WHe+95rqzmn6tZf231K4frwDeR0t/N3j3LBtEH8WQ1E0XtnJAnpoMvOMRH6fsAHzEc81U
jbfEgsrxRPW+kNmrLfwddBHbLrTy+lnb7ceYCisURepGcTCik6/udRRDuTXMoLi+6lomLwLIbDrL
LGvrZdnmabUg6C27UibNRNg6AvwSidOGJIuHJWN5tm5yk4QDBLAXNpp//7YQTrgoiuqhnMYkJE3h
Lusmeeo7y3lkNW0upqn7I5jqhpC1SX3ZlpMFCXvvtU8c4y8s3+n4psqM/WfwwEwN9OkYwb6pJQWP
r9wRVYA7TYCgqdKQzDQtJHabLMsWZYIAFDWbx8oG8H0D/tMkRUt30bu3MQGKwHTShMJTDaR6HUgp
DgFb+GX2l+WiXvhd3qtlwz3oWKq+KVd8HAyOkkdDqsk2nxxSh+7kCnHRTZUbgs7NjliuRVQnAixh
ZQOCeBv0WgRNIhHSSGpBpmJHUxCAKHd8B2WsWLMS2uQ6dr0ooMKhK52ithV1E//jGKurtrqQ1wX4
7K9rXedQuG3kA62q7ZRbO8h/QbjMDG1dRZ1LBjBFZvfxWL7YPIfh0ZnnmoWX6ecWTEz6UvIs33qD
hFnr62KAfmfrPHYjxdIhH+Petg5BR1ERFPqhJlWiL5RnJRvttclhAkOChXYgqL+P0D0ICytx1tzE
yYVQVZ0tc8vv4zVO6m0hyVrFWRb2tHj2CXra8dTKBcMPgEZw20RpYfUQGUhodk35mN7JMS4WehgG
sZw8faX/08aus5a0i3oc+QfFQ7ka05h8xJANL1cD0NlLEmucf3Rh3465S2PgclgCzloozMiMVtmi
aDz5xKUz3aMY+A7WZ3JVqeGuLrEZFrR3ngFM4hpq2x1U7wsfgqSti17fFIraodHlGJXA/mwTj5er
0iPjW69kvHYGXj0Qa3wwdf6C5pn2glPhbWnJnC0XOB64zVY0eEMcApGlwtwi2QLZ0RiN3PW0gnb4
tLWK2KqvHDYMUDyuzDuYgnJr7SCJTf+IzucgzlMuXRR61Isexj4sU5ctUCh0Fz0TAhAk5RkSlayB
9rx2g9Dh5ccgHB2V1gDbWqPD42JsU7u6hkQsJ9u+AhxnQo26W8jSchtQkHtpsGyqWX8aYtVhRhkU
n9UIMrisBeN6t3H66aWZSmjcVGh+bqmprhIjt51OVaiGEiA8u3wPIEkBWp70VvmGLrpBOksPms0P
RMOwenqAYrTbWi94N/5ObpaRSDVNv+B0kljhAU5eWPcEOqhOEmf22sfzB4nUshyL9TTVFY5pmjSh
a5STRqrPyjCtA/Qfes0DmSCfGvocyTRHQWwemJFN7luRKdHjakOkO0vwE4kDVS5damfdWA5dZinl
UEzj+bUzFlVY9uW69WIowWJf1IAfhpe6PwCITO6oTOoIzbm4o+4gwJ+Rg5c5FKWqH0EoWq7aidCl
lxUxDm3cHdg4gugwbsVOo/S9ccD+vQVGMlmXEPsOudJ/JyxlhAcXQtEogt0xNPiv58zhogocvUyG
PMZ9tNSLmMWqMhrrF1GCy4zY+R3QKvGytnL1AnuoX8pimhYw1c1lw9Nuz6E9DiPhuyKKfV3cKBrb
S9C49V0EQsRaNZssLRvn2upt/QqqYhoaKZ0ImErcQmXHL1JWH3bHvBWDpQhJkdFoGCk0k62+uGAd
Finw+z+uo/ZE24+0dQWwIBY/8DaHWEifMhllI+rfDooVyNiweGM7slvEbdpEIJqEfnEc0O2UMgiw
sLq7gG2uwzrnzbLIpH+PB07caKfoL70CTBsFxZ3paePnUYU4bK0Lt1/HtNBXwSwszNORU3iuyoQ1
r8U1Oo/dF2fInxRkmh+1ypvQG7m4KmFZQprn6NPq4E21vsB9GuHi3XEjgnZpDaMzqzrXfzpF/AV+
K175DkqjkC8lf5ISxb7F0JJ7V43duLHYUKjbwbXTj47CvxkceSkDulNulW2Fmcrqwu2hER7aUGqQ
kWnklmT+vmC6wAGHHDvz5EvC1V2bi2ZjBVUW0SKF+u8Vh/I86KpXeRqvZdcPFwWz3IVtjewC3GkK
wsYgl5BkoMMqa0BbJm0zA5XwjjtT1UW0RuN471U3iYHGdOymcjla9oB/0S2C5E12fgV9MksucV7A
/wKF86xt83AMuFnjDf7rTPa7bvUKfAo1QOSoABTB2s35QsTen8SpSWiKGFh8dPKFUKtGq0deIVGX
pWGQa0yCQboeWTasMqhLI9cuYEJ1+olOyHI1tkWHikj35BQii0rKXszkZZeF8m61Q0EVxdu/VVPz
mzwh/R+0qpBtxuP+3kCneW2XNfr7LZ0/1NDLXVYxmTZJy3SwnNyS5Nfg8BehVQXJFRGBAVUqupK5
r5tgQWXvqdBpLHhlBToBlgF0y0PC8dJ5dd+8osqZeaHnVtVzO+EZDIlw0oMLItkpsjLhvPXaly/Q
gH8FI+ubTlgcVSbt4NHlkBLR9/HUjHshFRzCFKZnSzo1tIuyYCWJ8lyPMuJ4rP6M3PA1SKmHN3gT
coFsjhdWboZCSq6kWKaJJZZeXE7LoKD5Ffrb5S2tNLnrFMtWgrUetoIVRZQnHbTm22yKHwrVAtEX
0670t6r3Gxom7mDMIvEturIo+Runargtaf0gGauWMMmIJUgmNnbNYlChNMALDVaVvEEWWsF5lUxi
dbogXTcwVZEGKODVtWRzhXgCHF7GSke9rd1K0PuyZXW9AZtn1q4YnF6QeMf5qihFsSiy9B4Ftz9N
Afev8fLI8Xoolcc9Ao3A/A2CQcG8e7A4Pn59ge1fVgUvngDI4lvT0nw55sBBT7jTB8UMXPtGqNeM
eurecq1bIQegnAJfITaa+oh4Pa5CHiP0aevUvsducrW2pzzL47Cph8S6olNVp6DHH6ygh9eKaoLq
hYAvaepVognaY3qLvQzYoJe4DLzk2lNINUO+Xm9INjbuRTvYN6hkDuAlHJwmqtyebMrcc/plyiXy
PsmEAgoA3O6NYBlHd1L5QXMPfi6o927sINNguNTp5ZAAYBPaSFA9Wn2TXGROnOhFS8FZYdUMPElo
BmguA1HB6MDop08jS3ho+SXWAcAcUGm1DboQbKdZov3njUHUmQCPDt/YHfldq7o27GQqAJM0WVQk
+T2xJyihy/pQEfXQIKt/6QYtXL/EKLz9vIvitKpuG1LV0Yi64lPN6jvTpnDSSO9HrCe41WmTXtgU
hJOZ3fI1KB0oLrPDFwAn15egMyRyj94WGnI3FvV1olNR3YCzYg/p81cCdHG/jRPl8l1MCMiGDOnL
MBblR+X198QpH6iQHs6rOzylxGsfeNnZbWjRyTy1bj/eDEJueZWwBR7RAqc+4K9DZp5c/l6ndY84
xCKbhHnWa17nJATvDODemS9ousp8Xe1jsMI8sQS/3m0a/30wPZ5B19mBtNlbTlP72OR9FtU57kXF
u89u4AluWfPk6rGObIMwMR1FE/pQYV8LVtZR56DlpR8Dcg+f+CHlbvYE5nL/DRxe6aXxbIFntPPL
sBzj5iZu6NhHTYngtkQjxrJE/X7bg3uJrGyTxPuG10G9gDhB3W6M2++7mhV6mxUzK2XJEO+lAVq4
eh1/2sP0Waj+ahA5iKBZ9Tb55tAwCn7rwWuH6rpP+YcT125YCcAplyLt8ShpYkPGmHFAbLhfg+eN
g/kJ5VvVYMPBuk4vAtX4aJ5xxYXXkHcyeu9u0OdRU8NAehV5px16EilMUWgyLAaqTxXqwGOKNROx
ejSAqETTrK8H7NDwV7jGCkvPT6JJ+qZEKiJNtqoe+svWsXonLHS7jU1ioXfPA8okp4NnQ/aRPY0t
YPR2Nt2NJfMXiPoRBeosh2EJ7iWJn6w2s0LfK921yco2moxTbozm6arJ4x4/LRM7pusB4X07NxvE
uXxFE7paZAbed120MNjp1NyM3MEcNHrvClMO95Y25VsBUa1n9P7VwwZpInmbA20cUjw9Q6R992DA
HPUgwFSw8bXM8oimpNiCWsx7aIskww1nUgGxBsGiEL6k89IC7nZh6Kj7RdxAQnwFxWW2Hnqx8tqa
PCFW1osKGKibAWyZy65qOiDvHfutbFQ/bYYEDcuIq4DwS2Ap8AoGYaCIiDoemHU78mcsfRzCK0H7
BIcTOxly35Su3hQZEgP+sEGQuAoyFVwS6WsIH8RZf6NUId1t0PRm2XsZvcw6LiOUmuXC1eoRWVNn
wyz6EqRiDMcmeEgHTMwpvJCl3jbOyUHHCs55kXz4XfsCx8xfmtQJLrREbBigUj/6hT60SarUUkpS
RpJoWUYWIfVCOFDDlByxjpridx8UVpFnleDsc8tNVdINFWzTWFMlI7jPIvSZWQq4VwErN4585s5G
sS60J++TjolcdaK1r5w0BSoR2dhPD0mRt9RXCM1rkvQLVs5UsmV9izD0kXZJsYQWdgW/s8tXOvC7
EAxd5dbVyK5OgrxMVtZeVZXvVwsdt29BrZxLuxy6pUwNu4ldV++0TGKEm2CZIX5+XynzkSeNtx5A
Wz2FnZMibiZI8wxpC8nosvPGe14GD7VFyhSQKoZsXJkNiwL3IiqUHVyI0qoWOViKmjDGw/IR4xV5
ABRjsDcmzz9auAhXyeiQ6yxhYjHqcQgJjMyV4S29VXblIo9TQTBxcGNw1HLrOaD6zjXGXsvahSps
rrKtpiDTjdGGFWZ9/Zen1qf0GjcMeH7wC5B7tXCYF2hrfo/jGvSiMXBEscn8i8SrGLscQd716Brk
wuzeCp7HXrJiMSSS88hLbHXrytyAHsBr4QcEVoqMauWHvT204ArP24esTjBU6j8NAR0WQ8ntvdZO
+5n1AioiMSwneuWNeW7xHKyVg3B3NSI83ElGEVMy1rYfnVOALrQTe2krChJeEPZGKk+1imxa39cF
Gy/xyqKgNwXluB3KzF+NQ/s+JgWMERt0v+s7Kp7BGmPAcQi17URawU1aCwJbgyaOHI2FfijjakT6
MHhFciCPElV1TwbIrls20iSJOI8NpgVX5ZJRkRGIh8T+SseTjkifg1qe8sepk9lngEzoHeiUnoA8
YhtDJydCZtjAeKSTuzQxe7KRyisNjCoDkzso9dLio5dU4dfnXYn0wpBni6TrnVe7idnjNCGJlMUa
BjBInFeFIPTKMlz8ift5x4l7h9/dLUYZTyoSSJwtaNAPS8CCxH0cIMC1h2BPhzSOBrfxQ+o0uIh1
pcPSzdxohMFZKbdJ3nJgHvYgMFB7u+vMihp1PTDt3AHJlvehptkcXliFi5PkjCNMLKJjMUh7XWcG
uRCgdoEyaJGoujQOG9cuqaY7tMvxa1dDOGuqvHo9G4r9/yLtvHbjxpot/EQEmMNtR2WZkuzx+IYY
J+ac+fTnowaY072baEL+x8DcCGD1TrVrV61aq6l6Z9pFcmZvEkfqNoGMQs5GaSaJF0asm9tS0eKV
suxSzQGGEWWubtDRIYK9ikJXiKtG7dXq/pqsfafd5P3HC1qwlwBNgMeCxhFdKNPElk1kkcYaFbmd
Et34a13JS+UMgCLvMCzlErNukMvSyDlpr6m0r42tskY0u/D9uYQMiAM8P2qSAiAnjWXPiWvHfm2M
77hQNuL1iszCEpx+XwREmrXVk4Dj+0nRkTu60bNbn0zcdSMrg9AEbAVJ+tEm/WNTqH7gGpFWqkpL
nwdRAYU8cDsawOa/n5SuVLI+SImYFvDhu1/+GuP+5dehuwPNDdAFdVK4oc6/bo+OJmlhq72CAZNu
7fTm+txcggXOPy/MDc83Xa0DPi8XD4512023/Xi0yEdcN7M2CuEckKmk/CE12ms2/ZiGt/D7//Z5
oayrFnXhUyzWXovmhkS3trLCi5NEeZIGSEqhdLCdrwGEX5kZFga/Xj7Y8WYsNvqvfI17dGmKAIij
ROPwRLzg8PEKJYiLiNp3OnAzjvkGKcuPz9LMWDHTX85safMwTzZqGNVZGkKB+6qTmwz1fZqvtHwt
DuHEgHVuwIzyKSrgzXpttW7T2ztPXgNQL1kASY/0hEbPLoM5tyCVnUauSdVfvxRoI5reWnPD0vfh
9ZglrGasu4hr7h07DrWiNV977kMidquXVhZhnoNzdA6wAFAn4HKB0l+wxrexTjlVb6zXrn+a/B30
C/2xenGyj5+IMzMCaEpKo9h3bMwUlBB2frICP1g4ESr4RIMmFkDzF7ImZU66IwhyiwDZeIyHnZEe
dSrHFUmY63v28oKAMwuYIvhounZpRDhf8MZUtC4tHN4W+hQ+jEb2Sq3CeC7aTl+xtDAkur9oN6Lp
ZOYhEiz5AbVrNbblV0X5RU1r2w8e5byQHof245bAm83A4hk4fcE81ocwUrD5xtdmVHkOlH3V3QM4
UL/FfUgWMrC9D4MLSWhAHAGwl20HIf35JFJnG0G/gXcI6n3d7Zs1Xu33VhlhUwMkVQG+0js8A2vO
DVSaxSslJwxRHJJ0vmQk2zRMbCDDVf04pZM/0NlfoEZN0cffSYPSg4bQrU0zKeX9pNjxLSXI8EUB
ZbDxeT8fSTJZT4Su44OWjrJ0HE2zfVao0j5pwzcUxyDtMm9ixWgOiez3+6yiSyiUCyvbeEZUP8uT
5e8HQ5a+10msvEQRoef1fbmwW2g4pfEGxXAA0yIdu4MUg2xOlfZq40ud5G1U1c0wHUnjXbdzCUGf
O1sxRcWPGIB9cz61Q0wvVhvq2it1643Wf2qhYyCrNdYkqKiE+8ND2x7V9JZnIHnmFWd12fsDZo1N
anIx0YCh6IJH1+bEU2bL3qvyXFsG7Lw+E/yj0D87Yb6VCt5+pNpWGCEufTBbFXQODSwYVsUGM681
c9saCu818P2jJ0kH9/qULnyftmp6F2ZJLujlhBm1RrlPTK8I38q8f8qU9E5TVkj/1iwIF22eNk4N
vWP41lJubfaS+WFoJOxQYMtmjBnUlLawKrGBLFKrxeFbFBElbFdb/BZ/P3zvJjsOvJzYtOa0RSsn
cOK9KiogmfQIwe0fLMGJAcEh1d6gF2OJgUI+1G+yuuJgL38/DxaKR+Bt3yXjhc/LXeNpOdmxVzr7
4gJi4Q/HOXyfFYAyd346is0AseJLTd570mtq3WfKsbdXjt3lpQcg9f3YzVywFzGCKjVoQChG/GZP
t5nzFpmHbLz76AqcmxDig2woDRl4TPxmSDu6m9I1WpeFJXhvQaXNjZj24pD5EBfHRob+nC7fpne5
/+ET4CgmUFFwrjRRXVw4XR8kfTpJ0Vv2IwDg3H18A9FmDvARB4Hvs4TZictUTcvRid80kuPqJv/r
45N/+nnhVa12ldlYHZ9Ps3u7fayslZ8/n//z63jukv/v54tCxjpVxLjT+b7SbgsLuIK6IT1PzXwb
2mtcgQt7lcwJ+G8wlXQ0i7jmITLNIHHS7M0yP+dttxlQOFtrTrq8bGm4ObExb7aTh0uZ1vCqEJ69
SfuiDzfdXpkzl/sPL8qZEeFasM2M3n8PI7mGdlp0P2UfvtcYBTRU9OrSMkeoKYyiNLyhjrLsDYe+
n/Txzkva4x+M4cSE4Pj62jMzz0uyty/1+DhEH77WEJ6CAQiCG4PLR4SXx0lXDT4F3tc0/t7kW01d
iXUWfAYdaMCzHSaKFnZhmZMcbNBAcvN1kHfhLSiZD0/O2eeFBY4lmllB/JuvXTgc4AHL43Hl3C0O
ALZUmEiIW4jvz1c4UUNz6qaeCaqAPlro2fQrFubfKJxskETcawhLkU4U36eRVyskZG3rta8OAN7M
+OB1h+vTtHDY0PXgjU3a7/1Unw8iB8qj5hQ4X+G13erRUy7dF361TT4sYQAjJBlLhDwhbpybK8/t
FDwQQtgh7Vc/Ku69u3Q1SlrwgmcGBCceqEFQjRTrX+PfgIoC52CEWyuhXXTl0IlBMi0XgEGgriI/
ND9+xAb5TtG9uhgs6a2xiMfUfZ6od1L7xaJ7oW1vJ2fcgfuiKBHcXF+p90aCk90w95LwhuRxAB0W
r1axBzdrQk3xvUF7GwegJXRmxvrGB//w2ZlG7RiiMU35Iv8SNkb/y0vV9lefm859VvTe79Qx07vM
k78UaGIcUtVzNpI2qVRzO5BpmsTToilrKCrGJLBfgqZExqxVg2dIentU3mHb36Z3nbal0aQvfWAI
w2fJzoAnFPUeuXnnCAiiOCqtBjYNQOJtDVYFdY94ALmeOnHyAPI0eOkd443OTnl3fWKELfzvvGgk
TGlzhM9F5Kn2VadLA6vT3kLj/usxzx7ir9cNCAf9XwM6XKMIViyEH0ldN44st9qb3Pk7cPdVp64M
Yc2CcFnU6C2resAQ0JWQjt4fDECFwtag15Y2d4og54cvyEij5bXC53XpGEbBzUp8pi0sAW179Gbq
9ErKF62fWh+SR7NL7Q0ZL7g/vTh+8i2l+Kw0uf9JNmA6kowJ5Zrci3YezEFbIy6MRwrSvrHpeqs+
WFpr3BVqbL6kdd4cSRmov82+f/SAzN3Iam+TnJGiXRlJxa0z1coxMiTaBKyWcFCpQdLZdXHoGkBV
HV0IR0UPhu0Y0hm3pdhfb4q4lX+WEBFvWo/2imkctHuQSWv0pAvLiHtgEhTSiWwV8c6JaCUNzEF/
09Tfzj++9uX6PhSug3kfsoAQC9I0BYu9eB0UjWc7qe1pb+QUNzqwg2G4AyB+3cg707rgZuamHDp8
oKeiUiYMIp2sZogdX3+zRmuXJ0ev/uocO7I3+jfAeKDBtXwX/5qB7+YuHX+aimta3zoS5VK3EkKJ
rAP/DhgGJbggLCJC8eWlOrUHjWKuv6lt/liVyb7Xg08Kmr2djz5RMD1pHkgnCA+0XNmreb5yKhd2
9UzI9p954VSCLGrbKMR8VwOljGl0+CQV974+rTwAL8ZJ6nnuqFShPZrpgsRG+KluHcPj9D6RK3yW
IAsxC5x5X8QHLSmjfR/Fz6Udfh2kvVLHn2Q9XBmoOpc0TtccetZ/+TZIGZKpFB1E3Gu80cmtPast
Jd+8dZStKskgBvPiLS3l5BHdo/w2iGJ9Tuept+ydBqQmJzAmo23IN62d+Fu/c35PTQQPd+oXAAYH
WBOqrr8B8r4WewlHgaQmE8Wjn3wFTbwkzc49Wp3GWZQOZeaOOoQFzU2V3PiAE64fhSUjPMdhNJ4v
fMjkz40kKepniIbPipi/0uKb16N88dd1E/MnTib+fRynJoRx2DFYSsfERBH+Y2rhbeIcbc/ZMnOp
6h/aYC3BvmiPXL5GIwEvE1HlNUgnO1OlMHM7CYm/Sd/qMOhJKXrD3XMR/JCi2+vjEzzi+/iI7TV6
6dF8uuBpHPVRonshQFqMpqai3lnjB3Vr/7XwLuzxTuwjOkXJs3tTC0pAwN7Bl3711sdSJxffF5xA
VOhxk5HudvVY26jDr3haOXxLU6STb1WoD5E+EQnc2iZS81aWEPnUthWztFaMXdrFwNpoque0aNCb
nO/iMJYVKYMz3Y2drdfdStK+1G6ur/KaCbEg4HuZ7PgobPZ9ubfb3lXa8jksrZXQe8kM7yHYoZSZ
/0FkHAwLM5StvI1dxFWc5NA3x3StLLRmQjjyQeuogxP0sZt0U3G0oW86Esp6+7heDVvXTAlHv5xB
XkPJ/c26fbL64Mkcbqfu5frKCFfY++6dX+8EC/Pai0wQZQdCsOrk2K2zfaTdTOZGrrbe9+tGlnbw
qZH5aXaSsCmob9m+o8Z03Dg/6UIb6ZTpV9Z+yQYZXkARPH5U6oDnNmBVVuiniRIXquAZjbtGSLyw
GtwoIGugt3pn4Tn/fsVtR99IWLhS/VUaGsL8l4Y2kg9P1JkRwZcMVWBHvhIhR9nswQ+r0sqFtTBJ
Z98XJimQ4IO2DQZhatHO6F7iylwZweI0zTRFRCM2RFPCUodp2qWpb6PhOG3Gv+kJjVf20rIBUAU8
5si3O8IQLI3WpbSbcrftzAdjLO7sJn8ovez1+kos3IMWFaf/zMwzebJl4448P+wJiB9rwCa742Sq
RNPtZvSfdOXvMPj7urnFhdGQ1Sak5ZUkJgMzrsZcVhhVH9IHY9kbtf6TAZ1YEObNyw25rGs5d5XM
vnFgxlXM59ovtoP1SbejTZh+vT6ixXXiSYzIh07oKkK5at+gG8cscndSI/o9pt9jX1Kb8qSVAGLe
UEKAZBGq/GdHuFpCcPaFUba5a839EInamcTAIy2zA8jxzmqkF8BG6cp7dnlwSJUC07VmoNf57iAp
Una+ye7oyX6Ux9a789uVsGLNhHDRhGWuFLRR5q4Dht2889+i4o/O6oy340kKkEksWhuD2WlNBXtW
ZLxk3S+nfAqL/fVdsLg6Jybm6+fkGBXpBF6iILzL82kbG27YgEY1fwbxTyXafdwUSCbodBBKRDdq
ntATUxlEt3pSeZnbBs5WzZNHL81p/1DqTTLpfykpLYnXDS6tEHGTPgcbMBGLj09thmvrI7reKo/L
MKBrOaeJOF4Tc1szI94JuGwlsBiXpP6M8n6jlT8MdYVTaWmZTociOId0ysey0m1swMhdq8XOSBBC
KzeN7O/N6eX6vC2EHAih//+8Ca5V8qc09xMG5LA2evXFGEF8q/neK1aO0JJT1aFNx19Sc7wQJZTV
FDVY2c9dNTPuJc1/oAVgxcTS4pAAAHTBPxichYmzfHOM/FnbPXZyGimfJ+lL+0H9+DlEo5T2/zaE
+aqUXvJoH8rcdNgV1QYWievrsTaG+e8nB8cYTZ0GOL7Ps29TT/R7dh3d1it+emnVoXMhva/x1ANl
em6l0xR6NswhdZVBPUr6M7wbOy39kX+wrPPvbMFFTQRoQukiuoEargCIsOPU9aSX0Lj11nIxi+Mw
8TDQHb37zfNxaGlfOyGtVK48HZuk2LQB+d7k+PP6miyFH/BCAUUHZk2qULhgyE76A+wGuStN2TYo
btrpm1Yi29ntLM3f6fVa4PleixKvUbYYcFML4tuLHHmuWQmkB0nuIhI63VtkY7eRVGk7eVCkY2SX
+o3ZdZ8pNuX7QjXGva+Z0Z6mCXlT0Yi/UUoyOKNGel8NpXwbqk5+58Ectbs+LUtbFaUFMGvzG++C
dtGi16AfGweXm32J1QI6yK9q+wd3+6kNwd/CZi5Liixlrqy6UvlMEwzEFofr41hc3pNxCIeBGlDm
03Kcu9Ba3Vlq/2Jp09xoeVdGxY6sa4nQUrySLF2bO8GNpIraJb3N3FVfU+upSndd+ScWAIjxRprR
maIzJG04WUrpEPLl6bbsboPuezZ2f+Ct8LT/GRGGMaT2ZI2jl7tdVmx1KYRtpdrU0dv1BVqcLKI7
cLmUjIjIz0+5Res7bBUmC0QTcz8dJ9XaKjxprltZunYJvjSdfDpNFZbgeaOi1Np+tIjxOviT4FrJ
j6lTbcbyLUh+Xjc1T4t4vk9NzW7txMlHM9212RLrDcOXvnvSVj6/NF+4dvLUlDxnca3zz1uZkVgx
KCsyL8mDb6sHpfdvpcD+GHL13blDPwbFy9ySeyEfaHklOZ5u4mzqkA8gQ/9Jsu3v12dqYSikwlgO
CNRJiLzn4k9mqsr9zJM0K3bj5kcS7UvlEFsrszXvHmExgG4Sl9B4xfNIfD44eSQZliHFrln87j16
FZ2tI9E3n91CkLRTnOdyTWNz4dY6syi8JuKYN1rM2rD8wybWHks/2KSTuTXlcWVPL00fyvGmjpgu
xXzRCQRhl8ohpD9uI6WbITpUEDql9krYtTgc/V26kI519vX5doMJN5isKiDZ43810uIYmzdR3eyU
fE0lZXE0IB7fxbkBns/H6mQztFWZQefCZtClv2gy3Sj216ZcCb4XbcBaDnyToj1kdOc2fLgv/Clg
bVCinaSdFjzL/a/re3ppvuZ3OAjOuZdBTJqYeRna6GglZDOMLWrsG1kZdjK8Fu24cnrMBUfjIAZh
o4BIoYhg73w0kMt0U9VWievoYf2pNNtvZepl+dbQohSUVip98jLvGbDHQXIjegSkxDjkxCVwCsDr
BgI8/UqpL947zVRvyiIyeTZO2dfUG8ObflLj3wnJ/IMzqc5jbFbaXQebA9RRMJMYhUH9QFKbGwRX
BhcQRrap+n44xpIe7XjDdW6FmMRj10v0FsswJOVJI92bhSJBb1Frzg+5aPUBKhS73Wltq+6mqex/
NzqStFox9r8qODA++6kR/fDz3LnJYRq6M/JU2tl0sR9B6HyOuqzb5P7k34SSOR0hDNcPEBpAOSEF
E4/SDtFnT49vkjjMfrUaTFcSzGCw2YDcgapyrRVtcdk5h8jLOLyBxGWvI8j+UBznLJZHxBqeBmlT
RMfrW2txvaF+IrWkG2CBhEg1nxJLg80odlOgHk9yVu2vf/9yDPDWMnZEGWbxKLEPwzRLKdNrTiB0
Kb9gStg3VfJXHygPqWqtuK7LoYDZQcRmbqCUwUEITtLI6e/oihhTR6+lDrLyAhKx+9xeMyaISuiM
suDtIBz0PFcmqJgoT6QUDSFMrQleyomiTt4d4Oa78/Phfqjkb6NnPyTxdKQL96scxSs/Y2lCqY3Q
mQHo0HZEJQA5ztBDtkjG08bjDmF0I3e8w428voFPcXt98S7j3HnE/29LPXcGBvA9zQi12G2n6pDD
V2dOt/GEbnj1Ylf2Y7TmrhdXkIQMSAAVoLF4sUKUbunE78xw5x3oAXzoVPPD+50hkbxgV9LrcSGM
p8SV09gkABEsxVX4v+p0TedkcRCzlCepRcYh5pW6QMrCptcidzo45l21BvVeWn+QSgpuAQAHRcXz
NfGlSs2NjlpcGrTPSeLslQj2iBCegsq2VuK1RVszFG2+OqnKCLZ6aO1jB6VkN5qi/hbquOFQWfWw
6yxYzgKnLFawKfP3zgMruhl59/MAAVNL69b52OJu9BwHNISrq8fYhpuL7NXh+pZeWh16b+YMBu+C
C+J3sy3pa7RyTAy+dfAttdi3kKytPEIXXgaET1Bp00eFcxUBH4maZjV8TlTMxreo2zawEcbRiru7
tMFkEWca5GcRCBN5ifNE0WOoHihlAlKU0y9G+d2eDgolId9ca0xftDUL8lEGxPsZQpa+boC4G00Q
k2pOuzeTdOPW4BFMiQsq3CPsatb3yQuMFVe3uB1OrAruxyHwUDxaH90mGG7mCGJraq2yRQk2X5nL
RUugoVD/mLGrYtYJpqA4riM/do3872yoITp4Uc0VvPWCDbY0VOE668U2FzZ3Dw3NWAVO6IY8r6Zu
52TqTl9L2C9s7zMj899PAl5/BktEEUbSf1BK3kXkI66fn8VRUKFlWQxGI4bu8pjLSdGWkVv05a5p
5L+KMXlU/XYlF7E0DnpiQMKapJovEI0ggds6BIHtpjC6fJbC1+ujWPy8ig8FAE/mUkT+2GrXEFTz
eQ/CZfNGhWPquoGlYIHX51zIBmRPp52w2hAC15MqD6GrQfj7AJTqFRh+eqiIP2GmJXy3hvx7JRnG
I9wlHey3TXZn54n5UHSRsgYRWRwuAG9AFTq1PPGJkkkjtEGDHrqDKu26oXsMeu/z9QEvhArK/ACa
WxtBgYsnaOwrpRwlNl6ifaGHZJfI+jGoH8rI2SnwGRfaygou7UMe4EDEYAWnXC3Mb1CYSZdZKVeT
V72kRvXklOFN0/tfrw9r4QacG2+IpShALBSJvGFsm0IL3cqrbvxO/hbkHgDVwQ1b/e/rphZH5Mxv
LhwYVTBhRHYdZkYe2qFrlTtLBqDw1Nfb6yYW98GJifnvJ96hnGN9mVZ7t+uVfDdDt+AnTtb2/pqV
eaAnVqqh8mW/tHB08Y2qPRn9zf82innNTr6fNl2V1zbfn6Bw0uThkwEI+eMmWHVgW4BFVLoDz03U
htbBCe7hfrJ9Wu2ilThn4TpFaZMkC2Bt0I1iT6yv1fhX3Sb91dyo5r1qvzoQyg33lvbxaAcnR24C
pdVZd0UYB7nLqBmaOHBRYDp0jrPXtORj3ZPzqwgTZNx4PZIDES8EsN8NDQBh4AZvkBB/kArk4uvC
WifOGJp+yNedBnq6h1rZX19oEZp7YWBeqpPNVBX1mBj1/POVcpcjGxjXylaKRto+kIYK4PtK2+HX
2DWPvj58Loq1dOXSRQEiCWlX0HuweIhK1/j8pBnb0nf9WH02Ovgcv2e0m6gJlLFNmGwjzThmDbqC
CsR4vvIaK39wXk9/gUicRGO9V+oZv6A29U9y7n3uQufjkRwINco+7BF6wkSYmm/qZd9Xqu/KzsMg
PaaVOzorZ2rBfWKCFmcFfUHcteDbAtssrUQzfTc0DnUKP9WdtNZTuLxW6ozOBxADXYAAtYQXOW6h
z/BdCGezv1Wrg6xtVLobyW6kB2Df/lGH5G2TW5607R3SUkEJJ7c1+tJtrCEwdn3vLo54VjW04GqY
s93nW7cvcrWCuzFwG+VTkn41yl9+vpKoFZuh5uOBTCgpbni16IMT8WAIAXdExlno4m9/Ukv8Efg6
nHa/mrI9KGZ632bVZ4jbEJ1o6C66Pr6Fe4TkMDGL7TA4Iovz8TU2eHQttgPX7sLt8NcUBivX4eIE
nhiYY5qTsy9VI32btKu4xfSgxMgSUS38WBPkv/MHVQeICcBuF+FyK/eeItcFgeZU7nuI4NLy7Q9m
yYbphLY7agRioGnHbdbUUhe6ftR7KB2hppwnqA/8b1aE09VEukajGVaiTt3oQEvaUl0xsRBB0vpN
pwLJSCrZ4nvWKezcsao0JMkNF+QmhKfxNYJF+36agvhmLJTxGcEPdadZw1rmcCHK45KHZZ6nH3kB
sVwPgWnk9DrBulS2d+bQ3CX29Kb23Wd/1Fc2xOKeOzEl7DlvAIYKEzkhmNV4m64Niic1n/qtLUdr
23vx/FBmg1gJucsLbPBk5BqKHkT9VnvMXuNmJQxbmjQaPlEmoxOKaEVwP14Y+4XTTqFLc2KSD0+2
9qAk7baszZUgZs2Qen5MNXmCadjGUJV89lr9XqpfQOzTSrGGoliaMHpYVZLVlsm7U3Dv3hA1UZZL
geslx0q9GVeSQoufJ3lCjAT5yoVm2OgncTrRJwlq4Kn/7JV/cAEC2n1vXwU1JYpHUzYqlGgsAhfZ
EdoYJ7/4PPhG/2BWtIFc9waLFyF65/ADcVTJAwhvlWKEW7UY1MAda6nZehmQvSGOqyfLa4Zio0XK
JgiD42AivRG23c6IEDwpYtn8pfXtGsHMHMMKScO55/i9aEmCShNO1BCYRd8iO+K2CYhByhzNNtCm
4qDYmb2zrC6d5VcSNE6cz4hjDStea+k8Y5WQBgjAjGo535y0KcFm7Nm+aw72vZKEiAN5uyA5Xp/w
xSNgsabzPUgCTojjgxSO86nLAlfOmx92lMMA7PyKSwpuTb2SeVkckA2aVFdoc6Rh5XxAOTey0dtR
4Cqx0+37ciyeW2TV7/qyX5NvW/L4cx6b6AK3f9FgP0ptV44huygw2+G5TsDOGOUnozbHnU8X2mPl
l/pOq8px5cmyuH0RpYWWgK64uTZ1PkZHCs1SjoYAtFT2qQicXUJjTpOMcAEWu4YyZGKhnmLVDh01
arODM/ngjdrH8bs29F2WNbduyGTThEWNgtwupiJJefCjUAA3if93ufbiX9o4JzbE5qAC4i1PtbEx
tMe87zaGWWzM8VbroxWXsOTcwI3QwkpCy4Dw6XxKVbqClDhTKVHHN5a+tdLXj5+AmUkCFBL3MzxA
598nxTxWoxmlbhJ0x7r8SlkUPtkv6hpD19L2hz3WhDYQLjzdELyJr6Ld1Xlj6mrBtJkZD8FUS4B6
Pj4aHil4UIWH+YVwoaH5me/EXepWCAGp8LjcwuKmr2n+LS3+qZV5zU7iW9g3qkzT+tTtUQ6qjGqX
DP9EQbDJpJ9/MBxyJWB1EXu0xLdXJ+tZliK+50bazqq2jYMu1T9j8ye+lozJ/I4kQ3aRNvFAQFRm
WSduq6AZ5VQoDmjNt9aIV149S3sAG+98ZQSiYhkyCgfNGaC2d7Op5jWn+eVGc/LjlNafr8/boiM6
tSTsNuASXeUoQ+IqGpzxQ4y6kP3QS84mTozbMDR3pi8fpsl+nUwDbYgQYQ1l5WAtHdw5vcnRmnlI
xBqfX0e1IiVT4lp28w0260853Borw5zDAfGKpuAB6R2QLOBywiWpFAaKV2GWuk5pvOnltIunEKIJ
hhfnWy4b8Op6DTvn8KABA4oH5y7No9uhXqNhWFxY3haUfekcuMy1RFBiQGeRurlaoqUnlTuUIYJd
DQb4+ogXDRGKvOPpiJAEbxWncRjSW87JG2JYrYzQP9ClCbGG19reiq3FBQSMCnhvDg1Empp4qvwG
VT+Q2fXReWqSP4haKTP+93lhi6ae5RntwA3SKeamR5ik/ev6XM3P+IvNMWtwk4SiNi9WDqqoNbtM
9VPXL6afVnHnmFspze60ydj3dbO/bmxxYaBbg+IFnMgFekJx/GZQHBCIlv1Mv8lGrp8TmBCvG1GW
rRCsEdkgEiy229dt6CTQXGXoQsnJxsmnZ8Ozj+jtHXS/O+ghKpqbcYN6HlpU6iQ95oHy7OXBTd1C
d3/9tyzNLmU0JOHILtLMNf/Ukzsg9bzezxQa6W266J1R+bvM0d8aeSzsh9L63QaJ9AdTTEHGegd5
AiiancGJxUju4ZyhmOGO0sMMKnLCr7r6z/VRLd1sBmcY2KMJLkF0KAXyQE03EPNr9lGN90pwUJ2j
9kEV2/fkzZyRRfKe7DkEv+cjsXyUDpJST10KiEeUDY8oqzxNyRo7w1IYbJDiIj00B6SWem4m9BRC
bcdJ3VT52zGDref/khH3CayvrZluWmVc2Z5LDuPUnrBAOipp6N/ZOAwEaozfKlJU11dnycBcEECP
26a4Ku6AvOP8lUY839O3oX9vfPqDz898jYTPMGeKj6E0tbuZ7yImbu43JoQlRblGUbc4gv83IabE
ybWje2KD8M2CJr0dhzJ5UgN/jf5rMbtKtETHGwUAnNF8eE+OCqd9rOQKmIgRptbfozeEN1IopVtD
h1VjiL34CPORgqhm4gHzCfVD1o4I4VyfziVnRdqc0u3MiU7TyvmP8LuyTRqzI9qRpi3Anq/xNNxk
iF5eN7M0pTO/qUpcBfhKTBlYSMMqUzo3pnnediQf0K9lJdYszH8/nU2qUJIeYqHQtnayGeKbPxkB
VBTEMOBtZOH7hlfbgZVLiTvZjwlynCuZwaU8BgXtuX2YGv0F/Vei5V1UF0S3nf5gR83GtIwtsmMb
7oZAenAidWsoK4HZkhs9NSk4OJ9QO8wdwL4NoYmdD9u0ulWp4mndytS9IwzES/7UkrDJJr0Bzpc2
PA9D6yar4hv0IfdtGh3a0LjrIUjZJJZ/Z0Mt4EjNX1lm7jJbemu9aOXpv7hHCEEJZLkSuZvP94jl
Iy2a94T2+lB/dpL+DiT6yliXTNDhQHmIwI//BBNGKZl5kQITpSMreLO91EOQsBu+XN+MS5cGDfpz
2EQrPQ1P5wPpcjAzoz3F7mAOu8D/rEdkXx9z46Exuo0lvVy3Nn9NXL6ZxRkkDngWCKzPrfny5NdD
CmpOMzPY4ToHFSfnNoiTRz/W7h2oJFeukKW67Mx8+Z9F4bA5Uk39PALdNkb1Y1ekwTaTq7uxm+hK
SNv7ofQPUmduxqpDCxTN043V9Lvrg15cyJOfIIROajpOUzilcGtUm0HbBenKM3P5+0SiCnUPA5TQ
+aQanQYVkFJyj/kvavJjkoqVSVzy7PSp/GdAFQw0cSNFFasWpiMCY3l2CxH0D01fI1sQdgcpbZKS
pD/fkzMzYPjcThhUkzFSEXWL6LmQfuiQwhsGeqMhIrZrG0Pwkhe25nNx4uSRh9ZCWab7eBz+zvzf
jgZfO6qiipdtk/Sxru+VtRKe4CTfLRKVUWClL4Lsk7AT9TaGLgDJZlfR9024b/InMoGTtrJWwnme
rRAEAEcj1uQKEE9YqxQVoqi0LerancEeD/f119G5QSut7H9e39eiM76wJYzIb3huWxa2cuh8kpRi
3uTqPMAj69eEfHwrFbtAv8/6n47zOsQHlKdWBivs/H9/AD1a4AdBSFNEOl9E3wNo0eYpLCN3lrzv
sxUPvLBiunzyeWE/OlpRV9oYQ/5RPNC+JEdHyb8rzJUwVDhdF4MQdiLJeiBjPVbK9M4PdpN+2+of
e+bMJuAlYPORMtHoIReSqslQtkFp9Jn7Pcm/ocaG/ikN5LuV7TC7gRPn/q8VOpU5w1RAL8DKkW+M
eo2KpBv/Y21+wQQYWp/s5K6O0KG+09sn9HADZ+X6WnAZdJH/Z1NMkHjmpKUdws34vnY/2n/FhbP3
VX2b5K+es5LBWFioM1uCn41QnZ60APdkUwbqY2ujA19Wxq/Xp3FxRDOVCU81ugLFxHGG8HbcGBwq
1flSp7up30mds20NFZ3v79dNvfNMXqwYpweqLA23K+bsoJ22ennuo26sG+s+ceERPJi/Ub5Mtm+l
/mZo3r5rP4PHJu2G2ry/GfR9mDw7+WPi70IPUeznZHyOhtsyPFz/aRcnG865dww1HQpowYnBz5CU
jSShX/qCPu3XSv2sZebv/82C4Lya/yzQrZo5n/7Hrwt3fldReQgifn+lNPs+3klg5q7/flM8bcIM
zX8/vcDgOWkH8g0vlvKQ5BD8Ip16H6+d6UUrM7HJDAwxaX88t9IppW8iNKi9DJCKbtDlu1E9uikQ
xcva/oekOofar111SL4pUXsYjPIVVrRPfpQcTbsJdjSBBgi4fbDZjK1hKib/N6gTaBAwCI45zr0B
wGURvLbOX6b5OfpYQHXxeWHQ+hQ3ca/y+crcm+lhrVx5ubeZzPm6oj5Er7SItyrjsNCCwfBezOmm
HY7RsLIzlr9Pqx8VBypQYkgfZpXfeZLivcA1niHz+dFLF456clgzXT1hvC72eKtZqRSWXFsviPhU
93mw4mWXfr0OdS2JHyqrF7SydChDfTYO3kvr342Havj42pI5wOdRaUcoQrwKlSI3ikhK/FeTJ7HK
wfnwwYd4bg6WySlC4yX2vWqBXg+JxMMppJPbz99KaaX9Y2l+TgzoQkkAMVllzCpbevHHTeQfs3wl
fXBxy7G8ZCbmwgZFuIsywODz3tWgY3512uOobVByHo0/2KBkHUyZe1thruYhnriuQi7oAytq6aX2
fzqPKl1NH3WNcOBT2KOBEw50GhzPv29ITSONhRG+4oFG/xBTdptuHPXjG/XMyhwOnYwCCd+qqTQt
fA2zfTNuy2xlFAsLffZ94a2cgPOBcJ/vN9VtE95K/f/4fWEV+OWEtqEevo6IOB/s8vjhReC6cGz6
zXl9U9I9n57QsL1mGrTkNc92qrlJ7nlhSeH2upGLYIktShZhTt2TWMfQuZG6rBLYZjCCas3Gsz97
2UMo3Vf+AVqI65YWjgUn4v9I+7LeuJGk219EgPvySrIWLZYlUSXb/ZIYt23uSzK5JPnrv0P13DEr
i7cS5R70ADMQmlGRGREZ64mlOwd9FpcNmGXaN46T9Swq3SfEibnim54kp3QRkiKxtSYhvOi0TjK8
xJRFuV3He16xcu/GE/2kprP67OV9xJiVvtnmkPtYm2zKWjO3yCM+QIu/DlSViwJu59hJi86LNiqM
2Anaua0DW4mtp0Z3us9ZY/UHdcaYsJep1h2D1y3pF9oQdwC2/SYvcF8l6qyaitZGe8q/5orEq16k
7czTxdli9hT7kbRlhZiYNbYotya9M9qIa+/tHFEsUMaSMjbceW6/U+K724UFtYmlfxxjmxdQDm6C
Uqo+uG3UY2E2NveF1PppNLK2jA3hx5JfFMiQuQNmkyj8RVfVrltbbUTaRzKkIS9/AlfX9/qdc2PK
evGIMGeCvm0XqobNEoLDVaWULpNfbTQmzWtrx/ejZUjetS0FW+BC4BShxVQTZ8vaKuWzm7VtVHvx
8Eq8RH/OtU4Bpo+iSp64LWFArzvYQbkEI5TC+xCrWaNmRt1Fg4Heesf4qhD9ONpYTN2VMXq2tM+c
VJI376N3RZRAB240/L4PgyiYKnTq9J2pgGipVViPN9r7xMa++F+znuxj0B/64cuY9c/jvE8HTGM3
6bH0zD3tnNfbhXP1Q8SaVEdHIKbM+CFd2vv28DLVwKqgX64T2TImayLCEdO+YVhb23ZR34Wz8jmf
7i3noGgGWqGiLLlnMv3esh4ImqFv6O3CnOQiXavHOM1zbIqYwJRaJH7bYZqPSJ4aGQXBPjkVGTSz
rLqopVrsz5YFnH9yvH5qYiHvQ88g/ehKQgvUZSEPbQDqaFoTi5jyPJOHeunp0p49+k0zqqNJjixt
fA29RNfJbl7WiuqiL6vDIw4rq2qaWVTwKhiHu8p8J+O9CoyGsQyMvvBpzMLrJMW8/D+cYhbjn4Zb
FA0FmkC19jAu1UVVwUJVuyvHbwl5bsiBxrsyucMyJj9TfrJaxuvmNa7oLn9f8Rqn06Q1cQq6iflZ
z9kXUslSy1uWDJBOqE6iPQRDmIKmJ3XHRqUhLDIQv9ifyuTQ6XvJ8S3Hc2FNlsNbFg6gCVw8PrdS
gB3TQ4mx5a7mXpB5LzZ71vtH9JIEGvtVO9+1+LMynDAYUCYS8luHiN4nFByWBecXJca4VLyZGtCF
CfBBfdDdupJ6eW7W3xd0zc2mMY1NfN8wgqIKTBmo7tYDsP6+8JzlQ51jAWwG6wQ04h3J8jqkJrrz
qKNhTwxH/1xSTEmkzOq/5UxQNTMZaVa44KyeZxiRwS/ru+uisZyNKBm4GMQ9yIqjcUyQPm1yoc5l
A8mwj5797jK4OC+p9uM6lUsJcDDRim6rZQ4cYZzARwasMmPKTBZpe8UYwkKXFc0ulWghgF1g6j+P
tGDQsanXjDkdQIB/6chBV1sffu91JjZpLEktgMTAXRNRvcyx4DnaMVg0Vgea7wr9MGqSV+PyNsAG
ghQ4nYirL7rgseyADKYCErUb2l2oxngNd3ku8Z02b2NFRdCXUudG25tKG5Xm18z47JW76wd1+UCA
C28BQf/npITL6LkB97mx8EDQr6jSwXs5cL32efFYsuNEn1xN5i5tXc3imWGOCod3gdmLckg5o2uH
RdPYhIqxdwCwzWT7PCVExF5wbTA4pnYdFiXN59nCbrKQaRJn69LSIFxc0pVIaQHWXczFkSyjfMig
7yny+N3Owt4pG6Ce4ZiEqQzneJud37QEnVS5m6BVoISH0h0coJaZ+8wNrwvCZchxzo5gXNA9z2cb
MF9RNXVB1gE4zkEhydJ9Hb3abSsLSTe8hDN6tpjsSgc9nnUcXxK/EljLVLlXm9hnWti5RweSqBQP
lN9z2armLbVdXZtYUs8IBUAihztpADsq/6wDa9c7dL3kNGVU9HNfZLD6dnYsUIG3x7NvcfaYtK94
i67fmUQsbMFVaDo97YExizNU7j0vNNzAlcH6bNmf9XEtf185VdymlksniIVr7vURyOESFmTfX1hc
fb/teTcTRsEC/8JJoKqSEuzm95fGA8ydIDcgXnddm0CjGaE5IzoAk/ppZj+u38EmAczPIBGGwgS2
UJ8zoGSJoY7UQPYo+5Lss+b9Dz6PhWA2HkyAuYnZjZarWQ8oDhaZHLjwgS4xYpu/fvX55e+r4zdR
9nRnjs+rurJDJrIv99d//6YifMCQoaMPDq0QLaZEN6ZBI23kZPV9Nb+3yD0h27DrW5lvvmnAlgy9
hwTAgvhyzkrvqlRp0YQUaWO2U+0Yw+d14bc6L/2urxA9yrq4NkK6JWEItoB5BahwMRrIuwzpbtts
owGjGJM5Bhlw7mN0GTv3ufNpLHGig4JOq+MfHCnKG8uqdoQiH6Xf1Z05fUriniCbN+atj3I9hq2f
qvKbeyO2FuI4OAUoDSIJuyCIiZIdj1k6oZcLScsckb5Jdmmu3+VcBhu/JYI60NaWRDIq42LNTAEm
oVI5RhfZDnaWWPN4KNJZBmCxJRxrIoI9bkxl6JTC7CKKpGCv7yc79xn9BljGppX4hZe9M8u5rRgS
rHLrUNK3mQNa1XNC3kZW+Fa6n1QsS1Uj1XlE+qfD/y+wdWYmYVr+gccITHlMwS0ZvYsaoT6gtjqg
Nh1ZahLMrP9kkuHbdQncujKsklp60gCTeAHoYrBayw1W9hHSev4zsRL/+ve3jMb6+8vfVxKejCkx
mYnvO0YSFPbsK/TJ6XeVcbhOZ+v9RC8aggQ4wICQEG6qoI7b62XdR0DpOs4ZdkoBq7Poxz+wgQYG
f4HjgzQWArhzdtSJuVamVGDH1oG8t/emQNd9hhzddXY2PFLYIdRl0O2JwRIx8TKM3IjjROVRbTaB
3Y27Wbsb6Z2TPultSGU+6YYQAEkV8SES1ZgFEAGQlIyPWVN2U2THP7qgrf5znZkNGQDOArb+YBQL
4ejFw5fZ02AlDofhDodxP5d33XyAOb1ORdyKsBi5Bc4Bux4AwIHxNsEwlGrvFMow48yWtabxKWt4
WFmv6Os3nSfsX7TqJEDXHVB1naCe6hDQqoEZhzZ7spfBY1kFfpNrE8CmwJ/EbxNLwLWp1jbt0inq
y0M97/IRLRb32V/Xmd68uRURUR5zc9BGNZtgoEr/VM9/EHwD0+43E8KZpgPSLlZcTVGGpamY6i99
48Zp93+ubUVC0FwMB6CJ2SjBQva3lwXuo2IFKfp8/91BLQe5skMZV6aZ2riNhB058rXs5fr3Zbct
uCwmBs0wmFfgoPr7pA7J8Gn2Hj1n9++oLL9ixYU95YaTpfkUYTk24KoCayixkfvelNVetsUK2gqX
AcND4hxZrWMoWk3qKWJuqDmBfnvjGFR1QeX97/cFPtDToKXuCLHS5j03jlkhCRU2XoOz7wuePCnc
Ek0H7RTF845oezr4jWwryCYJjExgwBS4hABdOb8Kw43LIukJj+zJN5rdmPq2DK5s8xZWJIRTokbL
S1bGU1S2T/YYzPT1ujTJvi+cUtIauQVsSI4mksAZQujd9e9vHdHHLiT0mhp4koXvqxy1wqHT58iy
XzP176kZ/CyT9Hcs3zhPpAI4dLH7eLWApSiCO0wTho152qgRmlp9RY/iKgGRo+PcpwPfX+dn67ws
XDVatpZysZjO11iTlPXYqQhLHpiqBGyQDettxSEIEB20PaEIeTlL2qozr2PEKFFsAvYDWl7lmupb
nRFkTvrZyeaDorPvyxjNnMka6rZ8DvAFuJoF9eNieLSzrC6m6G6IPLZ0abvZvR7fF+beIzv9xjHm
D6OP6gs8Qwx2wLcVtKdMR6BxKbEe9aYa9uhVbGUb5hblEAVjTUFQHjZ3A2kcUBjHMH7K9vxXfONG
6f8yYQCFBpIHWA/h5RqnCls5alOL1DJ0SFDlxyyWBIhbIuciIEUJDkUqhMTnVsYhxOSzlcxRrSs+
1mT7nSNR0k0KkGWUuwGAgcnvcwpKpjQJdrzNUeemwHXL/B/XlWbLCKD6ZCFxADcIXJx/f9IKA3PR
8C2tLttp5SeSKYD6/oNjWhNZmFy9ixiqRbqia6ZoJj7BYucb95R93PT6+8I1ACxmzqgHJoz40KkB
t8Lrh7QlrOvvC8JaTDqxsgrvlYfwSGu4b+kvnVXuGkNiLrduGyUC5OoRVGCqUfAXDZ0QOgJ5Pcqz
eZfpDJp9OytIzqFvECuK0D4tZlLgY3FnNMYRaah8r9XqJ6Mb/YJbO7SmSMLjrfAcEzoAq8ccDbpe
RO3AYhmjsAw6RpywKlQ9rvl1PZq+WbnqrtLLNDAGnQWO0nZ7ajbeS884fdPtSjkCLEsPpkHlspVX
G1d59puEq5wsFb0waN+AR54GXfljUF6p/uSqkphq66U4oyM8rilXSqpq7RgZZYXp1xc1OwE61efN
M3WxDx7wgycTA+XX5VSEMFkUAYg86HpAP+iyUFVQBEtD7rXN4yHKDdN3AKWkt/6M/cp01/CDExc+
sPUCtXoz5+fWkE24bbz1OsqAqCgBegg/QjAlCiY4PcV1+kjz/rPAZqPrrnIBpv1ALEn/8eYlLoPa
gPMHbLiYTWCYxsa0QzVEs/6rcJm/9MQ0k+Nnzc39dEDQBoQ2ekjxWCHkPzdcWcFmALj1QzS2e6xg
Subd9QvbsL5osMXztOzBuEyLOAZVMOnLx6hv+wAu82HW2qA1ZOXsLTLYF4lQAXPlaH8RxEI1prKm
JuVRWoZlemTmq3YjBPiH5K1JCHrVtmmO6SGQ4MAdVgNFu3dkGQQZF4JKGZk+MT6DhKHsp/QBg3Ca
TIQ37C/SILCKS8IXW12E+06W5a0eqETmIVND98aV4f8c0u/PfxiN1TuY6E7VqAY+P7675lOX3x5W
rX/9RyFw9XnT7kpOYEPxlu8y5aFygmqUvORbmrc6oA8DtCKh1vGAgU/cQfzedv5c+8B+qmQDM5Jb
ENV7nrvKY0nLo94JxyyD0fp5Xe1kBJa/r7hItYQNzqIPJv9L+V5Uv/7g80vTPFJ26O8Rf3/SNabL
ami1gkn6HqOct+62/0eQVhQEBnSTxiqrQCFtAv3OyHd/wsASZwCCYkk6np9POelmNSdsjJqZBmpa
BrJa1dZTgU7Y/0fAEfSMusXgmgSvo+s8FUXA0f2CTcahwv3alTSEf5y2EGksCHLI8n3A4Ig54Zpn
szcD1Tsq2kizdvFwZ2QnrzkM+mPnGLtOP8QpxYz0bsTwbea8Xz/KjahtcYBgfIEGBYAcgdMmNqq6
1VMa6UA09IDVOy6wrDCTgH5rAGIyy+5u42iR0YQFc9H3g30MgpXEDuUOf/CaSCuxF4sczeST0nK/
pYmf27JB6eXXC2d7RmzhfqVI1DVIXBpuE2HrsV9X90O/V9hLXPzIk5OTG77NDUk8tHWea/aE8yzg
4vRJSpqIVMVX1sEAJfq+Y9M9EN19CoR4fR6j61e4YS2QP1q6+bFDBIGk4JSnzKMeV7Umwk7B6Uct
+fqGRT37uqBrxqDoVe/g68Pngr9Pzp2WH7zqdJ2FrR6QMyqCb8ZGrzJbA1Sm6Thi+5GZfmFxGvbe
rxY91J7nK/xA2D0DCtd1yrLDEyyV1XK3tDkIN5hlR6rvD57UM8YWp2ElgQpjtJwxTBeh6aAr/VhW
6Vn+fVHCXczFoAkQnhNARM6/T5Jy6FBVryPL/ZbSR929b/Pvtx8RpgDhOQOwE2tbhP6cohuc1EiK
JioelTm0bsT6Wd4Kc/15QXxVJ8OQ0lQ2EdaTDsPXoZcVIbauGG8EyuRwmDBzuEj46gr6EcsGFMWo
I+Bze+yZtDJs1i2T5mLaEM4NkiCIjc8JVBPDynaEMlFa1w/YsrfvMubnVuPHzN3pjWxf2JZGLr0G
2EdkomFDtKDITVcdllyh2cB9VWoSlDUAhtTIkcQWG5JloRXQRD0MkcXFqBDwkZq4YRWN0l8AE2B/
Y7TrulxtmEpMfeMhsLGTR7/YEo8M26x0c0GjIstzv1XM+3rMd1nf70dPC9umwwDWzWAS6NBY0xTU
PV9w94lb0oiWP4miAAznD1KTZxQEhSw1h1T6CK4awKi45T53ZTODG+J2RkGQ53J06z6j4CFvGaCz
9/3gq+0BAwOO/eX6DW2JALKry0QQnmug25wLNnMVh48kppHFI7f7RInfW4frJLYSEdgQ9j8aIrgD
VwY6ZiYezJYB1zYJLOVUeABstZ9N8rkcnjP6bOmyV3rDJACFBlEzAOldJH8ExtR6sPPZ0eEXuCHA
Fo0uvM6V5Pti02na6TBoLb5fuJ9MI2T85/Xvb5iA9e/3BIuTDGmr2bHZREm3FKh0N8zzRxzWv6Mi
PP1xMtRjnBqgUgYsuQP+JAF+uy1JlsjOSnj6c12hRe+Cl2HovlKjfiRNdrzOiIzE8vfVC4DqLf3n
uJpkx1AeluFmyq5D0Hns/2VmbeCgZoa60U6h97HizzJtlHEh6D0hpFOpCipOfCiLQJdt65N9f7E7
q1Pq615Xq3hxhRB6YsIQe/o4XrL363exab1+q564eaBlzWwPJbjIaTCojzqG6NV9lj1nspYeEVh1
cSzOlERQ8hr9JIZRQgk9VIfSODuMc1H4LjbT6kZq7nKXNLs51w9Eze9cpfd1j30pUvVIlfpxHGI9
GBLn23XmrwsKukTPjzirNeBkVDjiutwlVQA8/vwbxh+vE9nKsq4YBzL/OZWZlqla5NAo0mtaCOen
8EkT92HO0tFPmmL24Y+95rjsXZrMre+mLvd7z8JyaswiSwz8tlSh7GkC8QuzEYJUaYnt0ZEi3iPt
Pq/3iqy/eit+Bre/CQgxntc02gwfvokyo3118m6Xmgrgcx2fYgGYqWdHxfT2AwdyILjUgVeNHOah
perL9VPfvtrfP0OQtlnNZ1ST8Y7V/aMzJH7ZGD46mhFAO5L73dag/1ES++WrxBhtqwWl2Xyfk4da
fa6SYx0/SCe0Np//3ycrBpaeQ9q+H3Cygx4CXwErrKEU109t+/lf0RDeGMCWjhWpEKHTekILxMmu
n2j5lKqfzOaxVQ9j/H1Kpt11ojK+hOcg1t2uQYIHr78HDPGn0kVw/kdP5+87El4Ep6O23i4kFEPb
aW3/Ytnx3VSzfTs6++vc/H/U/TetRTJXdnuOJ7RKUAvPdPLU6T9K8+Q47yNpfRVrD7zm70E/edNf
hXUAlIxEFCVCbwvK7bB4KAYDEsK0A+v2qneqyC7vJRxu3peFfkk0ISMrJzZpKIXRzFU3474cFmCr
VN8H4fUzXJRTiKJRhf9NQeDDJZaelTGeCqu98/qjWQdW85Yre5rsYu1hYpLK46ZNXJETTJYBHP/e
dka8gQClbHxk3a6zI/u+YIuaAtuWUhsHRvPDl05m0SWHJeYD0HyRq5OGw0q0EEmt9jmNf5LUd+rH
OPiTTo/1zRjCW1Y46YAlImDF0hPMosV+IrHbEuEyBANEsRmb2f0ETS32fYxW6c9cBg0uuQ6xhyEv
Bp5kPQ6sxmqN1yGTQWhvs2AuOyEXlHqxsajRy4xPHt57oz2SYfB79xDPst6ibSZ+E1n+vrIyFq89
o+gWH7c9TtnzaP2Jj279/r5gMQetZH1V4/uTtbfSu/IPhjQhSL+/L1hJhmlDvNE4JI295Mq9k3zT
44NTzhLVk92FYEkcD7UCN1+OKd5lWMaJBeuyzuDN999yYAjRNITeWkFiCepogABByt7lO2X8lVcH
K8M8kPNXDbf9uiHZtO8rUkJsNqAym44WEgBxdpzML93wtcewPnMkIeD2of3mSJCtytGS0Snh0bD4
q10Hiv2Q55I3RHZognjpfZXllQ03dOweqbtDa79vJveEuYF943LRf+KO1aEJkjbRCpBbH1kTzy+w
yLEMpLBOm/eC5YfYu4X/XAzklGOjcIQ3MPA0D2Pj0a0+1fST3UswVLZ0HgMPFooK6PW5GMjhTlk3
fcZhfJMdQOxU2b1ven9rAoIoO97sFRnBQ9i3j3n5va8PhdP76fDaOS8W+xuLtcJ6kDC1dXZrmoJM
U9PQeeoOTWRb+6rySb7XHext/nJdc7bkbU1FEGlUeZJc68GZrnyh0yEr0dO9T7VwlqFEyNgRBLvs
7KxlBUPU7pGo7MZ7Stt9oSWmn1eTxKtd/BLRTVozJUi24/RWWXdgygLSfB6Q/H7mO52Ho/rs6qfr
Byjjazng1XujcYCIzwP40vRwStHAfJz5p5z/QZJ7zZHgiVW9yoypgIRjNMtpQmNCElUS4mwzApDm
ZWj7cn+3RlXu5S5ehN62H62medXc8ZDCswS21B90j1kmBn/+S0vMO9Y9wS68xVtq7+Kjio5mbG+5
vQXwjITgkCnAkNHLHikMtzxo3ZNr/oEfsGZBMAl9nBbzlC0pEoD8qPQ/rI0lF7Jt1X4fkmAAZt7x
PktAwYmM2de+XZdb2dcFxe/RJYXOB/iTZX2w2a76kyd5fT6CvvdlnMd2vIiTesTqbzt/bpvvaSLp
Sli+cqnpv89I0HQrsftMt9UmiuvnMn9X01dl2P27gxIUPJ0cBy2rUD0+7WMjkFXFN9N/64MSVBuL
yvPBI7jmPs9DmqVhnL8naHGsmgelfDZ5uUfbMdYBfDf5/aB/SryfhrEvLVmILJMHIRarGeAvnBgq
2aOjosNqrza6fo7X7Quaws4NZdw0vREvAYyuvXDzmJZ7nnzWsvfrVK6zgX71cyoE7tlcl6BiINIz
jsYkcQFl3xfUXrPTsWgbxEg6xWDEXSHrlNwUaAOdxehjdFysZTn//Zgkst2iaRHmlQOaXQ3f5e13
0ugSh3mTjRUZgY061fTJNvBqsfa5Tb8QoPP/wT2sCAjGK530jAIBBH5sg7eq+2nXX/8dgYXD1bs7
u93YDRwclDzUZqC6S6zvprgC+gwLLVG6VsWm60HL0AwFwBf0/wRZ6xf2QVN2xSiJ6mVUlr+vuNAV
F7lutjyEGEvg2m60vtVw+QtHVkmUERKsmDdU6ZAQHFccc5/Fb2b1NgC1cxrf/+Ba4D6YWJ+Bf8QZ
22nscmfOYPZnBX3EJuQX7VPXSWyqyP9IoFni/MzqXC1SMsPmqx5SO/5MvrSyZP2meqxICFpYOgMB
8iK03Pobu1m6n9cZkH1dUD7iKC7nE0L8Ln5Fq1wuMbSyzwuq1yqtSfUKV6A4h8oARrrk/DdFaXU4
guaRztDb1IHMVvbB3dffXgxZZUh2w8vfV1oRN0NJ7aUsbRXBlD2hmlvLXqPtQwLiJpp60N0nJgfV
qUMLkQUmUJnOxyCXFgw2eYACYJkb2tJhy895oHBAyyKnyBOVmY9VK749PqT205hoey3FNqp0CLX6
1em+z9Z9Th4bzPVl3iN6HyW3JfsdwrtujB0t2NDgd5Dnqdvb2MAiE4its3QBJLog4GP5s/jmVhnp
KmsYSzT6aEevqEKT/byuMVtMrCkIGlOTueReP5TRbPyK6yeT3hkAp7iRhoukG0AwdOz4Wxb/CGpj
FUQfh4nVp7xR0mNSx/YDsj3OXTPZnuRt0ZbLP3NbP2hZHvJi6N69aIXkOSDOinquTyXTgyzDUA8P
gFsS9uWxZ499Yfi1kgdsaoK6y1+x1iItmqOWVo9m3vjE0QOW5uhOVyVHcJEMwM+y4XWgu8hYACaE
I2iLfp6UZqCnmDm+YXc7JXur0dirZT87VxLRXlgRgZZgRbBdy6VOyenJdb8kXu5jVVyQZLqfzqmE
qwvhESgtf19Zk0m1c0pR2z3ZMdlNSeZDVHejdGho8/BcTAAiHkYHojjzAJNeWn1N6Umtfqq8CUrt
cxrH/jQrYVXL9ttcqBx4wjg2xNTG/wJI9jlP1CFZCpyi5gR47nerSx+GPJEIqYyEoHOALLZNBcWf
E+nq77niHntCJHmaDRIAfcFKOfwXM7IfodHqZsxpoBbW4janLleD5otb3bgpHnAvQPFeEViEcEUA
BQddU7K6OekZ8fPxHlZjz0dvZ8ne3MvipkBJ8K9iFB0wuZPjQrAXV0uAfNr5wBvxi5aFc32HNRL7
rOtCo0gOvZf5eXtrqQ6gJq6KFbXANcE/4oQVtWpnqJOxPhlzdZeA2V6VRD4b8r00vLsAD0T/KLCx
z8/SKRvNmtqkOXFODkOGBatknP0Bm3H8klnEr5lsZfmGeCzD7tglilk8dGQIZ+oqbpxkBBQrRccL
/Z3LvO8tAlj8YAC1dhk+Fue5nAGFmMyy6lPf/TUldDd4MkSqDSuHFdaYpsdkGnpTxUPr8qGrMdxc
nyyEu+qLH2rp+/Vn66LKCQgqGBtgSWDR2iVcWYG1qjmv1fqUYjuduSyPTf+uLPbQYdmpNtqB5u64
bC3UNle/aQqmIeedUWDwC08lx/Cn+dqpb6lWBRY/XOdtk86CPAGJw4JGd/n7Sn3LoemBrNBDqNH6
NPK53cUZWuPGxhmCEmCWtz8UHqZrl25lzH1izuWcXML6ogByYH6aR4pyS7Eb0ZFE1ZsBCnFj8Dmh
q8DiVFEIPSej9HmleMTLll1WU1jLhhS3hHr9eeFy9DiZe4D0Z6emaKvPrWU2944tTe9dPqofTddY
LbM0818gRLVTqSvo9k9O3ZjslaTaYQPKrtVkqKiXjhLGRW3M4WIzMtbAiBraGrzG8h/enTD/FWbG
ccr/cpJ7y3pQvX1VfL8ubpcnB2Ngodl2gb4ALIVgb5hd9rMdwwOcpjjo0XN984YQF6uiAPKPvIiL
bnJxCGJw6r4fsRITfS7m3hrf6+IxM4E1NP/ljLemdwVSgurwMW26tnGaU2n7XulT2TzHxllp6EvE
aj30XAO6S3gNYqMAnhq6YU9ZSUbfVezCZ20lcUEu9R9SA0gVmGYXDoIIDwaxyqZO7foTdueozd5u
Mc8euDL4uw1WMKaweL2Y7IVXI0RIDK2FWjrOyQlr5fWnllflznLTRpKpvqTiIJWEZm44OwAMELvh
LARhc0soeYvbzgqxU6FlZnir/J6TEAyLqybKqAGs581KXkseseO/+7xgWIiST7QDjuNb8yG1RX7z
jBPiR4yLeEsFd6kYC/bXrKxy4B1138hAd9NTzMzdzRycERCUwjaATNrGrfs2Y5U2c7FC8NaarcCB
YEFa7Ls0EW24b7xmIbp1/L+9En7SfDOMLnw9fYk1sEFGw0JmIQWW5qM6VY1bnqrpYaqS3Dcm5Lv1
22X2nIwgUBMf6wl4R+VJP9CEh1hAfbPEoksOYztIsCLgRKbk/Ck0Jl2d29HLTxj+9d3joI43P+kL
gSUTCQ2HoyfeuEVIbvRKfrKKzxjayrS/0j66LlSXRgrvBSC1gVy5DGmIz3nFtLrM3SHHXXQYfw1q
M+iSXePlEmN4aUDO6Qjql2mkmLCNJj8Ry/Ob/6SZDHFURkC4DDd3WMMmEGg44mRuBlp6a00WUJIm
ch7L5iqs+BYn3PKYGpM22OMbkMQQKofuLMMSu3BLQMFSl1nx5cG4WENUul7N3WLkb2YfdnEYO7ux
lTilF8d0TkLUPURaWWVnIKGhMPfZk4EPXIiT8HlB57KOOLE74vNEu+9/kQyTAM19ffMMxUIFFhae
KDCOLxbrFVZe2lhswd/Se0XFAllM19+oFSCwhKGobMJSXUzlcXVmLDXm4W16Gey7gZzI9KWXrWe8
HMfFSwEThbnSZeTzYj6qAnliu6MOAAK8GKP1UA40wMra57nvdjbwjRWF7M3J/FVjVEtVZA/uZe32
g76FfBlwRxZcqXP7VdE5zlxa6kDrKPzG0kLDOBbTFKCEF4zmfZN8GqbHtIuxmfdAgMnJ06PdvfYy
O30pM8sx4LStj80IYuBS0AQBYDbokVPHQQdIZ5YUoYN5u4rf6gMsDGsIOLE3HMcttohSzCSoCZ30
yPqiDkfVujWLIXx+0b1VwDePGvZgNPi8MfId2uqTTrYJcFtkIC9Ah1KR7hUxoi2qMNelFjgYEeCN
tV9jjJukO9PDbMIOrcKNva9Gx2+k8xCXtglnt6K8xDor5sg85kYxm3rE1Pt2/jTGD276cl3rLm0T
SCBOBnv6At0nyCOGLWlfJ7oepcwfnCCfw+vf3xA0XYVK47UDCCHi2HMWAFpC4gYuO4oau44eiwdG
sflA8tBtnNOSuANaM3wbjFwKTJhEMZLUqMxIace7VBkeU4N/onTeX+flInGyIOxjztpFbIHdSKLb
n7eJ2mlqa6JJ7Ftv3lnGrw7jMMT7zPR9QdGQpMoGiTduBz1PGuaUoaaYMhIYo91cVV5lWFGdJkGr
v3AqyaduXA9yWTpMAeJMVDAECZtbp+WUJHbEkpdxmP36rxYtnY31dv3kNviAvV2Qjk2gKGqmwIdl
zI5TF4oVDd5eVwJDwoXs8wIXue5RJG3xeaa+WMi+5LOk9LBFACvGUaAGmgjQWYUntqVe2qqEWJHd
1v4PJ5f1PmwI8JLxU7ExfSmmiPece2Roq76wo5yf2pQAr0ELPedmXwqLAzSIMPYeY6JfXB7glTPq
VDW3IxWd9F4dFPGPm2/ZgXcAgVKx+xhYnee6PulVqvGROpGp7fskNGWAyBu3gBwITl/1ltUAYr2k
0tXRSJDKi0rM4qCsuMt2tzIApG/MCsGIgAhu45wBu/dowYEAGhkkZFVAi5sfq7PvXziCBA9VgXRC
pGoP3c+iltinS2XGziw0nyx6jH2yhnD+lTcyp7M1Eo1l6lNvfvI4e3KGvxzZYptLcT0ntPx99S6Z
rZsMQGcnURbv6nuF72Trarc4WcDdsalbNy4RV7nuJENMCzSdeFWgZd9s8xQPvsZUycNxKVFIRYEG
QgyAW1xA9nQYntYys4nfZjOoyENiRjcLFL6PipuOrSzAlRQOqmi4TlnfxW9IDObDMZOBgm39fnhV
SOIgDwLFFgTWHXFItZHGb8pYvVodv88BLCnxyyU0RKGtgJETMyy0e5swTzuqe8+Rye0lBXSmI553
HQtaDbf4XJy8MvOUytPcqAvRe93JpHWx/melc2QJ1p9fhG0lrYaeVgmSIm405btR54FRqoHRP3WG
ExBDC+Lbwz3QgzeCHerwdy/AN7s4beigpx4gl9293Xl7iR2/1L7z7wv82N5csKoh4GfGupyQ9J/U
29+7cxLiez0VpaHlIKHbe6XzG/3uul4s/754JQss9QJEZtgX7ymZOYtnJ1cifeZYOQC/sz668XEk
Tx6Jb/ZwkSda0RKyIDzNi5ZPoOWyV2SFvUrWLbAhvuhg0VHGR/CIsqPgHBBncLxGsUjkvmeA51eT
m7ER4XN+RGto5dyA91RjE/tOnI5E7L42vd1sjLvr17GhIWcEFg5XGtKiqYK1hJFIy/JD3Dv32Blj
lWGrh7beHYnh7q/T25DgM3qCwtsKLwo7B0OFpf5I8v6YJuVxKoqf18lsXYyJngNtWcztACfpnK2e
06pNS7CVFS9A37AlqdvNz2MPCeIaSPIFQHRWmil6BRqCzQnfKgzfVzeX/XDvaC4C8hKWlcKrEgRr
TDVGbbciUTugUWpP9Zu9WmwUx6JN1DEAu3OR+krNfupt5lmR0YaDFhRFeP38t64ZkdKScMaC74s8
51Cj7yBubDMq4uop/z/Srmw5TmXZfhERzMMr0JMkS25atmy/ELZlA0UxFDN8/V2lE/fspiCa6H38
4JcOVVJTVg4rV+r0SdXaQ8ScDZjB2j5cixEveFwVfQv3EDw7vvxb3ipK5KdE0FUA/P0zCyHIaYBk
HAyHjn7JQcnIktSbLOJFBh6qLQLB1fUCYwC0lY0EqZjsa8AWRQpCDNQkTr/k1PlUozCoIeRwe1tW
18tEXJU3mgAqQ1DuXdm0FriuzYvSNV5d7Htq/ZuNdxDh4okZDg+bXzzwViQl6JVwsKYJTXkYuER3
45YSWZ3GlRBhGrqcUb3vIAR8zEjNnLPk3vwbd/WvBAheZUlyO40iCGjHDNUUxP0XhsJMgGC9yXWB
4g2+TGAS851PlnO/P8P5x8BLzbPTiNoKelYuKNHj0NIuWjGd+kTaTeWG571yZGcShJ1W9a4NeQOl
Syi9jfWuosf7jxKUqwYtBZo+BTAi4SgVtFTlJjEvUTicJDQTKAbmqt3+7iuBbgs6iiiAYwS3jnCW
1DrhnN6heSnjJ/0FvebuHx4RULR0ACMXsg1C8i0z63Do1Ny89OSr/SJpb/9ieEAIEcfh4GHxnYgL
pcj7FucI4WLtRzL+uj38igK0FEA7HQ4XchYYz0hzMjqVknQxf5hG5ynU9Epj9ApnK62+LJoFSExV
8FxzCn7gt4R1KhSLTpPRShc5mXZyv8vzR5k9J8MhUVLP0nwZAXG72Hg+Vo7wB2s6gtQOGohYgtBJ
rWSJpZNz6aM3Zho7vSyPNLrbEQRgDLbb/wsRnvJIk9F6jQvJjZdiT++GxoIrGAsHRCTnZF+c31GT
pXgC2+7FStELr60+pbG8q7vsEwhdN1xmfhWE5xDYB0B5ALGxUKYtXJW0r9IpaUPnMqFe3nJ+mWYQ
0pP2lShbgPiVjeHHGcxKioHsnJgqkc2kqfC4wHDvxkMFP0qpUMZWq4fbx3v5jiD0pqC7NZApQA6K
UaVBMoyp6LLmNdfes4NR/r5/eN4bFOoXbbTBSj1XYC261gxDbtevzvDZjj2l+B/HFxRkWE6FVtUY
P7I968vdrVkd04JiRDECvh++jaDfe2capiF0oi+jfKqMfX33EwtOfCw93HMOFBXX3slCII6spHrt
jpaZ7ZxqixBpubkf5jOsaF1B1FNMtUvqGCIcnbFXIOCdeCeHd0f05uMLtmcjR2aoG5SBUif9lLlJ
zjYELC8BVh6EBwinIfqsiukzO1Wiyc6b8rVwyp9NO3pOx7H8+o/bp3Sp46FwuQJBDhYpDhF1GgPl
L+cdrV/r/nuqa94IjG6IhH7GthJCyx35UO2mBfY2Bwgt/vuVr+lUVdwbZdO8xt2BOS7bYizcGp8v
6NX4Sd1JidZgfC3yB8tN3m8v1NbwwoUYDBvNFPu6eZWQozV+oMuWe7cAAAp1eGMGQumLXlpmX5cs
tOXmNQOxd3VS0Dn+fgF4XFF483EjxFxGkXd6Mo01fSXZt2aX3903FRYCbhtSpagx4G115+s/mfZo
ZmVJXlvbr9ENYUNbr9yH2fDC+ieRBPkFhvep8YOd8vb73aszG1943mhWa6HUY3wVRC0/Szve3x5/
7fsNB4aAyZtWITg8X55xVNRpklLySuOdPh6UcDeoG/HBZTQHmDIF2ESOfoWfJ7wIrZPZ0SQTAkjZ
q50UXlPFXkPAQ2xbAOnkbr9V+LpyJ4DrBAwaWgodW0S/Ve8KWk12TF7lXnbz+FR1r7cXbSnAARkM
MrtwJZA8FFGdfR2ielQyUICankNXb+52YubDc/FXKmNMUoJADIafyLA3htEtlAatVMyNrd+ahXAz
cOPrAo5//srcgvhoDnR7kfjJnxtm81kIN2MC3yAcDQxP9dE19K/Sbmy/AYt7t/pAlBMZcPgysJaR
q5wvFrB5oJhI6PBaFaVr0cStNp6ilWXiOTiUWCJit8QBFRRdAFt1aF9NT2/PVL3bEucdZpCiROdZ
WPyiT1xL6AbfZXL/qiRPReZ4cZTfv8/c2AeiQuYNC0W7FdmGahxrZ3xNkofoEDt3R+24sf/P8IJB
GZMhiqMOw6vmW5u9mrvbx2ipoGCHgQADNRRoegeLeL6/VTkyyTAL+RXk8tJDISuZi1CUDZRQU23y
cIp7jSQrehLD4zMNKMNF1x+dwi/KmDa9MuX0mSrH21MRb8TH6DDv0MAbUTVYN/OpmMrYT6Rk06ud
jfYLiOXLQJFofTCZjCbLNA2Zd1vgcjqYig0eFJ7/BqxGWLvWtibUUSR9EH8r7F3ENjzV5Xzmwwtv
RwxkOyEVhtdGtHpqvqk6CoL38VZyZmsWwrKlclwpkQExne6Vtjs5Gydsa3z++5W6hcMROXWC8XMH
aerxsaYbXoV4hGFZAlqLuweUMKrbxKyoEsL77Ya+CxT2qji+LeOSn+/e6WsRYqQi0mIprRB+DBTV
rZgXb1g5K0vEuzqgHMbh11CslSCO1rJUy7qglQ92/uRspUTXxgfOAEkFnsgH6nK+Ba1UKUWTxF2A
CCSY3Ih7//IAQfFRg6fhNiiCCaKC6sjWQOIf8KK/BLW62e/b68/NsOvHDluMtAucdTz8OgBSwhlt
kq5ODMAbAqM8SSGqNN3QPuGtS6XX24JWVgpVfpwnDtYs7yc0XykAdyludNgEiemGka9smB5bw/Pf
r+5CatnoelZi+J6+Sf0P/V7Sgo91uvp8flWuxx+TLu97jC/L35UqIMHt1VnRSIAfIGaKCDWvLhas
Zck0antM8zYAscoPVtZ7q5dcqbX26BGwYXesXOqZKOHZy7RMQ7A/a4OE7ZXundJd0UYbMramIxzb
wugK0xwwHSX2Q+JLdOcwV0o2Lrdon3/syT+LJuoOdNFIKhSyt8FQ9W5SSC5YddzJqD2S/FXYqUm2
prV2WWDo8Y1C1cGi8m40SzRTjCoSlJEV/lDsAQ0b4zLVTzENx8eBsPGBKj3dokdYYJ0xUU5nAdDc
f1jbhOWUSgJ8RGmRoKpS/QVdx80Qr0lugdiiR98Vy/nbN3G7D6nJnkosfezmUjPW7mCb/V6qWvS5
C8mUo9FIne0rw4o23onlduPMApxs8ZJElJTw368vR6clScOwLg471sOu6T6ZBvGrYquLznLDIQdR
WZSUcC0iui9VM9lGWhMSmM0TGeJTLpV+D2rLBDwJWQBs7sYxXpWHAliUiiJxiVri+bzqDhWcg5aQ
gGWxCyz7g5W+qcNnydyF5Unt4w1xSx2GTVbh/0EfI4YkTo+MaWYMU4xtJvvQlbdaDC8vPrQLmoEi
+oX0DyIj89lEitxlQ0dJgMYjfm4/1vl52nIK1k6Cg2dWRjoc3oHo1NR1qVcxsmVBaTVeCV6+sHuF
cvPSVPJva8wPKKfwcsFHkpHggCDUOQg2okNZRkmcpQFrSnawUD+cuGajmA9l3mu7UQVvb2PrILpk
Q3tkNkq0qaJEezTf+Q58rfynoxPalEml9ClHmMgl1EmB3M3Yn9vfuVx14IGvPlOdr7qCUrGQoUwp
qMf4udXzPxKapKiddbotZnl2eN8tWArgLUPPPFsQQ0gzOKOKl0k9W8ru7h5l0EAWevzwsmkAmhzR
mZmSxjCHSq2CZi+Fr04Z3P/1qJoFvgy1JMuEfawqGdNrVgW08wzqG713//jIosOKhaEGX1u4yFnf
WTLr0jrQk0dybLN/sfjXwwtPakhqo9BqDD8ar0b2xjbiUCt7yxl4eK4I4JVFleyYJVKTSHIdVJpv
k11kbYTGN8YXE3eslvIkDjF+n/p66PYbNuzKDbj+fEu4qHmTlEUPep9Ar+sTbdG/0mm8cbKOt/d4
qXoUeChQPACJAizxkRO9eoQIq8amkI0qyI3jlBjuVAWJUXkO+XVbzkdkUVA8KGAxdRDAmKgqFXPc
uRaaLFKaPMDXaJ7d2Jqn5GbqOQVV97GUOF4Jiq4dheZ6jJ288k06dNBN4DF+R+VDdbHi4bsWjtnf
aUzIC/qP9K8Fi5OD0kX2CyPWsK8JrBg5GjLVHSrN2jIoVnYEGTTOgsBjK0AVzHVSL2W6HNk5Dbq2
P+noDX9kNJn8KtS+3V6rNUGok0W2HqArbfFg61mRWU5S06Au8+4zajDkRwudAc6TUm7VlKxsP3Yd
2FdwcgDHK+buNXugSVZKeZAOxzY9ReVTl5zHciNysHJVOBCHP6AIo6Il63zlkEFCx9PMyoMyeVLs
fbpV6L22YNfjC5qEoZWmaRcYn7Cz6nxi5NlON67j1hQEY1Jj7YCKZYiQlcP4Ylb+7S1f2sioIIKr
ym0mA6kXwcpwslaNG1MbgkR3Vf07ss0wZKL41/R+W85yGrxSSebtfTWNR7TnO9FMSWYZoPkJCnJM
dmm1oU1WhgfOjvcbB7AWiUNhI2qVJXat11MwtH/jY3VvhQf6lHCTBQ8pcPM4S8I5GjqjS+XI6YIa
/Sq0t/xuLO1/BIDbCbBgxAQX9kAHiknToH3Q1++q9U7vflBRFYHIL4ISsJUQRp2vfjVOyAVLIwJ0
UeilB/Qg2BCwvAgQwN0sgPiQR9KEU9pbaQQ4MBsCIzXcqAps+RJm95ZdY5F0UA0C2QXYP95VAbFC
UVNHLJYYQYOeqNB/zUYEfqmT0BARBEEIyYLaBknI+SpNLY1Rq5WZgfFUy1/tku5Sp9gZytvtq7CA
+/B5IGiA24Al4xaOICfUwyZmiRVUcaD8Buu2pO+rv934DuamY1RseHsrVwPSOC0UojhLnEefxwic
j5DWxuCXDYr8X2wLJgOsBJK3eGTFoNcUOXYhD3kTUMV0PznsXr5lLBfGR6aNe5EciDVfrg59Yqo4
bpoAOHRP3aGJ1cbh5cphbiHwxC0Ola2ClQCI5rkAcEJZCUrJm8CMeyBdX5rkpS4e7S/S1zKddrc3
f2U3ZrKEM5ZnUuy0IWRJBQKoiSexe3G7fLnACQJnzuFhCJHwTh8k3RzrqQkM+bmttaOddu5gKSCd
2eritDYXJEzAagRUOy9BFdatohlcmArR1J+NeYisw/1LBfcIistB3RuSM/PhIwRJpIikPCrlttbO
rO+20wHkuhpf2IpCiYG5C0kb5NOjRDxqbaAf144VzFtUWcETWAazy1JDq7Au7QKi/ynG73X8Xla/
qPwjG/4aylaDqAVRJt92VEOgWzEMEjAncQ19ZU8bndRPiCK0gTM4bq7vZHKszyO4Pxv5zaSeQ085
fSh/MeaVo9eHPskuKK2G/4YK29v7tigcFz9FOBdF4TitKmltMFolOqQ/d9KPMflBpOeU8v4cRhNM
8YuavN4Wu/IE4QKDWQSoX5iVIo0sCPS1KktjqKFv9Q8gYIBTuS1gbT9BIYmcGg4NT3LOV3goZU3S
QU0YWFazY8mxcqpTN1Weqh8zJ9kX9vfb8lYnZHAAPng6eMnQXJ5ss4TWilMHoWG8VFLoD+X4pbub
LYXvFtwLRCMQw+JacC6mH0jO1BLuF4gfpPIgbYGx+d+L2hVlt7DMYGEi2CGYBvoENgkpCqtArp7q
2PT78XNrP5nlS8Oa/f0rBuCkY/L8LUeEzqeSl3rYRqoKxz5m2m7SC9WNx56hJ6i1RUzLN1uYFUgk
eQ05Qi0wOAVRRmgUZjL0bdCD3+tbng71TonfirDXfJVFWxTuK2vIgYgqkqvAmsBomE/MBDDHykC6
FkgMENcEHO4PtnqMJxD83e0xYe1wHD4Ke/AcCoZ0TKxY7yYepI92tGm8zjbc25u08mrYHxAHxDXh
eYgUHLUSJlk8Wk0QFiEeJj+utgrT+IkS9waYR5wDHOhl93aHUDIUUt4HTZTtwVLoWmR4ljty7Ebn
JbWKT6bGmCtH8v3HD64sGqzDCUH1gSzcJFWORrQimbpgCDXXar+h1bIXjcr968d9EIQOgavnNVjz
s1ANTdhpJWJ7yVfl1/Tz3s1BtB6lx1CjqOtbQOp5papdIj8ddF36CKPoEYGsjWdxqdbmIoRnvS1q
O6yhMMGF2XtTYR/Rk/wT2kZtwEVUrh7npwBy4C3g1sDfXEBgWzboo0brJKBhXaDX2dCBAD/UPWtq
ny2nOOnKt4jVfq1GO7syoycWpuPPKCH5LxtdJfZOavbuAJqVQ2XqEaghlM4tilz329yO9g7VtxBy
y+cFHKrYTo4yR+RffMAjlfb6OEVJkJDsEOmVZyuHfBpPnT2cTJi9QKbe3uuVPBUkQktytj0eiBNO
Utsx6oCglAQplRVPV1K3UJ9cvykdn8hlv7No1Luq5Gg+sU2gwyLtd8X0AW942u36Jmk3HtgVwwEf
xInBLIAoUTouPBVTzZCPRplZQMiXkSJZJ+9Y+liED3b/KW40lyryrql+OeZWknWpX1F9DWXxwZxp
LurJ40ntJ2alaWCAnncqhzcQjzZu3NuVmzbaOddqf2PtV3YboS8Ev9CLbcVcU9WyzNA3mgRoLeiO
9eNUpl7sHLvY8PXhrbX3uvQJ/bJ8TX2gIODOlW+OA6pVw0f6Mhk9Nft2+4OWWplXGqClM/wrVK+J
UdI0A03HFHYp+i3v6+gYbTmJK7d+Nr7wrjDwUzpy2qZBw85pnbt1y9x0k5d2axbCASpTw0lRtJ8G
UWLsSvZT2SR+35iHLhhlQzaakTHWaTDaXlWcBvVgbQEaVycBBjtu8uHRF0OjkQZvLavGNOjeib13
lA23Z3UGV8ML+reGselQMCwF8Ak7oGJBkbdF37Pg+AYPKU+6I8OMIwWtJuxDb5g0MiU9DZLxoXdK
tzH2WfeE/y39mGepn+ae1Z716dsQbpH/rVxlkKXwSlIoffh3glLLDXUwKrtMA9V5MtJ9MmWeBVNJ
fkE1x8Z7vyqKP8HcHUAsWxClqx2SATrDRpV+FPpt6obhMQ3dsrs746OBF+4fQdwYvfLtWtVguV5C
kK6c7fJTfbr/7pt42BGcRXDNEhNKQ191TG3ox91v032/ceBWl8nUsB0gioYDwH+/+vqqb1Ava1Rp
IGkeelZLz9pPdLHLt7ryrZ1r+H4IciofyWzhzJmJzkqq4/EYB99ykLN1Uc1/e6FWZ/KPiEXOqlAy
tTNNEkT5DrtdqGc78bpwRzdNWL6jgvECDvT/TubjpbxaMxKOYR+bDiAaituQPe32Ixp23tsNlF/T
aymCKqjKmtl5Z5OgSdy+d4utxNXqLOAmwaEAqA9Ag/nOp7LdS7IZp0E4eRoiUIObZyejCG7vyurG
A4aFMAtg2QugBHiXC+QXDewK+jCb0VdrOIEO7baMNZ0MLjdOeA4IA0TNZwLbqNVGo8wDtJtSkn23
hQ1dW6nr8fnvV/udV+CtmpQ6DybniwF21ARBuwiI/NTZ6hj04QQLR8v5CBEiLgUQkIgrKbMsTCw7
KgJC49q1ev07jW30FlE9uQRGvy2OJrBZqRYf8rJxG6a7tUZ2tXVvCRkOH0oP0fEYKgcxFTGcklA9
tU2CxJYa7iprb5MNa3LlWDiwaGDQwLKFWyYsaZoOLWNGlgUqLZ/LMPydOs0pG5INd2blZPCKJQue
LM+Yiq65mtXADZMaYuLfP42t7PXW6Pz3q3ORTFWFOsQqC2L1c2oFW6D3reGFY60NgCpUCJsFzvTm
7Ez65fatWduCa6CZ8PU9el9FY1OTwGhharxKxuu9dZr8EF1LECYwoVBJrRmXoO8yfde/3TsBTk6H
LA2vAuVomvnyd3rlwKSEalHT6qDmX1pVAdn939tClpswFyK8j6NZNWgvilcFGEyPaq96sRUyWO7D
XIJgfIdDKNX6AAm069HI7sVxPLMo775vcyGCsjfrOjfzCO8vetbH5WkqHuUtLt7VeSA9KnMib2RJ
hcSZMkYTuCOwHZa0nybF7VEX76h3e0KYx5UQ4VEcIqdExA9CevKWxO9VuBGYWJ8EbFQOHNQW7DMT
0Q0mD1gnSU29KmOo7EcqqNl6e1ecaT6P/8oR4bawGVtwhsOEaL6R1tVTP2eHodnb+97y6je0TVW3
8LYric25SGF/DLWbElQ9kyDJa5eMMSD2py57kojjITtUKHsKFtm0udy+P/wSzh+0uVRhw7Shn5p+
gNSOk4L55Xi0qKvfn+wCSAJlhWBqQ9ezRYudsWqsqCkkLGcPNvzwWYl/357GmhpAiz0Hhj4Hj4nB
a0mvijZOJAozOXaV8HMY+/9CgIGYK6eLBSZG2J0p7NGyiLAskMqH0JF8O28PtyUs7WMdOhLPoQLe
DESUBAmDNaoTGg3ToG18qlPPJk9l8zCRxHOS+yfD45M2D18h3yliAbIMuG2z7KMgUoqdFj9ak7kx
mZX9mEkQJuNE00gbCRKK50rbldb+9lqtDI9IPm8MouOFWYTBJcLIWHZyHOT1qfDK9G6DVbcRxUUM
DWXnyPsJD2OuT4kix7QMWP+Tgsvu1+2vX1Fis+GFhxGdLcu4LjF8mnghrjcxe9+8tycZctggwQQV
EQx7TjAnPIwIknahXXfFRdb9Ii999G/wDXJs1LtNuLkc4XnUh7TMpBZyrOrSl3gg328v1nKrEYxA
ishBQBq4EjHD5pgZBcwqTS7Nb9N8RGb+9vBL/YfIGsde4DJwrgrhoLbE6uUOVUGAVtnfTXnck89S
XB2Q5Ph+W9By0yEIvg9YPXFi0Up8bg1FLLXHJGvDoJY+5+0+mvbmltG+slTokQS7HRAo6FtxLmqh
OUOJtP8lGnblr2KrknBreOGp0HOdFaqD4SX2Zv8qmw2ozVL/IUECkA3ynLxBjgi7zqs6Vyu1phe0
rNK0S5x9c+jFTPzwfuUBzhZ4NRzyhruhC/MwgGC2eqPJLqWUuYYpuZa1u73XKysFxibUiODBQEze
EC54p2uJ2ep2fnkBf7U7oM3T/za+cLdLp9MlWob5RZ92en/M+42t2Pp+4U4D4d0j/I7vV4djOuzt
jeVZuQrIZuPZ0VBMje6kgrHLFCbjJS3ohdg/mVS5BgGgONnqmrAyiWspYmCuzoe8ypSSXiTHLX6b
b3dvwWx0QW+kem0XmZnTCxgrpmFX63c/QaDlAlUS58JDAEYE33asx/46Cb2gTykj/rjFqLK6B1fj
C1usKWGTUiOmFwv91Do4BF62FUzeEiFs8zBJSHMhn3xR9b0T+4l9ULY6na1o7+tVElEepKNDYQF4
eEltq3sf0Qg80BkaYxh1Ge5gYk3H27vOV2VuLfO2lyBYQT0celOIZuYAQglpQvHMxRgG9FYmfjQc
CuNPbaRurn2rpntJXAH7AIk/MGIQBrNZfDRSNcwIuqnTSyX9TOp+m8VieUnmAvjvVyGSto2pppYM
x6w6m+zE+v3tBdsan5+Rq/ENY4iKccBVD6cjOoZuwtyWZ2z+/YKmLSLCptbBAkWZX2p+5zzTe5u0
Yw+gw7mNYGiwzVVB2eah0WsjKgwCBGEBwCqyu5U5xkeMF5lrlA/A3pwvkRVHRRZlkRmo1XN5NLfq
2pfP6mx40dafyrLS81QygqIqn21d+uNY5AGUUT5CGge7I/7tDV/eSPhg4OEACzv8fOj3+Wwoo+2g
tOEYUD/+Vcb7LvdGZ0PGyqFCNQqv6UCeD+6e8IBnIGd2aqOTg7T8PAw7bQuetDW+YKoxtJ1XqYTx
Yy0om8+qtrHjfA3mWsSBI8zpJVD/BTuNy7++FIS7ZNTsgrw4a3JUnYakegal7h9UjP1lQ/XQ6k38
4MSXO7cGlSngYgQOCkcNLCzC1sRKJ41TrLaB3BC30F2jil3Z+hp17/9CDrBwiM7wfofi9CqtHSRb
RkF0gkLouvMz5pd66Z5vS1ncfMwCNMoqN3ZBVir6aOHQWiwjRRuk+QEpxNjytfJe5QURvD6dswdx
aIXwRqJSr40VsFwHaEs9eUnrj7EzbpyFxVnjMhDKB78MGgqg+nZ+FkhnU3SW0gG8DA9Zc/x6e5FW
RkeFIfqAckDSkm3arsGpJY3ZGKBYu9tHbPc/Da8JHy91XVfTCcP39pNyaMm9ZigqMa++XoT6kzzU
zKrD8I20j3aGfv/2Ynik8MDEzetfhK+ntASW3FTHoHtSimMXnW4vzsoBnQ0vWIhUNcMutDA8OgjY
9iedfEru5dACUhmuPWh9ANdDXZDYKcKUEhTVFUwOkjp0s4fR2UIjr8wBAoBzwm3GRRCBmk0xqGU/
xjLqDEM3kjR3yJjX9VuxipVjijaTeCwA/9M5Jen8EhgOAgi4z3KQmX45+PZWEcTaNK7H5/KvFO7Q
yU4ZDxi/ll+y5HNe7KdkwzL8YD+ZKXXsBfLBfB+QylrUgoGC20ZhqTYFadROJ0kuy71aq9QP6y6K
oWvrc1zbB91uv+Ft6d+ZOhEYE73MUjdNVSVIpCT3dD1V9B3YP2NUetup69Q1OZE4oh4wi/lzXMfJ
O7xWZ3BTXe6lvQquTb+1evPBnqxu38VqfkBsD+0qxoL+QBEzfUnyvhyA5J2aZ2twaleRrMhL7d4I
Uk2tm4fMKH3HYn6jjczwTLm3M9/Kx3of1vK4I2MkneEra/uWKvEBTcypX8p9HLsaoCh79C6OfqlD
3J/Dwfgh1d3gGgC+uUTu2mlX1hZAtmrkycpAj5NTTcTVVKI8oa5QcptqakqvknTrLS5iutPjJH6s
UtJ4VUzrc1mM03uka90j+s0D9JJNrWcnSuzZUi3vK3CAesBAsktmk8iraFG7dqZ0exDs126D0orf
cm+BUqQw9WDQyql3QU8UeuNYmC9ohqH8Tm17IF5JR3aG7pcjwB6MznClMHQ+92Qge2ZFvxo9tLcA
tsvDiEcfNxdRORx4OBPzw1hNVG/KLtEDTQd3BfoGJrvQ/H1b9ywv1FyGeOD7llUVQB2BkvjOc8zu
1pwYngeZEOQAvatYU2trpVYUg6UF5iA91F4BnOG/+H5goHjRMXqZiYpN0osqbyJsXQTDwVaDlmzM
wMQiz28rZnAlgP9+pRE6FPpEymDowWT8AeuQW5HIZSnqPbZCQauCELtEuS7cxQWiqtPRjoGGTA9S
+9IPBy1E1+9vtrrV+2jtUKFDLyAcXI0uEulmR9W+h/+LCrXajasHAsAnqb7c3pWFK8FpYHi/EhTD
wewS0WEsRdeNqhq0YBo0f7IytxiemX5S2i8k/XNb1NoBBoQP4E7gKYFzEN7mupD7Rm57JdDY6yB9
7g63h/9Ipoj7jy47sOwQ34fDIjh1VB0SRQk7JWjp4Drj35T1B+SQvDh9cOx3tX4g7KmXI0+qrV1Z
Pg7NF5QquMysdlMeKPlz3zzn7Lc2oWHxhtGztpP/fBn43+cnc6pbW4sczDwhn9nkjkDgdRum89ri
8oJGFGniuQVT1VwENQeSkb5SURV9lMfH6fPtxf3w8cTFhbmAC2aaqAsUqWRkuZVVPGk485rsWYXt
5ir1BtCqkSOltaeO1GfSJ8sGC13kd/2elvZeSf6EYBOIih9FflSro7Rlji0njfpXsGmDQ5X3RhdD
KZY52WYNZ+wsk8pz08327suLPh9fULml0iWkJhh/ZH97zdrparMb6cluurs9hrkgcfdYqOllD0Ea
nibwOqfJ5N7ewNWpYJ0ABwN8Y0EFFPP8foR6ubOuF59B9HRpyvLUs+ZHNWzhHtZE8XIzaEeQHS2I
QVs4X2HSFibYaPpns4kOdYUEbu1QT1WjL7entbxZKqcw/q8sIWxQFVHjUApZrfSm4TajMyrbSqev
nTJEbAGbQ/MXziI5v1qp0/d6mITGmVlol9g07lZjtbVJgGobWXRcIGTeBOshjwn6KuC9Ocf64MrQ
8mXY73B5bi/V6jSAPOQ9hGDUivAvSRrGKQW77dkBDbDsSmiWclvA6jT4M4IOP+htIUalTKLXodFM
mEZL0XNA9lNSv7bSsHFXljgOdKxB/Ou/cgQnzFI7G/BA2TgnduhlHM6cKTuNXVpUINJd17XeKBdu
nX3T7K+3Z7iyhLx+FccNsQNUGwkb5SgkRtWLKZ9ZBM/JdZT97fFXVnA2vqBv4qgZTDZgfKn1NMfX
Uy95uy1h5W7OJPAvuLKRrCR1kqiBhL7aK/b3BKDK32QLUL+2TBoYK/FaAJSEIMtcSBeCNdZue/ls
WS80frm7qgzxWg3l6Ui4orYV1up8eCkyWdxqnXx2NPRh6nYktF2ylc9aZAUEIUJgLexLqZFDzCGZ
cjgQv+hYeJb5WWF7khxrtrEtaxt/NSXx6lSV1SlyMWBbEvZi5eZPu2cPdhXvbu/+UswH0RgvHYe0
xSOAGpuIyWk4Ad68S/pTpLks20Dmr4pAPgUvDaiVbTG1Hxt5rCtsmoB4OsBL7NJj0m7omeUZRuYE
RWy8kQ5Cn6LJGqH+vtRSYwLE0fSUap9Kz4Z6zod7u67xSMy1HP4dV3elwjGe0tScAgUUSO/TVpv7
5S3hPbc0kKuB7wxQZ+GWJAUB66BUgYCCeRP1UdN0e7O3xheeRjbYDSIktRWk2c4wQMRE9S1NvLIT
MAeRFue0qByBOF+hoYnVODVJGAzKFP2s0zA8Z7b1k6LW/S3r0MIz1QoVHBsAi7pZK017XknrOkR9
DOP81Kmy1zHpT2Wg/eNov96ePrep5wbrTEuIFMxjBXa/fsQFnrpHLTwkdSAnn1QnBrpwK9S1KgpI
OBQjA4EFvvL5MkyqpERak8pnM/07Zm+Tmvn90B2SKMhLuhGTWi45pmUCK4niAdTyiq84yuFqEPHl
8hl1+X4u/wy5CQ7rSvl5e/nW5cCyBqYCVYCOoGStDExRstnIZxodFCvxCrKL9YtG3m+LWaoLPp1/
xAhqdtRHtVWbWj63UexlUlK7uSG5vRJtTGdNDofimZyWGwgwflmu7jJeKWJGLFHOln2MVL+cXGfj
vG1JEO6CgUpaBbE85dxYwODmxzoE8HJjFvwrxTN9PQtBI6EF/JRnE2SkumuNfrZFALI6B6g9JEgQ
7Vx46NGIiKoSUuU86T/RpREWu9NtnN/VKYDIkOs8xJnE/EsW9YXTxblyLmnndkcbkb3bJ2pLgHCi
1FxOjayplXNvvLX7pt6gRFpWUcMwQNHL/0/g4/erk6RTs2Jqy7DPdf7IkD9uWrxzmtV/s1h3NG3U
pE75IRyat6y1fCKh0axu7WSQipRmukt1VBalOboNkMGP0bS3qROfpuUGpHp1ERAO4GQZWGMx/wy6
+6QySkc5d/HOjnywv/6LRf5nfNFeidABcwxTUzknyoEkJ7alUVe/HxgZkNYi9L7oqIqsBI26UMX3
m1/s5vXL7a9f0226jYcL/2AJic+WOTl0rPJI5QbkaRocbzQPbR/v+r7zb0tasyJR0vzB1oMabjHk
pba1oUW1DG09kpPlZDslN06jbnu9IrXuOKAg196idF+d3ZVM4TUyMrtOxhQykSBzJec05Y+qxlyr
+nN7bqvK4kqOYF+Q0MxGyib5POZfwYlgGD+i6F9ELUAO9c/6CQ5Xp9QNDhpkIPr0qe3/j7Rra5IT
R7q/iAhAIOAVqFtXd1fhttvjfiE8vgASF3G//Prv0N7dqVIRRfR8sTHeB4fJkpSSUpknzxmfWg1F
MYGaS7iGn75tA5s39oWt2ScvNnbGWyscu1EN1CHxZ3U+/miVm4RCN2AUmwkiJxHIBvPqr2J4FSre
AC/353Np3aAIifgBaRhkL6Ubt1HziYClBfNpIlg6gSsfCrbdmmzSkkdCsAXBCor4+D/JilHUJqpS
GGUfP3F2qponpftcx59BELJR65VnzS3HMeb00pp0GLOShMPQwxq6CB9MCEgkIBwZjNJDDLPRVHEo
zW5fJMK3q8pT7eltGFK/KaO9SjS/zaZvUWV7TVmuHI+3fRnXv0s+xEcRNTGZ19rihes4v0h44Bay
fK2rpvuYO66qsU241ve7uML/zL0cJ8a2niRhiZ2pG6MvYuOV9oovknoTsTVxxjVT0uZsAIilKcfG
acZt3p9F7xflnqy1Ti5ehhfrK5NY9vk4lVDRUYMQqndMG7YhTV2RFY9aFbpjhA7XCNzZyfjJzNNt
k+bneqAPYwlGBZZtWVTtK7RCsJj7JEpdxobKK7Nof39fLeWLoPmN5ygYmtGELzN69olwaubMLp8+
FAX0BZWtZhza6nGs0HWdhY9xidgzL90BJdD7tpfusUvT88vh4kyxeZtQuL8aVPWGPzBlc//zi5sZ
ZFXvWXmgZqSjnqJeq+A5gCMr/e0gSM+y1k0YKvrNGxm+x/EaNmTB3iz3BNpSPAqATZi97mI4nHdO
rTgMSZFww4ut+lsMu5FsTe1ztAYynE8GKdTFY2rm7CMgFgN/1bWpOOWqQ+MMM0fH35U9uQwcJ7md
fLJDFZ1aXeYDqrkdlHF7f0oXbjXYxfBwQqCOK+tEooMmrsIsVoMu2lHmm7FH1tS9F5ziyoS0N5E4
7czWwNCUPve08iuQdR93uysL0rWZqF1l8QzrZIGlBiwj4Onp/p8mpNsyzZW+10eYCPlLXT8kH0bJ
Qn9y1u2BV2MDWTJOSI+iKM1Yijc10/1u2gAT4398pcHsBQDo3Kx8U49uOjNuuUOmIC+NN96nPtCB
v/JVhN6SQ9kanuuoUkCeRs4ZsypmTcatKVCcB4fuSiVxJzT93R/LwnEPNt5/jEiroeQ4hVEUnQLb
Eq5SQC4DCtDaI09WDpy1wcx/f3EApHmfM4cbGIyxiWvPydDDuGJiIZkyS5Sg5g2E9Fz3vjYxoABT
NIYzBZF2GIcHhFzda29+OEsJ9mLANVGnmAEbN1nKqqGx1alTMGq7qtpV+Q7QnvtLshRPgh4ZRNsW
oIxgBZXmiqmkxnU0jgHT9X2oRm7C21MLtE7HrE1XAG+u6busbn83pD5azPC6KvMasrZkC6cNfgZw
CshLgY1YhqaoTqfYRknGgHos5Z4xFd79gS743pUByfdizegAObbGwAAGOd0I4+86Vd2s+igPH9wb
2EG0lqBhE9ALaTrDOhIdKnHgXgcHn+vwldNgKUoAWzPenAaakOeW1mu/QyG5AcmcMiKU6UB9yvYl
ybzCOnKibNHq6o7aMw1TtzLPqvXj4zOIHlegYgDAwL0quXwb6hxJC5UENd029g9LxMjLb8lKCX9h
Y6FqhvoipE1QMpVZZzogF6eSayRg6WPWVH41JiAg+Z0Xjoeq6b8Y0UybBe0yiiyPFPfr4MElY0uM
wO5PU/idtqdUAzqMrUFklnwPKE/gfoAqWcgTVLoRp+kAO6zeGOZDXbikddHMseLjS5vowo4Miq1H
PbU6NFAFvf1sJaXbfpjUHt59aUCK5FBsAj6KwIDKH9Bhm65B+G8JqGYDILWbUcMGsERSJJr0MQjd
CtUICj1Vd7XZVq7Q2sRFxTt7JBHyROFUl7uSFt/1utdcPB2FVwNL4Dpxt1bBmfeqFNxhG0OfHgwh
yIoYUnCXmSEpYqU3g6J5LCHekD9qzcoTb9kE7ty5aI/WbulUapsmAupAmAGtxffUiB5tpwBBrbm5
7+iLjgEs7X/NSKdSz6N4alSYSQzwndq9P/yLfCbm6h8L8xa4uHKzxG4SSgszSKHjuxn0l/sDWAjp
Qbk3c4OhsH37OEq0KU5yoRkBbXwzPBoJgpQt40doJa7CaRbX5MKW5INjPeCqwCUV5K3uprpnC+Bc
11JGiytyYUTyrbatRla/G2m8X+rH0dnYRuj0MMFuhuBUDhwoQ3G7S2IcOFhrUiiPujUe7q/I4pl2
YUIagNXraq6UCXZqXNhH9NbWHlVARVxDLcwVRj5sP27PQsqfAuKM20+Vbh/gtWraqjnsNYYPgTWX
GK0HKT+//jj2HxOmQWNtLtxDuEA65KxRDIojhBEo5V6w/f7+OJYWHlcbbgK8fcAQLW1FTmiaZVqE
IzR1le/ZGn3IkvNefl7ah3nR0jGZl6UzNiaHlvajbazABBfevAgW/xmBtD/sKAsh4IURRPkOePki
R4VgnysbNGYX7rAmRrc2IMnPoOuQRVA4MwIibGTAn3tNA7Bvd39R5o/IJz30R4g1lyvRCSMFAqCh
MpqcMCNI+EunQP4TrcGR+bdOXoV95jgG7ptb2juoqQMxixf8LPJwfVii379yQNplAHmiA4L/SjvF
T3oGIcHNfUPzh27H9Y8hafJC8HunpQ5DI3rxHmo2nNoYzGQ8Tl8zZDN8uyRrsc6if4MCAEyV2vw/
aZ8WTt0LPnAjGIazHW+SdiVmW/6+gTcqkh9o8pJ2Z8GHWXpvMgIz3onUdfqVKVvyN1Df4QTQZx+X
9yeK56WdCqEHpN+2+RYlCZ6uPOuWlv/ShLRH07jvU7QA6UEMGv/JH/SHIkZfxIqTLU0UGB80cBpA
MBdFtmsna6cI9Mi6rge8KSs30cjkOU25Bgpc8rCZqA28MYjb8H67tqImgpChTsCoqJFNMtGDkzo+
GRW8EeNqS6wPSlaj4xIE8YBlv4ui3wJ3KG1ahtZe54SUmmqcRzu4v2PeI66LLfNuAIsD/D+iGdw2
8oCEJho9rp1TnnmV5vWgJDIO5ehx48UgfvlNLbaCuE3iQW9pWiOikNbsxvj89xdRlN2MYyVI45xY
MZV/O2WTbktmrwlmS6fdjRXJMzLDLgiUz5yTGRtuO1mu1p6daZ+nzxqjCKRfVqZ0fpPeTClCN0CI
kBYBKvt6VD0QXmVZ9faJhjpARAbQLcB+gZHNBAdvxSvNtdO6PgI2UO80vbQPmcqrz/d/hOSnf8Z8
8RvkPZfQ2k661j6ZQEXrbMLb1XA8dC2h90IPUrP079uTjpH/2ANqCgyW6PGT82kdtGkgepnaJ6Os
Nzkr3SQM/SpaS6HKJaI/dtCLjG0B8dSbRHCDVITehbAzRPkzGI4haFoVx8YByLgj8bktrO/ol3lr
QtMz6mxlUmd3vFnYC+P69cKqDcrWhZPYJzLZT6xiB4dlK/kU+UX4PkBAiOA1qLLfJtp4aSg5ryx6
MtWzkxf+FD70Q6BPJ15Mbp9t9LbfhLrjaTTaNdoa3Yl0VP+xTvHqmAHpoH2SbhvHBuinHGA963Ca
Tdlvy6m2kxn6WVquJD4WlxKP3//ZkmaTUzBtF51DTxWeuC7SjrsmMj7r+fS5aYCdiobiIES7tQZ1
NyEZ97Hr4s9IISCJLMU8VpkDJ47DsNGZQk/xcKy/kLWH7pKrOBeflwanhila8GJ8HrzL7tbEHx/d
b7itcbzg2YNlAsvRtSuW+HofDr11KsTPvOm9Idubyq/7Nm7HMEcEANUANo7+bzk5UY1mM1pWR0/c
ZeYB8jH3P3/ra9efl4I1OupFxB18nsTKt1xvnqOyeFT0+lhSsfJ4WxwJRDywIHP3q0zXxMikQ+1k
pKfJaSDJG7v85/2x3B63GAtYdpA6sSgKI/PfX1xkCrjczdxo0fAITQTUK0vUzHFtduJI7LWjdnEw
F7akeSuLKWEd0OInPY+2RVb75hrL7+2FeT0aybniumqGmGI0DK20lp9DX6V2nloQJdL2l70mIL00
HlCwI/GPIGSme7meuym1mtgaGD116FctQ2c39Z/vr86fBvPrkxtc26C/xfXwR4/k2kakjPbQGGN0
Bga+tKBYTvJ9povWb3Bb195gtiZw1/a0yfS++txbXeyzoYwOoiaD24Fj7zwopXlQyzQ75znINiKb
G19ZwoaXIm/GHU6w/mtrg/sjh87OvgNcby8IhZTH5IReqdbQLU94LNwQtY8NV7Vyw61mfKnzGmsY
xgagaXH4WDZltwPNTrdP0cjl2xQSb6SO7U1eW2xLOt67k8rjB55ydItYQ4vqtdV9QwPqbwvWj7WW
queGVnyb6dzZaKnzbSrVZlelrIOADQBtSmtMW7DZG8cWDKWdG5YdoruuGE/pQKOTmdXcm0CG5JVQ
Vd6aMft7gIqAaxWx5kWCtL5RhsqzM+b9I3oW+KZC19VRExxCJD3o76akL3yKagYwqQa6+FK18Iqh
DV09ieONEzKyHS1dfArbOPPijluvoUKLbYhi3N7oTGVX1FF6FCVDWWQa9ENpGX8Jc4g9NA4b7lhM
UWCpYecpkd54Wp2krl1p2VEp1b+jXov9vFZekBidfoHM/74PLe3wubUBBRu0E+PYvfYgq0GPrwEE
7DnsTMiq8KNJict144s91rtc6z6WKMX1NNOVAIILGDroJOR6W2PVmtlrZnS24nibKTl6xKNjag0r
o7oN22BmLuhRqGqhQUjae1ED2nN1otHZAJUMUhvxIxb/1Ld0e3/2lvY4WqnmeHjWkpSHw0IW1aOJ
/QexlCFEGnuty2npMgH928whiX5I5BiulwesiCH4revozMLGLdTJBXW4JyzQuJq7+0ORS1LvS4NO
J+ROUK1Et4M0Z04RDuNAmuiM/vq9w4Yddu5RIGuKN5yrMNWvsx74COM7b7KnMFVX0lFLS3ZpXoos
2qhtkyEZcJSN9rfJ1F/NuNn13VrOZmnFoEcNSs53kTL5VO5YnBGrCMNTYRc/DPASuI0WrgS7SzaQ
tIUVYIBwOkt7qmr0TEXpVTnpo+LqSM1U6Ur2ZCHI1N/lS/9j4v3vLy5mrc0MxDGtcuqooG4EPj/Q
SvE9+hO/6GUb0Mry23o80AHHm2KuWF9ySuTX5ngAtfObZAFnk20mlghPg5VuWfpdNHyTjt/ZtDKP
i3aQYEO2GHpENw1wSTOQVs2m8FTmoOKvv4DyyG2tT0b+133XX1wvC1ywZCbKQ8LoepOJMRU1RT/J
KUw3hD/xNd7she/j6p5bNXAgzcSR19/Hvk7Qxe+Epzb7hFbm7NP9n7+0c/F94DgBLMHpKuc6EmVy
7DxMlBMOcx0e0REvV0j0MAF2/NQS3vlqndkuRFzrPRAPmp/3g71HDX8N1bo4UBBS4B2LubyhD+0n
9J7nOodX1r71ZK71Yr7DsKRwB8A6IAuQ1QMKQM5SFUbVk4GQ8DQ2sdjoCZ28wnSQfcvBC8JSLf1r
7PPc1/PS3qGxEtwgXch2IlFN3LFh/LNBkLEdeCQ8qy5B3aG16Q7MHt/sKrJ9roWIDDgf3axQoL4n
2t+JYx6TzvzV8tZ4mmq99TuWoAPUHPuPX1gYmTnnGNA0d6MQbZRanjDVDk8KyLPDhGyi1ArUvNjf
d5XFBcJlghMQ3SlQwLr2RESp+mQ18BRih26RMq9cMSBjNOdbZMY+/teCDGzoI5H2qRIrpzDs/ZwD
5mjoiJWIdc4m07Ob/NjWilvpuc8nbWdY7bkz7ePYO/uI5gdqtt5MnmsP/RNKURueJXstW+N8XLhq
QJ6CsGBWErHx5/UsaGZZskiz4abiidp+oYG5Y1wJdBbiqrmzRXXA0YLXuMwwl1ZmPwpVU05j+ylU
v+Rp6utq6U4OpJjGlQNg4V2DNhoCujQkcPGylYIEyo3ezJM0OicCq1r+UGzqx3zXJrtR0T3aHD7u
RLBnY4cj5Qdsx/X0sTYva3CzKqdhfGZArvy8//lFF8LjfEZy4GkLvMX195HgK+pO75VTP5jaUQmp
6sUmqT0mwHfEJvT0ZY2jB1NRscfQspudMVmpHzXhX3jFRv7UknCToT3/BQia8MeQWponMqNze0tp
UAjorKNRldFKdnTJp7SZ7d+GNO2Mw7r+0SViS71PMSmN/SWiaNHRgd4J1yC4CzciuN3/Z0VmpDVH
hXORmMpJ1eBYHntr+yNjKxmsRSNg6wL595w/l9e3sc2SDnmOQ6I2HR9PzMxvEkgWQwdF29hltQbf
WdoqeJjjUEfOZw7ar6dugswhXkGFclIocwVSur3zO+XPTQndaXVlqyzbQgaSzIq7eIFc2yIkzpy6
wNiU+aHWRq6WtX4xUdwFYHHu1soqSzsTaKH/mZv//iJMSyGBK8wUQ5uY6Ubazhkb13JeGz1IKt2t
cu/+1lk0B/gqQPIzEkouqpFec1gt5sAzB60MTlAIGLk7wwRL4xqedWEicdJDZ3XO1s3puuuRmW0X
V6WG2KyNe1CtJG9dSHa9kmyqOkFBb1o5ThcurktzsuNXfZIVsT3g5p9c8JC1H9RfnK+tq+9LPpha
dWaNFN+fCsRJbrZWTpUZbf4YAKe6owNqjCqbHAM2M0AzbzGA2vipW35UuNPO7BCcbHBMx9xNelx9
Pd2omfOis/JNzTrX1FIEG9br0PePpRDAdSYre33BYzBwNCzgnEVhx5rn/cJB6TjoalIgoprCbQfN
zbR8UADA4nG8H6IMoJw1HMCi31wYlOZBG1nHia2GJ1vpnkzuPOQ5xu0gshpHf1K0lR3xHhJKISPI
PZEIBzkE5NbktxjQLWHOpx7z3pnoDc/bJzLlW7V+o+lL4ZaguetBqdXtxWTsuI51j8SaytPiHIOK
ChqF4Du7SaKOShODNXd+xiShayjP7QC60S1toAP0Nc1X7qF5392Md9bzwjsenKByiFwJgHL5/DYD
yMY3UnNja4/R8LMwEjfEOZDZXkhXnmnvQhA3NueufEizAcz63pd14URaZ6tjW1ThKaafioG7gmp+
AmKZyQCyrwms4S973CngqsO/3XSt43ZQIBVj4tVa4Sl57fEscosYb7zpiVuq70D3ttKMZ8je7oph
36BbK5uIV8+0AuFe6XWPGUerPCbqiLsidpUGLPmZq4Y723xmeHNH/XOSfDfDvcmh3ftdcb6O5mEq
D/HQ+/dP3PcONnnscC8cuai3YAIkf67jHo+NLglP0fBWd5tsPKEl2LXiydWmH3TM3Vbb67Q7K+Zz
DmhIwWPkUcaNDgJG0asuVRkY4+z9/V/1zih986vwk4AbAPEAHp7X2zo00pFqmeacaPQ06I0/tF8d
RPxcQ8sTpNnHSQHCeCumYyHeiI47aYREUflNUSfPNKEIwP6O6tIzEuFNQ9A1tm9AL7Iet2PzO2SP
TmH4YbmWmXnX67z90Yhh4bUgspXD8iYsrZYxExrh+DU5E6AAQMUh+p33k69rD0r/mhsNHnxfG/FU
ZNaGk02H/I0e74i6zQyG9CUBEc+bSXMogR41Jd2l1fNkfRbdrjNOdRHUzmtv7KfhrWvSA81/ZuWA
1K69F/FKiLxQ7tTn5KMDuMRML2xK16NtT3kT16GBOjVkXuNnpX7I+HGsAhMuz8RrU/4ykgMKHR8W
4Z1vGgNHOjBvaGmxwFtzvfZ1NfZVFwEuRsNzK55EcN+3FgJdML4hNAcTB1IzssMbNe/iVpTmCUxl
T84ARk+KPN30QTqUP6Mg8wDmhORNI4tVQyValJV5AtOh34SPjVauPLkXQgoM5B8L0tU3gGS1q+vW
PAGmHJkQzCJf78/UkgFQPqOjCFYAQ5GPBoPmw9CY5gn9Y65r1em/GICNThssBN4EN+kxkoNQpkZ2
+pSBr3Sf/fgXv/7i69L0VFXtkLbB10X5Odef7XqtJr9wLSKzjYTb3CkCp5Wmx2lH0kV5SU+iM56M
oT2xwf7CBvGZ6aE/WtF+MOs1pvwl50XqAzAnyGSBBIdc7w2gXXutY3DejtW4FGsoDhXdEG1yCK6s
rM6NKWz8Wa0MNz5uftQ7rk0xiiRIUrZpoJKHKgc2cDu1KwC0NRP6tQkdQqFdB+mFIM7H7tDq6B2s
IMdwKnR7DVZwE7ZhNEhfzvkFsGChJnxtaoqKnEUxTKl95Jd9s1MZs1yHFjH6LMjPFhjS++538wid
DYIPCSox6MuDzs61Qa0vTRI6ggc8+RrTBy3+XmEDJWv5qqVxATAK8mtcObeyclBN0LO2dXgA1Ea1
beJsK+z6aIv+B55te7Oxft8f1tKSEdC0I2uO5NMNhqqcSB+FDuVBPVJQ+8X8cx0ZJ6GvgXsX7UDb
DG8zdCSgp/F6+lI9w2t7mniA7hS3qhFw/iiblfPtZgNjiciFDcn9WARkOgtVHuCF+NMwoq8ToQ9A
PqC23vzQo+IZ1Lzmyq5atmlAQA8+AUoX2Q9R9xiLweC4R9FPFL/QXoB3+g2FEKM7gqx+xdzyNP7P
nMw8oqRjh64OwkEuCV4TvA3VroSW4r9wCjDMIWDH2YQlm530In4GUjnibVqlQQpJynywAnN0gqlf
S3subSlAatDriOuI3Ozh3h5DjTAhAl6DHdyIJvMrK+Nd135OQhy59x190ZgFxWZAVtHCIAPnRjOP
UqQHimCsKr8wUJoqkoPTZ+6orGHll0zN3V/AWUB7HFWc6+lLDUGSNqtF0NY4jfrXEYKe9fQDT4X7
Q1ryvblDfKYaBHpVzh1lZtFyQpQiKNNI2yp8JvedTCgnaz+pzl4QtT6qjdGsTORNFIFdBmQu7kkg
pdHGJB2EscJq1WKw2uiPmvLorCQA1j4/T+6F7wmetHlSRiIo3Z75AHLen7OlDXT56yXXpqyoFb3A
r7ffihLvtm7w6ErheG0E87JdjICZVdrSeQRTslHq1UbGtc9LJ07PjCqr0LsAUpi98owm2vsTNP/z
q0cPlhddaUDAQ7kAMGVpglSgOzqLGiJolGlXZA9DvxXZX6z4lA97U9+V45rBhd2CCw+vE+CvEb07
83gvpqsF+3besioPcrUEWLeJlEeLV2jcL3TFj0b0v98f4KK9uREQlxFK4nLkMFRTEZbtAHvOlr2g
/PkrX2uPeGeCkCYR9xBiEwqYxG2zqTlqCVXA8xVkFF38Lmj5Fa/HnvIAUkKP+rmKlQ0rek9JnS9N
pmwqMzmlfATdAkBAfXnWTVQNRaIxF8d0+7mYpuHY2jGPQP0QiRcsoQYebTslB9iByL1Ag5ToMvVR
EDPxRUnVjciTyqX4J4cwN3qX1m1yjGIWekPV83NdUnxLKCz3hFKhs0qNSgb2uSrGahcejQw/Rd6U
TtMmRwalc9FmCj0DFjn7WFWnRzzolAOQd6GPZWInkBXk2pb0BPlrQFBclCNC5upl9tbbrXZSS+3N
LsJvIlGgwsCyBhjEhKubXrEgOmxB0xMEiZaRu4TZvzXSha9EUXXXGSKqbfDw/0xFzT+lwmCBqsVO
6jMKveJwiqsD08joxlqkPaC/NPzucF3v3DaCBKnCE91Ljdx8yFJrViPVKleD0sRzNozE7wveP1dZ
ZmF6+mrFxRa2KOCJKL3MqUwU3eQTwOqGlOB9hXuzffyV1dpK8nnBhdHECjwR6vegB5HJHc3GhlKF
aWRBZBRuMr1p/CnpHzpM4P2tsnBYIlGJMwDFcwQC8ouI9VNbhU2SB+kISnn+KCobKI4V8MbCZCEG
wIsEVyUeXUSK2mKNgGdWVFmQxYfwxRrXkoG35xlay4GXn9n28CqVLuNiNKdaK5U0sKIvPQ9dCD1s
7s/S0gBAC4MubKQFbvMbaOlTEyXO8yApPbN9pWvV1JXvyxVskSVjFnb4vuFsnA1SkP+vn29KkXnk
8NBUR3zeOgL83ay1Xs/3hXQUgnkIHXDQ8kECSL5P6jGNqpiLNJho69WiPRByQoiOE++grpJjL03V
pTFp49l9ambcKVIQWxxtHCf6y/25Wtp4M6oOaQLQDiHXcX1XGTwbqA1EQdBEm4LXbssKN9P8Ynvf
zMK+Ax89moUQg6vgZ5GWpIsbgupPhi0xRT7R8pNRmftw0N/+jRlgdND0BmIjeWkQJ5aKaSRZEJM2
QK3B7Xt9L8w1TqGFiGImrMBDHU5wC7GM0H6TzZpwwaj0ru60G9qzjaE9xdOJMnC1dL0brrXCLTjC
vEQI9ZG2BdmbFCQxI4fPaUUVxGclyzdVUXx808+67DNVC/inIBpz7QmZxSrbKooyIAL5OtdcK5ss
bBuTIHs/k0Bh08gEQEnhEM4bXQSm7mefPg2v1eCviSsveLMJhBmoqtFNBPieNIbSaLWUpaEIQAj5
0okNlLcASVVsd/og5xPuEGQDZ8JJeDX+lF9EVq4ZJYPwVjBkwmvxX3Dfk5eWe2YgnqkCIJwnV+zH
GkuUQwUjGOPUG/1hXJuqRQPQGYQwGQJj5Ouul1tVcMIDHl0FqAeVfor/Pj4A3Od4L+L4wr0u7fhU
KxyrzypMkKXv2ybeEu1w38LSYl9akK7Zxiq1yo46vErANRdZuo+gaaN0f0PL5L6hpalCK73j4FGP
ZI8MQY6TaaxGkBwG0fcy3jtrxEKLn0f4jpLMDKdWpfeJpXSROlJaBnXxOpaebq11/KwZkJaa9Vy0
MYEBI9tp6i78mLj8vBVQdkW6CJ0+UAOS8xBGW2YGLRUR1En1m9QI7vX84yEPHgCQqpmrITg/JGdC
m/EEtFIvAtICmg3A28oKL7jS1fclV6o1tY2bFN/v4/rAlf4LcjhbGiZ7ZPlWbsKFxbgyJUVvaAFG
jiiGqbFyVQiefbnvqwsX7dXnZ/MXb8+infSiUrApLMjz2G6I6tRa3/fiCNA6roIkBYl+eb2VpMri
JnKKwKAFqu1A9ijO+EHNmdmpkPoEDBUdzDbeHdJ1l1mtUtCwwIoY5Waq67faMLZtk21CsaZwsDie
GUYOz0I1UU46aYMVA9Rri4Dxx2nf8pWnzeKKXHxe2n1ULSHnSik+X/ODpW5qbdNXfOUsXBuDNF0a
zboBuXAR5NnWTrf9/r5XrXxelvDGa6AvU2aJgOYeCFaVNfzG0v5DyoSgC85CAkNOz+phI3hcwKXK
vEueh1r/pSRhcm54pB4M0k8rl+s85VIEj/hDBWxsJsm5ObGKeuwGgpcmCERz7WlqrNjTeee42dha
nobLyg95Yr+lJNHX4Grv9a8L2zOEFOBj+MMMhrdvkORq1fGBJiQ+1Y1ibpJBKz8l1TAC9ozqSEdp
+zwKLffrKrdcFgM7G4JeQcTVRhXdzyRv13jSpKkH8h90HugDRcQMdIUjV4EIU5EWz9Ik6CM9P4ie
N0+Wlphe2oaROyXUWTnKF+2hmxIWkSBHKv76gHLUus2qqGBBHPtCcysaEO735GP74c+oLqxIBzrT
xTgVLaxo2k8HlXOHevd3hLSrbwxIx3gFUfs6h+RHUIWhm1hftO5T1W3u25C7Dt6NoPwzF+kQ04JQ
7nquilqLKycfoiDpxyNPimdDITsL2S1XtO1pIPpWQ4M1pKzOkEcGn5D95f4PWBokqnYAOiAnj9qJ
NMimsZMeAOwoSOPWjxKyq62TGP+6b2TJIS6NzGfPxY2FxDsnANJEgQ4oT50wyKACqqcEoLG+b2hx
NHiwzY9d7LybRi+zd9IJfKBBVVp/x0nxk1LuDSim3TcjHS5/Fg2SxPP7EGVB+WWg5UNfJDmJA5Yk
mdvG3b5ujcOUaC/A7T/xgfwuIfj5cZtg70dwBJJbQGGkhcLyFCjHszhw6N+OuWfJ5yx5MCrHLUFP
2Vtrj5+lmQT4FWl1IGFvmTDrgtR21JcxwqWDVn1m1etAPpZDe59F9Ggg04w8F2pbUlDMUZ3Oh9KO
grDa2tpLvobAlm60+ftQfQD0BR9HpkudvfLC63ItnkZnisIz+hRcDeQB7cei4ncDc1wMJUN0/IE0
9NpACtAlOtIN55z1G3VrrZ0NS78f9JY2/Bn0zTevdc0W1gixXOecds+PnfkvfjzK50DbgcISWfzZ
AS5mZ1BJDvkqyzkrsQs0WJ+t7JGFPY/kyZxrwAWAF6jkr0BuMDLGfRTUphuyH4R6uuNW0cpVszBH
V1bmv78YReQM0FWOOhxfab4Dt9t3q+Ir+JBlEyi/AdkAXL3cg9KhoxjBME5IOo47m4THqhz9+3t7
ea7+MSHNVRbVjZgGmIj0B6L4tunF+a5xPhalzu5qA81oEeB24LVyAt4hQLl0pgN/qtDJRT6F5WFN
D2FhrqAfidNXg7/CirTlNDtsJhA2OmeQAhjVPrS2H56omTcDSzHTrmIU18udqYnNx0bFjivAE9i7
qvMgIL0JCOh9O7enH7wKpAB4KVBMlCxXN6S2GelV5JynHw0/pa9t9+HdBwOzXA+uXqzJO4rz0m9N
yCGakW2f8+gRWiz0wz6LBhrEnnMPGU5WefNpSm2KJNXts6VsxyeTrYReN9MDrgQQWiBvZczZEl16
igymYodpUupg1Dkav/T+qK0VI28caWZjQKUeyD9cdejDuF7oShnCCmU34yyq2IdGJajBPlbwRpYB
7WRoI5jxWCh4yoGPQjs7rphmnDOQA2WHzF5x1dtXAFYY2wyYZrx58BCQbgeziwDQDsV0jtPWz0Cj
y+JdA1y3kjzkJVDa9nMyvvTqt8jcVOE+LFdc4DaynO1DsGnOlKPzV47CO3MqKyNLprNmfjIqpM7A
eoSK7ISGIGfnnAAocX5PH1T3nWcVSYMZYAFeGIS1UugPiRyomIb6cKb5JleOvHn54MbE91FyU5GS
IDgBDCnob1OmGFkrxrOa+mH7ZNQPSvwxLMf7EHApaiClRACJpNe166Gy6pDQUIdzqv/U0NyrrTHn
yLDm/1iYOX3nnX+DdtcjToeo7Ac4N7jowM+D3kw8YPrmpExn8oN+MxndmANQPvWasMbCzkXD1txP
DwZZsBRINw2giYUK7ZbhTFrntRvzv/hIX0ilrlxoC9uXoAttzgvjLYyr4HoOs1GLOdqrRpTs1Q4L
lVSHFLQkK1ts/srVOxvOANcGuBGugGqvFMIkDpQ0OqaMZ5sAU9bgLFJ/qWz0TDXzyg8WNN8X7dKY
dLXRqEBZXoDrJa7FnmR+xtc0UmU6gj8mkKafrx4w3sjjQaob+1kx4dzOi50mXk7TXVt+ExoaOXTI
nYyRm9XoulmJwxenEcHHzMAKUcmbwl2PjABKIOM5bmvm0o5+Hor+mdPCC812B2L4tZMJOQB55QBH
n4MRpMLRG4lM4LV/dEIficmn6axMTbKtQz7+Ho3MikADrlU1WEArL0TDZJYM6fPE89JX/o+zK2uO
E+fav4gqNgG6ZenNS7ftOI5zQyWTBCR2JIHg138PU/W9Y+Ou7nJukkpNDacRWo7OeRYO6i9Y6jKC
g5kdoi07RLoVOpReOidQmZ/CIGvccK7VQhZBxhZCjqDbDdhCwhJYnadMOfqhBEBwxyo7SLJRuPfu
NFoPjlZOLMshuGt0AG0dK/vqtGJ8qVxH/4IvHd2RjBlfi8n9ZfhjmdhDzx+BUakSoTs39rHLRxYZ
8W2C+merrGoMHXNuq1g1AIWFha7S3UzbamNkstl3THu7zO2HUCpvjqU3VjeUTVPSmaR59kXBInSd
3ITlzvDgVJqgH1wB+TFMzq7J2/ZOzQ1EkNA83IhS+Yd0EHpnNXUbCzQWIxdOL2BjmmPidwF0xQZp
2Bs7BSPMtrLp0WecPY5mz47UnSqIOWZ/mgCEah/wL2j8EBBDUJCKUrSOwqxo7ARiAc1d5RRu0qJH
HWuHjHFXDEOievmDO4RHLkEvuQ8mK8ae2oCABHMeP/PM+wrNrUdRubcZSj/tnKip1geXplXCaOGF
ed1ney+T085Byg7qgrXJPB9lDx78IqSaY8Z7SJ0H4CKXnJkJNwmGdIQfD1Wi+FbnfnOrSW2iaFFB
6cf1tG/dSsYeCaqQUQkW4gPn9KcDyMxuKoZ2wNALCHyYqA/sDFcB5EjyVzr12Gb12H6zQGEZI9m4
mYr6fn6F0RC0n2pIrR+NwIBwNHRFf9p6Fm48QpHzOwsy89WWUiTG2Bs8Mibff7Ynu/6Zwtv6Cw1E
c2tWmI2dTX/3Zi0B7AUrF0PzhIkxJWklf1eGNp5SmPveVtlUfA+qxg32DiOQ9faV9mKXsCDEXLSb
HepQf/Jh9h5HMcqIZXSMq2DKdnXtDZHHBm+LMk7+iH5i0Ia04+orNYT4yVo2RKaRo+7S2+OPVNDq
YQCFO05xt88i7udGBNyPf+d045Nv6PymZ8NcH1tXZVvWGgBsQdA0hPFGttdV1d+zVrqJJbHL5ssk
mYjfxHALO7VuM2Cc2T+FM/HvdRaoY+7MbVhjMJ45EC7ePgW9bDM6rfc0pRj70LNzCDYFCrweq86+
lF373fbb6kW09muRerijgPwfDeg+7OYRmMQCX2k2NNngI+kjxpa+OJO0ozoowJSDA0nsVFMDLlAF
NYLCfCWzQUg8SWGHDVNQxict/uiBns1KSb8C28dCSMDUsZk5IvE16IwZVmYbUb/K7txOKrxoUIZy
kYiffvr854BdOEtriEn+zkoyh6Qtitga4eDU2ZDflUSVwKz5fGtVXETBSId4RocjJpLyjZzcMqqp
PUS4xgB3NvTdHoKRbgw9ev9ZuNw8gAGXRWU2ZVEtHDeaMOfCcYaDRZtpM5o7KCFWzO8PvRoNOIN4
vMBOKMqoZyPbuoXTvYjBNX56ctEWczmLK7+FwCcrjRsvZ+N2LoMqqvrahc7nYEaM8CqyITYCS25o
4T/5JfQB7JQF26rsm6hXvv4zIDm46XGJ+akaVu4dOychlc0C6isqGU1Q8dxh4zHBKMvHuDQH6yt3
atFEtBzVbcW6/CcxcPaEDNepyOH9vKW9Nxwc8Ee2LbB0yVhaw4sNcRAZ6aC1YOkzyG02jSCUQZI1
7ho+PBGm4Bde9MUXu5Js28ODORy8Ib8ZYIb7oFOFtqE29A4S7UHELWXeq4KTTWkY4rHyPPi5lELF
SgYyhA+mF6ugaE6DIb2DAYbBTsLnOAFltfgmsrHa8WmyIi1IHcrS9G8m1jQHT6RmmBbSmELVzc1v
4ZTY7CaYPhimBI5e1xFP6UNmWGlsc/GrTCsGNnItQrcsX1DjrcImA+qxSiHaP1Qu25iGj12D1vN9
McJg1AgaKyy6DgeDmNmd6KAhj3vRENqlhq44rIrD3k3rRJQNlMVzQfih79C7SPGjbgcu1YbJQt3N
tqBbswn6xGn9KulKOUXuZDTQl53cXZaZ1iatM5pohyJJyiz1HadvmUw5Z8mscRfyjdaNNDN4At02
XI0a19v3QI1G2nPHeDTKAiJdFr3rBlVGXg9bVEHdPyX15ie06vvHlrfVVjgI66seuO7UrEOaFfpr
LUt/Ib3MIbhY5n2aSwrjD27uC5rKbWsIUBWx6x0oZBKSshq8TS94C9c5k+z7wtSR0Rfe3i00f1KV
AgxVwCsTlesu9lvMHVH4duLngxfPlbK2xgQvsmgEWBSHlsggbKFpWKTSvS2nwNjZBf4gqV9HUw5P
MtpAQ78asWlAG6I/eFRbCe/q4hEmdNnWEV372Ddlu6/6WT13AP/G1hS4D72w8KPrvkwGY5A/CgUR
RB1MXUjBj4Isphy3sE3I+phjsIAiyuqElGDtFi2t96WdOrHvNN1NW+NO5kyU7XpMYixpJp9c7bJ/
uKd4DF+wYWczCsCRbVSQ7lC/GrKA3nzcKW3ouoS6aKwbLNk0QsHQ3rR+kW/9HuTZSQbzrhxSLLIU
lrK8lg60QLs5dObS3cvaGGABCvbBAT0giPEAaAsdQeE9FTxrD3pQXdJIE3PWm/O4TAFHapXpHdrM
GTZdRfwwGOzqDnyVLIJjhx8bDalu6hbZVe6nZuToFilkVr8WNSTXUnd296hOpZsOXczNGLgwbjTL
IJxqT0QlUW04tRCrbDXk30Bo+yeYh396X/uvw5BaSEUZtjxlm9t+aKAFBm2ucIJSC3jNrXvDpzy7
E0bOtk6hmq/FbKSRTZTcFmXtRJWgfdxljMdmlfsbYjb9tk6n8hZZAebgNECpX+XmpofgLDjFYjG2
piSEbgOLSrAntyxtijRuPLeLp+Ww4XLAN500cgiIuz9qt6lDtzDMPgJdyIjcYZFItIcxTr1CJ6kQ
bFeLXJ1mAJd2jVDiHkzsJjZgaXWPdTQlmmfZsRGFed/XDdyHB9vYcMsYt82IvuHUccMPq9LkMcoZ
Law+ZCpjpXz1NNnZ75I0UemQY4f8MrGgJPHiQd15iprZ6L87/iROVqeKXy4Exr5RyPklhNM5Hs38
n8IqrDA1xjJCDgK5q46CHz4glV2YsbuGDHQj+9RMYPsGDvEg/JjMgU4kNOaitOr7ZGjdbAOdXBnO
HTjBFI3VpDQsTDpc2UJraF6nhlrYMGh1DNyZx06dV2HrzhOMWdsg1KifJOjSGkluTSzxSJab0Wi1
Ntm68KkcNhDKbh/rAaqAbp69ZDO4zJmU/SvSiJwkLtqMJ9CnhlsCMaLywClAHUhmXWOLJqeKwTpw
DqSn4p5m/i+05MewBdvv3k0h0qmVRlI6ZsEupSOOnQrHICsbL4G4gkQX31ZPY2PlGx+svVcI0fi3
aGXIL740yoMQzXzyINjhQVFtFs1NDx6QifZc2kVciNmK8rLjR6GxIeT2rCOFsgiOlI5D4q2QSVMS
wNkBjXhEZgYNi7QtNxAA925rPQTPQLilbcTHVh20zgpw21Nz7MLaStnvcqjVyTX86qnM/OIGkqBm
iBMyY+EYFBo6814bdcjwtmkjjQ1dDKM0YV4EzlwQz7Y17soGCKeGjiJ2C/+7xFy4S9tW3kEyuPqq
O4/fDjm4P0W11IumgT3nXE0b7XhNrObACZ2uM78EdstOdmawqCAsx3WoU1tnAifBzobmeSihEU/m
qo7APVySHvTcM5SeD7mc66TJ2hdDwF2z5l51W3PV3kCETN7hxpPhzHe6Iyl7/eSDjrI3e46pIpwC
rrP8D/4vHucj7KJqG2uT5NOwpTX2Uly3ulPXdsjseytowtEd0wQ0guFUTo0RGqPPEzD0y7ByccWo
8mx8dlJib7yemEeKhf0FWpdNAt3nKq75mMdsEQ5pdDfcmAWULiZvmB6ZW8lHt5gZtk9oMtSjEpu+
ADeCB/ta6K9F6hqx4hRigfZYRLyqh3tb464ksB1GpluLjW2X7saikkSOMMdtTgYrTmX9Oy16hc1i
6A5Nz6x7UE95VJoi1h7EGfp5hDgbPIVuHSuXP8oaFE6Tdc5dA4RsWAKnGIN+4eGo1sUhN5siglNu
C2Uwc5tDjyegNfwFZ3s+jGj4JTLlUCehKts4JIWxx5zJR7QGbIiounasZV9BlTilm7LlWRTMY3Br
tbyIW07pZvAYjvW+EV9cq/7FmQyOpoNtzqMt0paxM9DUdcr9lLHgh91DerVgqYpt2UtIH9fujVVT
efCV+duDeGRkq946cA0NXaG5G6IgVy5q4sMmR6clorUEQrVvpsSDpmWU5oGXGFpb24yYcEwtA/7H
tRVq/05mHDuv4AfWqGpTZKMZoR+YJ2LkEPq0mZGIHgcDI6LejqZEEkpL+wDttf7UWGTeGfD2DgG8
DWKTFUZU0LzcD4SRGx0skrwjnN0Iy9pX2fEpMcc03c+gokezWc4Hak/FDzOfvQ2UZvXt3I9/Jl6U
z65jYCxJ8XWEgOWmUek/SojqqQdx8CTLVIe2tu1TY/tDiHQ0Swbbq7dIxLMIKEt4Z7b2GPO8cUIL
32evmNGFNvB3B5WxoQ1ROTHvIc6ZRkqOMi6t+j63RmufQuwyyegEGieM7iOPu80NKtDN3eDy8aFi
hn6GkMLTLAEEDttFIiel7tEZTOPZoMwKsVYbFnac5qe8GF9pnuu7xqGQWnDTP7Qu1A2gYvpgD129
d3FkRQxSIGHj9ZBKnAFjf6jtSkQNBsdAeGX6ey/NxrjgvAo7SFFENYM99ij6LEoZgfp1B6jiUJtB
1LXBsKnytIg6h3x10PzZzays/xQDjLXnSS5XrrxMCpINuIr13dGTVhFKm84kbFprfvRISvaesqDF
V0pz6/vVn74s6G6wuyIGIwd5GRPOTQfhPgjmWrd5O0KXJ2vNU+cMyxDCEkpSg8bMKX5UVcG2JS5f
Gw5WHIoKThFBFrGMIeeFjBs3MHIApkE/N9qDffJs4kapefWtMIz+JdXMO3hYG1v09DoIydHhaCCf
gpVkmsFjpkN5a6isXTOm8z2O1C4cWOU9dKzAXacK0psCgOSkgu3SzpV+CUKhDUImtup8Azg6kPtl
KUPWVhSyz0gyM9X9DpjqwhJLfAerpiqRvUFDX/dGMrcLT1VjHRhAJIWdiRmVUQJAe6+tu0Dp8jav
evb1co3+bHEPrGK0EqFpBSD4++Jer0cPtuHBfFIWdGNu52tEg3PPh6EO9J8WgBfUM94/H6LYwgNk
Zj5Jda/5Prev9BiuPN9dNRnH1DcCi+H59FiCeTZGl4fnQwketU+KvhPUhcAx+QCE036AM06n82ls
SlQKD5Bdmfg1yvW5d3gbZEGwvOkvClKR0YN55KmAmY4RXhPiuvb41SegAI0JLfF4HyVHQPqy18tj
dPb5S4MHqFALvjyryv7kd5NXoPp0qsT3k3B+fPrpkLCCeADUakHtJ0v0N4OT9qM0+sEzT0Zvf7dR
HkIF7LPdRdBClzL+4s+HmbpuvkF6EYhs0ZJTalZHtIBQV5+cP5df48xEQgxgEhZD3I8ULnQQqAO0
IDlBocgSp75GpeLL5RBLU+Ndh2V5DcjQ+pCPAKpqbR6u3MblntmQk8IZKWz/iZRgVdLyuw8F+is9
94+gKsRaIPgm6B0fvU0mFBq7ua0JDki9K6rhMKcK7DHriy2yfyCNhXKkvoKIODPNENJz7aV7ZAN6
/n4imK2hA+525NRkPCwPefbr8vAty2A9fGiPY40vZsLQSn3/fAgRIJ+pU/9k179muQUnLkQtNdRY
+HD8WZoUl+N97CDhe6Gh/a9ghe1jcN4HJC2lZZ2b3qkefCvp7JSgQdIfSIrycJMnBRtQsq2/aMdI
xrpNr+xs54Zz2degi0uA/1g37VHVlQZ4n94JEI1oGg/c+6QbBCAseL83EVb7woAzPR+57Z0yoJYg
xiz8v5jw0H5eulMe9JnWmPQGyXKAahJmREUS9FhGKL4V7XLMftKVcmn2mVhaUJnCaC1Cwu8/1WQh
7x995ZwESmhQbTNQx70yG5bp+276LSEA4QN6bAHyracfn+3ehN2ZfZrRMsvUtqpPdT+GfnuY225D
KvFiyOqbmbpbQettjnqeq39f/g0fpsTSogUSGvqzNgXRdLXCCrMjuMbS6eSjQFrk1e3siCvtxLMh
wDkETcsHPWUN84PkoIVagjOdRtH+Mfv04FfB9vJbfNgGl7d4E2LVzgbSiGdlb0+nQv6waius6qOu
yzAnm8txrr3K6tTG/SMA4xxx6irD1Zkh8b6yQ5yLgPQZmx0whZBMWL1JDuAD1zlDhKUUmLlVqFGm
vRLk4zYE4BF4htBRB4jio7S9OXVu18Es5dQLP6uBNevKpNM9nEo4FSDs53m3K3lT3kA4kz03HgtA
w69/Xh7MM21tF4wrsPahH2V/YABURlZzX5WAOqAG4kMUN7CR+Lo8dCwRDcU1D9uz4RDFcmB1/jFl
gX+t7SvPGU+kthOn+aaVCEvU8IV6cZsrqMcP58oyvoteGfEhS/hhYfs9bC6sRo8nrc2vNsk2vef1
IRj2kEyYJh6SsY6ZV/5jzcGVPeVsZGojs1iy1w8i/KPrtH1qWeNJsSIclR/aaC1Dcjx1bq3hQYx1
lBpdcvlDfkgM8LYgUSyAIhCLP9AJ8oF4aCsF4wka6HNcT9W9BzJm3nRxE0gvnLCZwZnHVlde9VxY
MFk97NKQXsI0er9Bu0Iog/ZUn8A2Rgl8C9PdkEMJXOHoxj+b9spHPbM0gaYDUgxYC6Q/61yrpBo3
ad/BfM3Qi0BV8Bqm7kO+iHEEyh/NNqSk5gcxQDSsSA0rFKx9XKoDKH7WEoVj+eksYAmDPhvOf+B/
4bbyftywBAC3sIU+za4f65kcraLfX54RZ4dq8b0EaBxXhDVEK58M9Dj6QZ+KtlEPU4BKMu4j18TI
z00AqH6ht2kDeA+01PsXqWjaE2I0+oQpiRbojvRLP+3QKhUpstPD6+WXOnPIuG/DrTZ/qaZhYmmn
T1YOCIeGldaXCb7eM//ncpxl/FdZAegeSG4glIXdag0BU2ZL84zU+oTS1iNJW2zC0ytv3a++sODE
xCI6+PcVMNVX1tPZUwHrCTJxAI9Sul5QTTmUZR7w6cSgd2elBipBXUKIQKXuV0efG+SmmfPTvcYT
OjftwQRAqgU6wEccpGFQIgWzAEmcny3cWkj/pzV+XR7Tc2BP2OBhKgJpiSm/RsR6oM+Jdpz1KTOP
BDuwLRh0co4q9SLmC6jYgla3c8y73P5jjPvPc6EW0R6A7eFbgssy2JTvp6o7Nj2YbKZ9WjxeKhR9
oSq3u/yKZ9bcuxDLML+5NAeyW+rWs30KIJSpq61hP1wOcOYAfRdglRD3rlMqkuMdLI7WkbPJ1X5s
AVHhr8q+khqcfReI+uL0RB/H/Fdm/M27mDMkTTk6gyff+8dLf1zDJV55/L/WDG8erws6B1Nd4vFh
a/NwLq+VX85MaWjD4O6w7H/I8VfXPPjgoI3FLFSoekCHu0lZzx1QQoditMiVU8lanrXaLnyoByCH
h1wbOOCrWFMj6tmCZxYg/TS02Kvr3M4G2+TNVzf/FcxLz6zbBQC2XRNfPLP9vgtsv59wnBROBuu9
+dTz7Amw4iR3XtLxJG0BteGduia+cW57QjzQFzAxgAhfM/Fao3aQp4r51NrZT68wf7Z2m6CThdZD
noWM11uT+f/MaXfrDMC7XJ78Z6YMtBixLZtgEkEvdnVoKtqSoFLAYNpgy7RhceVsufL4tQLjUBds
ym08Hr7EKEknMvjzF78fKf+iwIaTcr3/ZYIJHoxqOlWZ8VVpExl3FlyTrTxzcoGg+L8gzqowKweT
m3TsAFSFhD983CDvVpBnVO1/6RztDtN8NSgsjOpAby+/3bn1Bh1q1PE8fKMPckx9j+YBJMIApRff
POTYcotm6uUQZ05/6Dz+F2L5gm/2DFd4nh5ENZ+YH7s/eiup+p0gn78qIwjUqmCrhiv5WnFEWJXt
iBlBnDkmE0Qyr4zT+Zf47/mrJZtOhtmSDJSHsd0MdAt9x1Hu7GtVu/Nf478ozvuhEjKYVD0gitMl
phOyb8619zgb4d8EFtdYC7ed9xEab5KFzP+97wO+Xgb599IW91ZPkssf/UqctUhWkOfCnbtpOhHc
4/Ricos+dkhycYXScD4O7myAWsOdcp0vp7UAvk8Bjk+auxrAaXECQOXyq5zdYWBc8P8hVtkrzXo/
60qEyIB0EhAQIPxvJhfSRhDqYXiPqtb7j2IA+NAI7qEIg/SxHuFioLw4bQ+j3f/Fu2AjXkqNBHIR
9ioTKcCJnibDRfME5VNA7648/tzXePv4JRF6s9RLXFppBVgr8PZ+bP8eAMh1/2I3Qb6LzQrUSxxn
y094E2IShsMm3pinvIthP5DtAUHxrt3Lz33ypTWAKiM0bcB/fR/EH4wZwqTokwUzMEqmbEMekOfL
0+rcjoLKG5iXKMei3LAaq6BMU5ZZmXkK/DGhvN/xFOKBFA5KfHM50rm3wcmPLB51K4rr0fu3AXoW
BQhjQkurD4atBVWYOEO98bMdB8ipuCYBndcnmMrrzM30DeIZDNnUKDZGAgDS5Zc4N1yLYwIBoxq9
17XSg1cBHJHOZD5NDoCjWReVvp+oZufJK2nhuTmMoowHkj0MUtBpej9atqiJm8Nj/ISWfjgUP2og
fOrqypXjSpD19gj8sXBUuwRpYNfavQwQjgyulSvOBsG1aWFjuRix1QxDrl7D54FofBEYpBh/ECvs
rtHWzk0uDBSIeEvp9QPtyka9joOpp08BQMIHMbf2Ns3Un8sff/ml60z9bZDVDIbxR6p6DxfdCiJ/
ZfdaA3TQOq/4MrT5m1Don0LCGf2zDxeQ0R0qOvuA/XM9NaFt9jfUsB6GZr5ruffcAwN9+dXOjh8F
YwzLB9bS662mLXu3LzoXzCjShoGFi6FzZVM+u3L+i7C2xipQBRQg408n6m+5Ec/l3QIMvJaAWWdn
G2p78GpAAoNM//26gSJm20oXA1fnk0BmcTd6E2RqxUvWl/ImVR2QNGiYoHJcBd8M5U0gC9hOWGkd
bBX0cpt8iLlfqe3l8T131yJo2gGPgNoMFBne/6yhKa3CUGgLtFX/s7LYHYGcWGT4kkUS7bCQVuaw
7erq8/dw/23Y1YydsnYEyiafTvB5jABLTK6y9qxzM4csNEvMG7T0/r31vTkJfcoUzcGzwZulIyqe
AKrV8OLbINn2bszJEjfGwOg9kO+gWsDDK9S1USW8KkCOp127zeymi+CLzl8vj/i5ibCwZNFVX+7x
60YMgah7XrsYcT7e5N9UF5t58hcRFvEj+HRAWWZNcGY5KG0MqjInCyDUIugB9H1uxDU0y7l1A3Mk
OLPYIPOB6/x+5nQBkOQDxR5dajjizvKAYq+Q4Fv44eXXuRZoNVeyoK7lwBEonQDcgBMfsFFHXWkI
ylD35XKsc8sBEgOLkTvKQ3R90RxZNmO/RkuxNow7e5yShhpblwHoYqFvVI78xTTZ98sxz73f8p1A
YwUz4UPZPOuGPA16UCJLuGq7D0FpQkoeVvZX9rlz5GOkLf+Lsz5UTQpxckgdIrnVddyAiCSASKPa
CM3iq1/eOA0qLFjw/DCU5r6V14TMzw3t2/CrLL6aujQFiG4+AbUqpqifXxpxsEhc2aHp7y4P6bm1
j0MXg4mzHdzW1dxkhe6Yp2xcFHtoj7SuDHFzvOYHcfaF0ImDbQKAPh9U7ALO/IZm+G64ew1bxzDm
W6fL0ih1JMpHRekn3B2LJ1Hl11RDzkZG4oJUDz7iwTrJd0qw7FyCoezFrrdl1KNvMNtfmOVuqHey
/Cup65n0Apk+CjDQZEAms05d+0UoSqXAfBHjAZf7atq0/Q3G1fu0+EZgIjFGJraYbKActirzuNLT
AnoJ5gmsh2juf4EGIfOvn54aoFljWkBKAJgBd1mNb44FYVpTMQGJfGrmL+m8IeP+L54P/vuS6uMm
ufb3apussgbdWSdBIz2F3Sf1Shf0CJ793/NXv9/s56xWTmmdbMqjwtJh92kE4RLBg0gBKqIedMmW
6fBmhEzUP6pycswT7HVCO55pdmVDP7M6A+jDQRnDxhn4YcODQ9BYVbDdOQV3E3dCA8yny99guYOs
8mFM1eXROPuBtlyO4DdvIM2hhHfcYJ/csvBjRat9ygnYuurG0WTXE1lE/UhncCGLb5cjn9nLoXsE
VNnSYUPLenU7UnVh1sYCj4TXzThG3leDJkP9+DdBgCuDnCI6TuuijlOkFvd1bp5KU7GwnKa9Ss00
yun87DnVlQTx7BvZKByik+Yua/P9WLojtQ0TyLKTEt6jUvxpYRKGRsWPU3BNaeHMvoYm+H+xlv/+
5rsZAsxWWxe48w/fy/K71T94LAZOBIoVsB2+MknO5GEBWqGAHQKERYEDfB/M8evA730gTYcOkBvb
DqWLC22eXzl2z012tOaAZoVgHJSxV3uaDW6In85oLtSOjCgFsfzzpV0UFSja4XgJ7Geryd5nLrjw
rYf6MbgC5IZrdWWgzr/BfwFWO47jzYAVSGc+ud3GGw/y9+XZfO474GKHnQZD5EMv7P130P3oS6jm
zif+OpmHwDml4m8+AVQBLcxhtKDXxW/qj/nMKfpJQfWrrUNSXtvQPh6QEHNxMI9QYcff6z3fstOS
Q1LIPxIGqkB2yOg3Biq3k+tYf1rbDiAjBFvkpKG382F3bmpwJS02ecfGOrAbln56Nr1//GoJshEq
G3ONx9e3Aajc13KmM+1yYKSw6y9ASzTb1tsJbScPrG9JjqD35D30I+ajyjIwq/cW2be2GXvyl7Vw
p40bC8RSS3/57Gx7H3/1fnSaGtDnRnI06HMHbnPPDqqyrqyYj1MaQRaBLJRhgV9aAy0GOtbdXOAl
LfbYKdAzq7DwHy6/yL8YzveH3IKqBDcLeCxkGmuMZzMDbMGRAh9Rm+82/VB5I3B9DnnKFeMvGGXQ
X5vqkU5CflWt7SARbRnMfksrjeayBRFfUnGjbb+/B7AW3cc55exFGSrYSthJ3rgsz06yVtV+5lm1
JVlfbFsHEDdzAuIARHFb7pCKiCkm9aQPGrnjLkOhIRTAQ+wnWMT+GDqWPaDzpNHLD6yXYtbGSzYR
KCZOeXsackhmqn4uw9QrQVbI5gK2tVYR+dXkx2OhrHqLg2cAvW1u7zm4joAyu86z5vRJNvIPGw07
NHKzBGNuZnLeoA6W7/tpyl6bKZhv+ilQ+8DrGLBOQ+f90cCS/S7tyYgvf4lzX3s5if/VUoT+7+rM
92uwrcwKPqVWdyzBGgWZ+9OCkFj0b0Ksr26OSPs6bxGCblQButTm8huc279QjwggSAUnxw8JRdNg
JLXKvKNpjhtm7Obud1vJ0E0PGViIl2N9PE2WV/kv1moB6k66sFhBrGkIthlkm2Az9ekIQEhAeg11
NiSB63aR1WS10+HkP1rDpk3INSGtjwkRsmLs8ksIpA9rVUg/a1EuzKzgaOknhStQB+9b8J7da1Wc
MwMFDa2l6gmjoUVZ8f25KDjLOsMagiMzvw83dfDt8iidew28B9jHyJSBsVzldSjvG22eUe9oQe/1
QQcz5DtIZ3yZS2e8J4NZXtGasm383vf7lQtV6EWVDvhRwDlXyyRVKhvmsq+Bkuq6h7Gd9lYAhnTS
s2KGelFgQr2pfg3MtkjGuRD3voSGEq/rPEwlZMpMhnKBCAR9arBFBTAWKrvN1MNEClhXP3Jau/hB
AOh7WKQPIljmqU+fHMuODpksQB2WLsvq98OOUQ5GNVdHiAaYZAjRogj7TzdXXA+1YYB7F3nhD+3a
HLm2C0InP/pmF80AyglPQ03iyob1cWYtUVCLQT50Jl2BaxpM0JTPj8ZwY9E8GufPb4mIgIwRjTtQ
EHAXej938yyDpYZZF0enMkPig/hvqnDUfy5P4XPvAVF5XIQsXLRxn3wfRcMsC827pjxOLIJR5jXd
5eWDriYsFsh/j1/Cv7mNcEuO+Ujw+JS8Lt6I8hZiGg+d3HK5/aybNtaFC19gZHTYtVC4Wt/p0E3x
J1Njdtl1eeeD3A0hts+OFjRsYde9tG0hVL8mpkFq0+eBbATccmNhbJtmd/n5y370frjwfFxBKKCI
3kdrWeaaOaMOF0fLFvxuMIP8iwlTwUNBvP7WhW3SHi55sPfIx2v8sY/zYIm8tOvhDvRRczB3W1uU
shNH+WsoQ/58+b2uPX21D5tTAXUO3otjx1nkyf3wF/UQtELAM0GDkEKSdM15pEUJDQtseUcNvYIJ
RurX8tFzr4AtC18F1UKM1GqhOJnlwtIIn37q74301nSufoHlFrv6+LaHUigITYGFabzkSG/WiqVs
aC4EmX2UiJVk9UiitIcaU2SWlU932azYF9zzYNVIaxcejrhlRFQOHW7d6cRs7A3E+NGktI+kmfYR
VvYzZowVltBSNUEb8dTGQB/1oRjsIM6bPNh0tDQgBjHBXbGEnJJ27KdslOQ+SImx43kN5B602udn
Tb3JC/+PtC/tjRRZuv5FSCRLAl+BWmyXbcrtbtv9BfU2LAkk+/br35N9n/dOVRYqVL4azYw0rSEq
t8jIiBPnEK5F+wZ9ISWY5CxQKfJ0fhi0aviat7jDB5oMgJY0iqV4Ta1OflGX1s0vK+F06X9UhqwL
glQNZ4EWeaw9x5pf6eCOvzmwOv++uH9PliCpy6FpqFiC6UtuvBnmj+vn4DJIPP++tInanqRFbijk
ecgSNRjqtnkkQEyAdFHtdTSrx1ryBGLx6ma3hQ1l4mAg1Q1KdNlt/RVYmdqpCrr5zkpf7Wrlyr08
G+ffl6atsusuLDt8v0e7LoH7GFf84gK8FBZwrBHDiGyTnB1o4mgcRjBwA978kgGdYY4gzgONQwbG
N+WxijN/qD6mIvevr9dfsPHJmUSCABq1MAwBMwdE+PKZLBnU2QlIQo6QJAL/QJ7Eu3ICKSBP6KS4
YzgNT4Rxe1N16kfas9wzQnpU4xS/R+8BxAbnwV0FlQo/L+wveIMyX4dSKehy5vahj7qvVgbesuu/
Wa5RXfxmEbWebGICGgmT5GZxLI0SDFrKm9PGD2FF3hwgj2u99wohtWuMezs3D0AEeZBEurv+G6QN
cfETpMB4ckIGoQpMmzp/KMq9DmK+/82AdKGYfTyqsRhj9w1MWhVb+bz0HP3P70cQiQep2AByXRaX
QN6WYGk58qoAa9Njmb90sPOJMZwYEZN4sk51amdtosIIeAQnii7Wlc27NgjpPknAdNdkYhCC1W/2
J7AVrmnkSf7sYp6krQYmTttOBxWix8P3tLszSLXpqoMR862mrOEK5bTXhTFpU9mAUWhOrWM80/dG
eQjNEuQM3wrkavP2K3eeQQG7bYx/etXaJvw9jbbXl0uM5cIVnCyXtOVGjRuZGsL8YLqWjg7M+4z5
87DiShetiKQkmgXAZSy76iGDUnU22MVxzrxU80i5Yx2i/831sSxuDaBNcYMiZ3zRAkZDJUKyAsen
yTca2TrVlq/xIi+6gBMT0nTNMwdHnU2LI+g5Wf/hWCtv4aWJsgXoGzeaiPalpyQoh5oqJg0/Qkfb
GHdA/oy7Ol25OJf2N6hYdFQ38JiHItP5EQWZUYQKEgZR2s/9/BBq6Kjh37LodQRNz/UlEfMhby/U
UFAeErqsF/kjo9P0woCQ7dEC1WLEI1xvr9Fw30y/eLvPzRW8xN9ffmGOol8C1Q4Q0Mn8+tWMjEFk
YDdnYdu7dCjBrJoWZr3HbyvdbATnYGx2zJuRPAB9md34ADIOu3wAE06oKNneAc0LOA9xpdhDHt9T
vcu2zLQzD3i3zFPiEmRznVqVr01pDl8InaMNGIWtp8asihcVAt9mWrGN0bQ/zSnrXiGwZb0WlKZ+
odnj3UgSCwyrTVG5FbfBnQbK3l91krYeJOPD3URDtFG1yCLU5Vy8olm6WatHXO5fWyAfsMWEqPtl
vA/qz2iqUeMuxm9h/gFs6Ir7vzyD5wYk9w/wiF3OCQzY0w5sMz4YGtV2Tbxs2QguMuBykUKgUmQG
JrR8pq2jBpNR+NXcerPyYjQrF83lUQSeATgsIZGG/lu5CgiJJ9pqSlcdsSqeTh+n4mvjfA0NvnJE
LpdEI8hIgn8MsACAAMVgTy5MVWvjXsEmOHLby6k39Svfv5ys8++LcZ58fy6tNh4LfF8k8u2tM26c
YgUGsjgEPGDguGyRApUWfTTTgilOmBzj1vIb9ITFfMUvLg0C0h+ibIKzfQGNy2mpxkZVJMfKfkjS
XVH4bE0Pcs2E5Nr7SGGglsqTY995GgeHIR6rK4djaZ5ORyF598kq1FaPMQrabKFpmZf+dW+78n1Z
r5FDX1DnFKJ+RvZPlOfg2F2JgFfmSL7HR2uiNRhrE6TU3mj5T1/XnrqWpF+zIR1uuypNzcpgo6s8
dQLn2r2xFkOShbONuxVH7j9kK/KZm8ANWyqVEh8tDvZ3Unoj20NwJy2Al/ia65rX6nfgc+/iPx39
rTh/imQfd1tWN9vrC7Y81n9/h3Q2Hb1vQlB4xsdZ8ztta8c+7T9hAg2teOeBP+AS8qkgWTKVbZoc
wViu010ffqnXunCWRnFqQjr+Vt33FmNxgneFp4KasN0ra8ijpQU7NSF+wokTC2OjqRVQNh4T653k
G6XYW5VHzd315Vg6P6dWpOXAbUAiJY8wVyEa0PfVmprH4kQB6YEqBzRQLm7fxJynNGLQCOTqHWhf
S/A7ks0nhnBiQloLHYncvsk07OwW/IqeXew/8X3IU0HlCQRCQBqcL0SjEFa1CY2PEXUVFQzbK7fV
4kKffF/6/Y5edhzpsPjYOU8ojqfFkw16quQzh+LEirSdIAhiJnVoxkcz22rpA4PHt9eq8JiI81AU
0e6JCWkvDRNIturcwkK8Q7vNtj3AZ4thxYi4MK4ZkR6Pg50BXl1gtoa42FatCl4qkLuaPzpj01lH
sNll/OV/W3/ploR0PImBd4mP47QFh3i65poXj+DJtElXZK+jMZGO4vu6B8QPvVG5D8/ts2WR6+VK
Ujh2YuH7oM1s/mRrjD8rP9+UnlZ6m1p1nWJBZs2t3unP/2nyTelq1Fir2/C18bFt781qu0rHsXj4
wJmFljeUawDrOz/c7dDY1gSFxiPqrmYFbrqnBLTK+tsnRnFiRdpC4xBbg1bDCzLbM3MwbfvXv7/o
ZU++L22hBlxuPLLU+NjMd32Q5nfjmhT6yjzJcVbHtdBoBoxgACwNJWVo6gx/yvD95nGgLIB+EKRq
icg5nK9G1TJAy8coOrbcrUavLHdjexslpTgNGsC2yAciF4BnobQUgOIkRhl3CrrnQ9exflfquOJp
F6ZKs6H1gb9g50KiVjVCleF9EgbjoPsTe3DSL9awz0FOe32yxC+VPOGZHeneILpi9yhChEGmfEeZ
EyIaR83hPoWey1h91/jKxImTcM2cdIFodjRCugHmVP09T4Mw3k35BzMO0DdduRAvd7PAcKKEhj4s
cBzLEPsQpGnzxEI1MOkeogpW8QQS++tzd+m0hAmkzZATWEg60QivBhA0kaDQPCsyNm28FiGuWJDh
+7OdpU3+10LyISQ41tJyS5MEpApAKxC5QoZRWg7SQv2lKEYSTBEFDsp8KfNpr/B+d32iLlcdjeaG
ODPIMAKPLJ3IMkVnBdB7JOBg7oFY006py98krDYDYJFV062cncVRgWDCQbcWyNvkMs1cjlM+NRhV
rvT3ZhK6dqFCH+PX9UFdnhxkbFTAidBcAQlA+S0Ebn0AiGPECnU8PqTV8NJYdYYM2fxrCM2HYp6/
2PHtaU7YRFFerBUeJnIXThz3Tp0OGRoJclCpzyz/McH7QG9qX+ssWXENS5sPWMj/ZoukkJXpem2m
PCaB09y18zMipOsTuPh9IO4BTwe96kVvikl7wG6R+AqY8SVJfmUoTFw3sLQPwKCq4WyiC+yCagTU
KhWQWCY69xOIS9hhTHfQkQXVXa/TlS23OBaRGwYXCGAfcgRQDUNJegVzZdDGRwHeM/XPzNaJBenK
gfa3Fs2Vje2mll/ilH9BaXUtyyl3eOKywf6CxBQITVBWv+hA1NVhYEprYcYodL6NFDdArB7As/5V
iXXXIrPhRXXzh89okYnjBJKAfB+WxG1SxaVVubm+fpd3IHquCAAcGprB0MknuQ0t6Xq1G9F0Yupe
9U1BAxAJqvkTK2cK9k606Bigr5J2uTpNVt+FJglSPc739ghlvKq01lojlvaHCUi+4CpABkXuWWAO
hLVVdEoFCXTGoldcuZ/YHqcGpLmyy7Dv4a5IYKWHZHy4EWP6d2Ocfl47j6lqw4xYPc0kmEPgEnx+
c2iLlT6ZHmkRqrk3e/BikUCx9n15x9WV7y/uJKAMIXEIkm9dDga6cixY3hkE0npeW+0a59khBwjj
XN+vi4t8YkWapLDK0QJb6HCYVeqTLvH/uf79hVo+KCLQpIjADwyol1UuxUwRcwArkuRvJvlSUAbZ
kyDWnrSEH2rI3ppt6PfZCLmi5364DW3zdwuA+Q90pQDwAZMmxQq8naEfjR7lwLbBiBoV/v766JaC
BAtOB22WFkD+co4UEpm8zAiaP9nIw8Q1Vbv2TIV130YEKNteU4s7E/pSKwHp0s6Au0a/tQPg8QUG
tUhJ13SAVQVDARRax7P50WxQ/eKt2d2j2Net1BCX7IluQNQPQb96wfaQTCzW66hR4cvoLm/tfQP1
MrpNw5XZXNqLp3akvThNwM/zqRLjCt9nVu+h/vLt9gUTrTNYLMhAXQRAFXQlZ4eA5SWc+M6M00fw
pUAHtR8fM818gB7Z7TkuTNmJQTG3J8nMLCZpbKswWDTvZn/PaeWX02tvDJ/wpWhXB7YZXDloq5S9
kaaE1WCpKgjkSq9zPHXm/vWpW1odgHkRXaGyD/Co+POTkejzVKLgNyHPlECCpoS20O3VKwQ2ECDG
2xT6YiAMP7cArdIkMmexr4cS/dNBSQlEH39eH8ZCgHVqRL7VpqytrTSGET6gbRYxMpRtLQAUNG37
GUOi40+AbS/as1Mo0LJclF+ddt8ov8P2oR5er5tYWBLczMj1A08GuipViq8Yy5PEUpge5MZ75PwB
lOz69xcOPh5ZIMnEYwstRvIVxEk714qCBvqUP9bNe1/tWGxCh/rlupmFJUG4BGpJwbaM607au31V
ET6hcT5IoI0Dqah36GZ8wgI6gTX0/2kicDrfWVAcMifkisAEMJabJB8e2zHcVPVa3+/SQATYHTym
wHjiUjg3U5LasCcbd92sPKoz9Dvn1KvLlfLowqKjsRjALpQogBKX3798LGa9nXGnhfxJnZ6yP7dP
lQ4KLNQsoIGF7u/zMVDFgR6tje77DBp5kEkJ8tL5Oofqiq9fnCpcX+AtADkLjJ2bmaBBbI/dgK3V
a7tJ6besbN+TmK1Uq5fCDxAvmDbR0C0PRRwpxgQ0ldW0iOB/HScUCpqTp2fJHVAbWwaVUrdN430R
QaionA9FzX+BKaJxOzCOXp/VhUABPwM7EDOKl6PcNjLSGILnTgp2j37cDhkkj838W5fSNz2Mkb6f
3q+bk1lbReADrA/OLmo3IICRGyx79F2EWd+CrAFdfdu5JOnvrnZ6aJ87qh9XY7+ZHOCzRqpk73Vn
UZ+HxlC7HMrHn/AhyKIISjW0s1w0KEa1XaMBAL8kikcXbXnuFDpelKO/b60nVobY/mfQuq6DqwmG
LsjpJzOPqwa6zIFGefcYR+yNKWMEeUXWxbuMcv6UKTq9V2uj8dqQ2n6nWJ948uLg40kNWBeg/LIv
o2EG2d0OfcxjE290uzy2unUzwA5re2JCuoiLAe1QjY5ObKQEXDo+Go7i1xEEB6M1wOKSqxHPD3B8
oUsIMOLzQxrPDqSVSTYH0AWNRje7kfX274IhOMJq4WCApUk6nGyYkaiawX85eH30ZKkrcbK4/s4T
t1ASFpxuYHZDq6H8THZSvJF7DRxLJCuBCvueZOqmIl/yKEKL7Av0Cq4fuqXbEt5MzBP6AoGqO58t
SMvFThHWU/CgWW9bUPe83f59dPOacCCoyaIJ7fz7XWWg/sfaKUDHbevT+GnWnpK1JtCFJcfu0nDD
wIOIpN25ETziRqvqJzMAYU74mtZfr49h+fOCtAJXPeIweY6MqKMKeqKhcPK9MO8SpOyvG1hYc/z+
fw2IPz+JUgu9UeqsgAG4gl2t1RhF7zv2q2b2mxGEiL0W+dctLg4J3exoorNFOU07txgze5jUJDOR
U90k0S5fue4XLkpk0EyIR4lTj3fm+efboa+Lpm4taFRBT9zrj0X6iQGcWpCmjPVlTxuzsYJi/s1Q
rEl0a2VR1sYgXfZdEoEwsqmtoAs3hGzU2m9WzsayBaBPQemOvyyxSCfLroe6yZFVt4K4uUdqlrOD
tkYUuXC8sRD/mhA/4cSEUlTq1CDzBjil4+aK8IYG+158vX03nVoRv+LEipnZ2lzPGEii7q1sp62h
IcR2kXwihBOhEEBAdA50ivR9h/ICqNPMCsz4B+X3oMoukx/GRz3fjk9DNQPVBCQqRLlBbkAgBQh3
7IJbwZx9NMofp7w9KXH2fWnFy6ojFP7WCkK79wZ10wBMGRq/y2nltl2esH/HIS1720CiqO8xjoHs
emMfxpBN3oY/nW5zfeEXtxfuDqKjKdO4gM1D60SZkPChgWL+zNB/Zj8zw7uxi1FcuJi0f41IvqoK
O60w7JAGamu/xbm2B2Xoj+vjEPNxucH+NSE95tJJUxN9UCiYqayPqmfbqOgn9BmtNVQtuV3chuCC
FoobEBc7Pygjj6CuBPaAQOHuVPnRGuXowjjA94mcF4iNEVHKD5RqhiLuOPUgUnN2Zn7X/bbWKAQW
RoBymKBiR2EMLcbSVasZTd8OoAMMOgiK/0qSlQ21NABwJhMbf2tAFEgXB61UBwqxJm7CEsD4tPLi
GsoFr9dX+3IMDizg5oMvEVSW0hgoeKFUSAFrQTN6k+46/d31718OQjAwCmlGQTJ5gYuYoQgPeTCk
pxt0dwJasOEa20UxvfmQwwzkQAR9LiJduUZpA6fPa6JowTQCf6FsqXXMyaFlO039en1Al8f83JKY
0BP/HrdUZbyGJWX84lT3OYDaBGBK6Pxet3MZB53bERN7YqekqZLzzIGaCghhDP25qzK3bINRL/y6
PrS3o2TQX4J6OcJsHbtZPi22UxsRWNa0wLIi7AJIZkePkKB0tfnl+riWNtyJITnFwqcys1VhKIRK
8th9rwGEu27h0uEDHgNWJfQUCUSOvKUH9OeCJLcywRhb+bPBIOaTDj/Llm2Tnv3U5uH9ur2FEQH3
g9SteKVcirkpIIvsOzKOgTVYvzMKV2OlN5dBhI+BcgVKpEjgy+RgROcGSNWMMUjNl3hrxCtrsnBI
CQIjKh4+CFJ1aa+1ELrV4gift95Yd6jjx4ytrMniHJ1YkKIW0+ryMQ/Bnx0y5nbtl2ktuFsyAC1m
4efxL/iz8+OixraV6FoBOl4o3JctdfvoRh0q3L1ICpyYkILgPLLpiGZMaLAgcmxnf0B+MBtWsi0L
iR9YgTA2RX4QPGryUkd80rW+w27qmzsIxBe6W1Q7Gu0ixcNxNKcNRBPoWpFjYfZQX4PUKGBfeDRq
0lUT9XXO6rZFqlsbPLvp0Dp8+z0AC0iko+wNcJmMjwuNqSGdDkGDIvppxwVwXn7PdtcP4kL+CMJd
SN5CWE7kP23tfBNkmR5mXY9aTVk+Tua0ZWjRUgvqqtld1D1G/D7r87uS3xzIwirqHUjfC2YZOZ+L
RK8djxqS7A2DEOzc/xoqY6MWxncQ0dycBocp9IQhIkeFCNnw8wFqiZkTteNIujr7ov8zkCflRmJV
scvPTEgnNWUlemu6CvnWVvHZMD02DVvZC0u7DSwA+P24sfHglmKOSslJxZQEuc20j0AL1j5p6hp/
68L1icASzDio2yC+kUtRcTHos9CjDpTB2eZO9pxXtkdzEFJWoR8SqGAnTbXiRhfHheIB0iJoV7k4
ukxJ8cwvsDp6G7kmMpS/r+/vBTeNzYTEEVj3RO1Y8nGc2n1Cy3AKePKoVgwy1KnbJ7dfNeD9wMcR
1gLCKDtSSELYrImQ0stAJ5TWs5evPZQWpunMguRHp2ZW0p7AAlbE/ujWuljF/37+fhHcZw76NpDS
geyZtIFLtNdotam0QWxW9zxPDDclHMTx01OVak92VFGXEQMaJGuJnqVxofsQuVB0KoGIVHKi1RjX
PO6KDiHU4DVx6A23Y5MwNDwoAJ5FHAAncH789ZBORjfFXaC0g2s2h0nZjYOrO5vr+2zpDhKcvoLF
HHVi+JpzO1xVAIpQYEcHBWDHt2pDH1VlX7f31J73pI19VhS7yJ7RoLjSFbwQXusi5YCLFvN4kVFG
vWpWIp110CX5qszMy7r7qQOyLbsdHIW5PDEk3RWT3oqEedYFM9XBwMzdNAOB7PWJXNoROrjG0DCq
4mUiN4ijPJRYaZkNQZ69KQxQtpWzujRZCDnB+YSQByBXyZFmWjdGJUOJr8rtbQtfSjp6p0c21C9W
XJvYWfKhElc3NBhQiruQtwNZsAmy56IPhuZljoYNK39ECooXYbRNyo/rs7bk5vAIAb4Vr1+BIzjf
fYaRU6Nosfu02NrTEWxDecp/K6q6Ei4sXBEoXfxrR9oBc9OTAboQXZD8Q6Pmsf6lf28H/lj9+sQu
QKLOwrVNgLugkttueZpnejm2Aet9sDGuqTgtTZfgI0KlBCKputzfMLAk74um6YJuyoIR/XBhVb9Y
9hq0fWkvA9WBbabC9yBvc74qFEAFbcgpzguL/T8RWWsTX3LbSGqCOwubGQVWedV5kpEhCbtALQKe
/mP0bwjgSXco0Y+VfreK7fVNtnR0sJVRJ0d6U8jong/HVvS6yDL4mbCB4GD8UZe/8hmF47V0wQJl
yF+WzP8aEvN68o53BtS2tUYYyp/0JvWNYjzMc7jXafm10jtXjdpng/FtDq4az8h+pxH1scgre3Ch
jI6fQZFXx0NVtMlLV0ejlvbcqricCq16NNv2cUgKVHFVrzYpmv5bv81ziGKwQ9MXjgvY6D6x9ddP
zDl8FYohCGEuHublQJyadzhwWme4eba3+6NlvfNwTYrxr4eQvZXtCFwCoFvIx0p7qaeZOSohPIg5
QME6Kh74NL6WQ48OyHpw1Yn6eWr4SfFmt9HPsYNEnJlDCX0uvFq1f2kqVN34+NTZKGkSwZabPVs5
2TTqGpvA0tEF7gftAgbkyfGCON8bXRGh5J5gQjK659WBoQvcZrcDywT1qEgcgPQSKThp5ZHFdUyA
NqfAUB8LsiM/ri/qgl9A2ghlG4DKQJ0tx4scquodmPtGiEI3bvlmTreDjPFghHvDJQqIJrXEJJ4c
oBmMZKFZ4PdzlngV8mGrxH0LrseAjjACnr8pFrmpIldZVKrVMAZKpnuWnSMdfWynX7r5Gqs/w+nB
rr58Ys5ODArndDKkqOQOs0O88SvloDSaa+fvnzGApC48HNZd9m6ocWqmFaljYBqb2vHHT2xcvEKB
akakCwSTJQ0gq0xjnB3aB+UYuk+29rUKV6qmCwEHLGDnWhpA8njsSFOktTa3KrWH9Ev6rszOtp3b
xHUAjGS8id3eXJPHXrgQTg3+zS2crIlhJKxNatIHFoR7snEL0muvTL6o7e1P+DM7km8aObOaGtzp
AbOdR3Wy7+u4e42dent9B6wNRwpuajJoRTHMfRANSLhpT7R+LfqPcY3Faen0mxCTwb0i5DblzKFG
QYDUNYhAof0+m4ewWbkyFjwkemjAB4o6C2o5MpiNz0NaVnE3BsbUu40GCAugH83H9blaGoSQ3wH1
EeIoVaaCpsb0f8exmBNIn75wvlKdWDKAlB7y0Yhv0BwkuWAnLms1G+oh6GKEl028u/33n35eCjBr
W+9SPjdDUI3+bHlsLcJcOoun35fOopoAZzcP+L5tQA/YDYsdIfdluRnWSs4rhhwJrjTUnJIUzbqB
3vh1Bg29ozN5mYkM6Morc9kQem8cPG4vSwSF3ZqKHfMhoGCAdozEi6Dix6wXFSz2Y7eyvZb2MDRX
8HIC0dUlo+7AFfz3ZMTqzx8l+2Krh9JYcSpiBaSAB++L/5qQJw5dC83o2P0QzE2yA9XZ2KIx0Kv5
Q1YeKE3cYW1LLLmXU4OSF6sLgzRshkHa/8izhyE58OojIyuXwPLMCW0c1BAvGYGVyTKAlVWHQHFw
KaN9yYjBpY2Wk0+cH1w2/9+MdH5Q4w4zYIGx7bg/mwiRku7uuoXF9UGfB/JR6A1HE/f5bQbFBjLW
ERxAVavDA+AI1SPSvJkXanXxYI0WQZZN7fdWMzn7mE3m/rr5pXlE8I/UJNDZlxSi5sSQ3x/RlszD
L0S910e/X+urXDMhNszJ9dlwdOACoKsGhH9MLPKJ88VBq8T1cSz50b9oRgAatUucOR2rguaNhiKC
9dH4nboSyi7VD4DsRaurmKVL5kM7HKawnDv0VgOhZ1YuJDeK7jBlvyYzdTn9YYAm10puB1c5aH9E
sQfdLCBdlvOGXI8hpqLNatCCYc7DbZQ9jdTon+dSWSN0l9n7RXZftFpCuBI0AqCEEct4ukwKIMfq
iDKM3U/bpoEowRHp/i1Sy55Z+y2ZvQyOVx8at0ZyWYHEh3pPoSQxbIo8dA3ysxwObfFL7dA9xO6q
ak0hgyydFDTBiPIAovGL1KNdOlNR62hVmo1d2FoeD8mz3lEPz2aQxh6MZIdeV0SmYAD8YRp3rDri
8HrGiLBAP/b9HQISv8zWUtaaOKCygwXZOrITOtAMuMilebOKkEHRURWveCM/OInttupeVYZjzn8q
RXqk3aYyuZtbh7F6TPjPOc4B7e3dcq53oe7cd13pKnUE2evnoUuPdkO8qBlW/OXy8mL6BAwCraty
6qxhBQRqCZa3Sr85duxO85PavsxVtYUakFdCCigPN7VxFza/jOKQ6/dlEcRjjMd44Wuk3tQZ9UwL
Oi88dJGlP9L0eP0EL7gJ0fIg8vJCPPVvL/DJ/gtrexjDHL0PfdNMLxPovA9C5mNDi2kN0SC8trRk
yHeg7UeEpsDSS0uWRr1i1g2WrFSa8sAa6B2OaT/dm1PfePZcNq8268qXWnGUFW+/aPkvhSaSl4gu
xB4/GaSpMZOkqLEEgw2mMKr6ZHpqpqeijrYDyC7m+la3iDw5sn8AOwGnb10UIAvCUqNM8zZI7Adt
evjn+pJdXPX4OkQmxL5HRQhH63w006wYg8oI6incdLyiY7ELfG7nQQE32YMvNFrp+LjYIpI9+SYZ
KqUZnKENBtBRjlmsuYUKRAKycyvTdhEECkOiUoRslFA8kC5lAdRk7TB2Aal66oFz3X5A94Pu2kry
VevjaYf5XsMpLU6m4LFDSwsqOBe+3sm6XKdGG5Dx0BgQ4EsfZv61ufnBIYZ2YkaKaBBRtL02woxe
mL5qMDceP67vioVVQhEPp0ukZbA5pD3eUD0rCZnrwJrjb91cZS9FORNPd0Lyft3SwpShJQsqvuiM
FNgX6RzbOQXWMSlgKaQ/wDf1rOTOXThkmz7r1jgfF0ZlAPgPtB3CFYDQpVEVyUysqDIr9OMdeXfM
sjvVer0+nBUTcp4B/aRWmnOYIMp9A8m0ijwNa/2+izY0MPhQHFyR/zk/sjnqm3FShWXQJNaAXEne
b0qSZU95OFsrh2hhdeASLFuI9KKxWN4HWlRNTsvLGsXczWzfmfO+6fdj9vP6pC0cVYAF0L0soOEI
ZKU9kIclEnQ0rQOnz83c5S0Z950C2QmCVMoDb+NsT7s5WQF2XCbN/95RglIWlWTkSSUPEU55l+gR
Bpf192jbKMOH0nq2CM7rs4F6S/vOkuewusvtlcNlyFeXsAvybZRD8Ay4yHrMXTZMisbrgLaM3UFF
d/Zsy14L2S/DXfBc4Aijniw6ERHVnG+TyoIq/UBnHkRd+5oR7a3XiNfrkR+CVhxwF+bHXemTypw8
B8qh15f0co9qAGuBExhJIxPPO+mokRA0lKM65EGU9j5TI3B8qO7tbEnoRj6xIp82Q895FalzHjiF
+nVAHiyc7c31gYgfehZnSCakwxabFFx+A8kDmv8z8ZcOlWrwveyM7rGLvpdxYN2M0JEMSqm9uNQ1
BQ+GPIh1zyGWq9yqYoS7CbOG44ZtgZZbyBSfb4zZKavGbmGB/1M/ZCun6nJzn39c+vlpaxc2m/Bx
pj1MxO/Dl+vrcemRzr8vHVoQ5I9QfsB6KPZ99TrRfZ7ujXJ/3cji7qVIIEG6G/8k0gUbUUeJzEbP
g9S6j+rDFD9Qc6W4vzBPIq+K3guh8GXaYpwnUWRTOAWjaZwHKpgb3T5d2bbLn0c9F1AfYH1kxHSd
coPqCsuDEeqdmuXO8Vpa5dJpw68IVs3/syB+wckAcq3vgfjL8yDT6HbM4FryeF+m1o7Q8DBN+cq6
Lw0IoF8UowD/RkAsebM46ShvUH4KWm67g86gqu1dX/TLWi6cJNK44l0K6rKLiFENuT2k44gRsfBh
dJL3aM4PodmB31p9UFrFa2m2M0h3HxNlQ+bRGyv+mNB25RElNpfkcc5+hjSxkDxuHM7UPJjNnnlJ
Mj4DNbppeLuzwKQHyP2fpJ5XrqRLFua/Y0erJ2IKUIlcUAmA1NdWmj4PzN4KRifbx01ygFDAtgYn
6zTnGwiiPI7x5BKn9PVm9tiYooacPsdgnlVrtqnQr+xeX5CFU0ggEAkNRxPA9Ys7pOuchs6amgVk
qgGsCEDE72flWgFywcHDioNamkkEb7q0sVqLQ87LsjJAkg6TDQWG5zh9iQvqlTVz2+GlZt+uD2vR
IF4kYG4SfcgyFALtN8qc92keQGXR6hs3nraV5bhJ/FgbltuUKjIJ7HaHBmJ7iJ1DbWahW0ZR+Nyn
LdyBXu27bDORCH3eK+mJxeX614YM/Y84Hj8txbhipNPsGBaS78m8JqC1YEVQMAL5iR4AkbA5dzv2
jCwsza0iiIq3sXpj+Vemfb2+QAuu5syEdACT2bAYGcwi6NT9H83ZXf/62gDEn5/4zRaHKVRrDCDW
DhRAX0iAKWm34ssWbsmzIUi3C++1lOgVjLTkrVXznZ4zcGxNXrTG4btmSDo9VV3XI+64IjA7N9b9
CDBCdpfra9tXrKrkE8/GI13IRkL1mRUwQ+fOY+y3lUGt0oToaLxF+ntjZT+tCrlDqNbZQ7UraObS
fFcM0FDmz06neBmiX/Wg5rNLlUM1Q46Of+Bx4w295ToO209s2Nha5Y7gIS7utHyrJe3rTKbt7Gwg
J+I62h8Qh7gFe8sgpVxoBVJafmURP5pUP4Vml23+VvtvrIhclr5M6s8RiY2Wa0A0fHXiR5Ws3b4L
exRHDZkNUUK/lCtL+hFy5nlRCowB1fimMdOVOV+2INg1NdEsLycbuTkVJTVZGWhk9AYbPYJrQNSF
k4Ax/GtBChUj9HtP3ErKgJPXPtwl45upbK4ftrVBSN6ia3vLseusDIj9U9MOdeFf//7C9j8bgrB/
cpj7tlZLleH7g/qYDcDM3k3zNmpXTrPY3dLuP7MiuQyVmt1oaFgKS6cPSGy5UbhDLOTScqsow8bp
fl4f1aI9sCNCxw+Zkgv1esLUTFE1jQPBn3tllLkWD1S6LYfQ15SH6OYOfROQatxOaO0BpQ3QY+eT
aCJjYrRDyINx1h+M5iPLby6hCwuo/YO0E2rTgASeW5g0Hc/QqCzxqD+kltuuQdIWt9nJ96URtJPa
oguW4zSa70b2k7OV4HdxmwnKSsHRgve05M71rJvHqtawASCww7uXRPuWVSg2rIHr1+xI3twYEAAn
IYEdeLjE6nZV9xDaT/Oa6tXiBqMgscByI7STEehK2jAQ4NAyYNRF9aeZ9wVxy/RN4d681sa76GVO
bElHlOSJ7kQccxdO9rbMZ7/r2V3f2LcHq4Jt8r9Dks5oMZe5nWgYkhLu7NJ0x8Jv0zVKe2l9UDMz
ATUG3g9oFnT0ysCvIp2qqG8d49nU+8lv9Up/0oxk2kHGtzjEY1fdSJfzH4Mgl8HAcM1ckAOjyVqZ
KxSknrXMp6qG3vobPfRfC0KyW1AP4aEt1x8YsUkEElrjuYz1I5lQzlKKFfcpNzz8xwbCe1hACAwk
4/nx7yFQFVatqT/HpTmDGMIYf/G8MHdg6uk80rfmg8kGyMrElQbicACgzfD/kXZdS47jSvaLGEFv
Xkm5slR1d7V7YVSbAUHvCfDr96D27h0JYgih2ofpmYieYApAIjOR5hyYOuI7reKXyIVG/BIfTHIA
90ZtDOUcGWcKVUZuFUHXHylK9LVZoYhYhW2SbVP2rUseFrI3ku+T+zNpMrQOH2YfU9XZZ396XYY0
NLwyKtD4Mdv/sILdlQCEatone1Kk7sQlP/E2YrdM0ckUgHUAHE/yrHCa217REMeIeQ2i3zTsgnFT
k20fbGz9Nvf8H1GiL8uDZYbg84PpOxtPSctGDdgFYuWLoWqOfU/USGtBQzSGnnE1A7RmSQJQNavT
puqMuNPz8l7P7HbnjNP0kriDsUUjscXDsS9pF4LuVUdue3bvM+4bu74mZmhr3Hl0lmDYdYimn1nJ
u23tpOQLcT26a1qE8rcZEVk95Eaf3q+nwR2H/tj020bb1N5hyBVbLlZ8viNnGigDCKWFVTaoXPdA
NfhWU7wHs7BXdcWrZEj3zeOdnXYWlgH+R7P+WVpDOKk6/CUX8p+tAkg6omAUDxzx9yeRl8Z5No1t
1gO2PJ2fealrcYZ0fjgGM3gtl9rasEl75WXRHa4HR5eLQ45ADGlj8PB9IPlccNLz3uoSy4ptZ7c0
94j3lJQ4UjghLoJ436LEjyKBgII5F7FQFGoL1ODibNrX6Yar3tBy5UMIwKyAaL4VdWxEXecCwP/J
u8bwphhcEz0Ye5P21SpQZgmDusk/WXlqflka9zfnSb2bSmbsgVExPGduCVydOkhUKBJrBhojVBit
BBINFi33reiDp819q81xZufjphn1Ylv5k9+hTYX5dx0H1zeIWdONnwbjZwwVaeE89A7CYG+4sUYo
tubsp0ihlgM+ZrPVcxYv3Z0W7Ij1aKlKCivHC9uKWA7IH+iulefGMt6nfO4gglfPFqehNv26rqIr
YcKpADnczZeMGHoFAc5ngCoO9gEVpmBW3APFKjwp5jWdUZtZDiFaEGYdgGBvtoXCA/13lzzJiLgc
R2zmFYt9/WdJj266r1QESlIm7v2shQRgwombIOeS0mQA2PCsD3FX8NkGYVNZziFa9ao/rRuQ325P
Ceg/gyViXm0uISItFZX2pTHBo0Q0J4MBD0UAuUxmYfwhpYM1xmw2xyggJDY6D1WspL55N88EyZUy
viyLkyfmGGvGxmg2vNgxVxHcXMYNiABRD0CqAAu6qDc6dsnwgABA7MxDJK6rEhOyu8F+GVW5jxVz
cS5Jsv3NvAz1YtEhDsyvxrJ10oeevZrVzkEeJu83rbunw32BcZvr1+pS48/FSlYT+E8jiM8hNrOc
5a5MXeceJWRVM+mKFDD0AiEPXfGi1CVU5sSx6UZK7cloxxj0puGSfStVz+1L6wCckRMBkoUrSceW
rujHmOdaG+WNNkUU5AGvWpnPwFSwVKyHl7cM4b2BtzcuGnCWZYpj3wdPXZ4PWNBr8mqUEdhoczT8
RVa1724ElMeNFt0daOUT0+1AO5E2jzKQzyxebsY1HvrtPlXxWa3sHWpeqD/hMQEXKpfVmjkva89u
zHjuH7NsF3iR0e/4r+t6tmIUMJWNwizQwDA9JvsHrTbIUsFPxlw/tNlDaW6UWKwKEbKH6ImOYpqL
5su8wDsjomi1sBW3RSVC8g+8L4cqKEV/J3vIf07ZXaeaKV2RgMk0E33xNv64wHIF4Z5WW221xLne
25uqyO8qE+2trqNCxVwVBDYUwFwJJDO5RJSbhRZkOV9iv2vuFtN8mEhJw4y7quBjxYQKWGfkqNB/
gVtjnd/90ekJEEp7rIiyrb+89noSmbR6stNGnX4VVvL8JYBHl6ADA/0DAtqLd16S9nNtBfXRzbKQ
WP84yQsbvrvjHa2TyGtvTJDgap6Jk8tD00iXumwhblx+usVdDbZXALzfenPOZUg6t/CKFY6p1cdK
eyqqgz1/Tm9kzLtYhnl+RAx8iFWaIlmpOXciK94zxe2/tP/na5B0IHONdjCNtDnyKdsDBjsBScX1
Xbo0YrBgIvkgmj/Q+yQ/L8zJzewSjz+PzXrIMWtHiDWHpPF2iY3CynVpK+s5kyY5a3tIWD91LT1S
d956fvacOsoRzxVVxpwPklTiRYZeWckzT+MEagLqpUdebmof3ccvThaNetj2L5y8Xl/PpTFA6yWi
dgEEiVlhucdzFMP4bepRNG7ooefedw0JPZVpW9s0YQIAEgWIDkQC51pmT+nY291EjyA//uyoiDxW
l3DydUmHdQz39JmBrwO+54X7/NmotedET24EuRN3Ba2j6HHBJIKNnjcp7V5R3tdsNujRSPcseyDF
XVZlYa49dHzTeYrG4jUdOBUmbVnaTtbo9TpeCvaP2Yn1RQvNgkY5AQ6s8zfpU0W4u76J/y5O2kQM
+WL0y8Xi8sndJAkJM6TnqKpdel0REFWj2I1Gd1nbSuAqEoQ8FDPkXf7aZG1372mjodDpNSloC8Dw
CDo/8CwVaz2JOWkzmqntJPTosM8jiwLv+/U7o/q+FHIuVjKUFaXZsTT1F7P8MRTm1+sS1k7jdAWS
TdNri1megRWQ8k7PDo2+p7WiY+vSOQN/QzBzIuiArZGLFt5EW1ZOOPBu+DJUDwLqrrTN0AXdit3f
iF/zfnVOhYkdPTkR39HwgqfQZt2dN7z2I/77+oatXZdTAdKRA2LPmwk16THRPjNnQzKGQngVlg1o
plIaUk3RHbKmAoAoQM8yAimAN0nyzIQbFd6f6TG55z+UcJqqr0sKZupDTfNiSo+WZofPTasKZtfO
/vTXS+o1LCWfjQC/no6IlcYtspq5/jaR+PasBwo8J9skju3k3Be7KjEkBUHxrP32d1rxdv3YVRsl
ecpMqzya2fg+kAfbKXK31z+/dg2RwgOzAjiCLgNYr64cbvlFiklVb4PJt03Vo/fQUnGYrh0HHrHI
M2DKAqGMpEwzJ8QnU5oeM38fBPeG/sky5r1mWhHL/lxf0co9Qd0AI03QXMA2yqFFnYEjObE4OVYo
6qXJvOODea+z/tVoQHxv6XeAVswUIdPKLoISDRCASIiKipW0PCOp9LYNAnLUyEb75fd7R1UUXVED
wTqCCiKKlggyJGeZl/4AhL4OrXUOeS2BxKMviirSigR01ItBP3S4oUlUupGWpc0atWtyTOg9uQ+Y
whhfbhHioneAH+gawJOlC2ky6muurY3HxnBDjbA28v3pCzFVqG/iZ54/kiDHFa02Ynw4kF9kdlm6
s+kBAaHOfeu5ZNW0QR67DRNWe/vOnFQzfu+JuEuBAsnHEHhJMsils+iT3jEyHannh4lVh6mx9Yff
1HscmrgjbKsNSzQYu+tafnlaeADqUDVUy1Dxk1swihEO1HbmCaO3C2jdqjhNy+11EStZOyEDRFV4
eaC5Vp4l8U3uUU7ZdCyqKSQaEBrryGgOdV2LibNorOqQEj9kmMC1S00Rrb3XTOR9xWNX4IF5YFSX
uy5BpTS0GJsZjv7gPjEKjLvO3xhuBdTg7N5NxzoEelHYWtaWVzoLSYe0pVtqWxscuF7T/G2ojf9d
32AoVmFh1lQZ02IYtBKlSrzFz02+1vOyXpx2OBLd0qLSyZyHNPX9sE+6QLELa9osSs/IkOHdj3Dy
XFTmW0UPGJ4exKSbOgVyyLIr0KOvojda0yZYLkBBiYr7BUBT6o8F1TKzP5Yuu6sL45OhFYpof23T
XPO9nI6BWPQqna8k9aZOd1MMRWrOFiNX4dTnYVErVHZtHadCJCsJruUOOaxiOAbF42Q+qZo0LxOj
ooyIc/CQqQR0rnzw+mCgOG0CO8zxwzH9i2nIcKFvte3tW/3FKI6dTxSeZXVFJyKl8KJcvIA3uiGg
Hw3ggRlfSkvFlK0SIUUYaDJOAPaGVenLk+HcVzeSHiEyPts1Vzr5JhntxM3wfVL9La3fjYoXcPX3
I+uK24iZfcyFnWvWgEva23oOzBt/jjKMSlWqKfhVCThvpHcRDwMS4FxCUehO63JvPGbdSxAl9W20
Su8bBLR/jDiKnnb0SJ9/3ug7z05ba0Rejx5KG2NXHYZg0+mxLJLX1MrecsPaKGy72HTZuophLwF+
gXk62bBQYrtpXwaQme8D9h0EahjhCHNihzMlWzr8yNvuYHf762LXNlJgfAJ2ETMbyMWcr3R2vdTQ
Mx1AcEWcvjH+8v/7vBB/EounHHPeY7DgfqJfeHjLe8Wo1JoNQ2xkA+ET+d6Lcf5BwHFaCy6j2X2l
GHYdHRYq+VFWA4pTKVKeAj2Fo8ENbFLi8+Kt0Gz7rkyI86VtO+25XowqckGFGaJT/wcN+jQ2LV7e
BpD0rpECVhQuDlH0BbueXYG9b1gALpnbU1jsHE3V57O+k/8VIPfN+JNXe6TA0GbtbjJzY/r7D+na
yRrkvhnNI1RnDLfKHujW7LVN8/d2bTsVIJ0Tkn2gV2yxhsH75fxKrI98HgN/8JbI71zgJncZHbTF
wTg8ORgmPL+vyvOuxRYierEMDyjWQCo4vy2ek1NDCzguY/qDcLIt/XzvmndWpwB3Wrv0PuhG0C78
jtch+Rd3BrNfO8J66skzvdebD1jPk8/L/LMWaOL+13rqfnk/zsW+N4PYzc2t3vBn4mA6CCB1Hzh5
C+1pGLYXeKWSRwuKCh1qFYxncKB9iaBM5fXF1kvWGcgz4NcEzgPG/uT3JLiGE0B/BGi39XSMPLxk
3d3Ytnf6CBiQ6iM9bPp7qQzvJSxH0oO+WWZtSvr2GNQ2MMSmvW6yx6pRZWTW7Bqy8P82gEl6YDaB
5rgD7Y9emUWtjSHQ56Aatmlhhpl99MAf2hyX9PvNR4UBQQRtQBB6Rzk5V/K0aLvKcCDUrtAY+WA0
f65/f+USAW3BExxpPl4EjuRy5gkuxxzRrJwVfUTbn73lhkzbTfT/KUcY1BPXNhDDn4lhNUfb3ulu
WLqPNAAwliLnt2KWMVoHphbRb4boQIqfG8tJyradm2M3RkNzVyzbRIVUdpme8ZFhQNMJwEkxsCu3
9mqmbXV9AtUuAPHmGJ/8OgYOM+u+pvUdVfUcrpieM2FSvJFkeqEvPoTZPGyMKDcVhmDtnp4uRjp9
m9Oc0BHfN5qXoPzB2wPp//RmigKG4vm0pmfoXgBUJR6CIkw8P3/QATVmEuj90UrfPNpHFeplmbOx
ut/X9Xltx+DzRciO7u4LfTYbxgAJ1PfHZNDCcMxvhGAXkQUKI1AwgDyj+CcDDmEw117qIOPH6btp
PND67uafjywcGrbFW+CScSSH4s2VW4Mt4TF1f3r2tw98/j0ljjbrS7ZNOiCubbKAHQn91tIMeE4f
EQA3iYkR9ElcIFwwZGJ8YwF67wQ0Ok3bsl5phoWZlXwLOBEAGA4oWozWWJIZ9o3CZWUPrNh6DIwd
tbvPbdJ/s9L2mU1e5FHgeo7dY8K1EAXHB73y/3AktnyGl0G9HDJwqpiFe0/L7k9ju4AGV7G+rmjg
6e+zJeeaEt3QptSajjZyaXrThKqWoDUBqDoLxwobh5zd+VWyB89lrOHT0dO8MEfP6pArTnHFLKC6
/R4/o63pIp2StXU5j502YfgRGDzcaT/7Y3lo2yH00hy9fD3bXNfLFesAgQD/NQIxEC3HQL1pVkUw
0fmYdKAj6sfl1+y3XkQx2sn6+Z/rwtb27z23CgAgkCi8Q8aduCJiNmkO0lnwaoB++jGoFZZuxQdh
HYKdAdh4QEwW4k8+byVOA8xRH8D2zbbKdrO2sVUZj7XtEjOSSC4K8BrZzVlWM/glOGeOnBuxl5Yv
YzZHDCQNrFYlUVdFAfcMreG6eTk4lfWaj5n4cjpmdva9XShmjIovPvMPw6iauV09F/ht9KCBZu0C
y40gLZlwHRDDfVOE2wZ/XD/3tQBOIO8gHSyavpE1OD+ZwIYBSMZ5PuY1oLL0cX5ievtkWOTQpuZy
h4mM3WTkz05m7XlR3v62BxkWdBuxnI5stJQIy+tiRrVXIA+bL67zKVN48jWtQx0AlTxEwBbA38/X
VniZ3pUzn4+gOw7r9E234+RG1rh33yc4lmB34AbRqnEuY+r6iuMNDwzowd380pDOvn5Aa7p2+n3p
QdosyF0F4IZHeiK7W4YSsJn525xPXwLUiq+LWtM1jPMb7xDtYujofCl1MxZkWbL56GhvU34wVfOf
q8eBRLSoGGFwQ3ZSGGlkut8HuKHjo9k9WDQe+w8olMh1/0eE7Ge0tOsCnkNEFWQAsgXUv0Kl1o5D
0HMAhxsvEOiUtEdcMzQ2uPzoJDu/fOYmgMUO+uH6QaxtFCYyUSNBN4iFvq1zISR3wU03jPw4mi9m
+wK44U7VfLR21rDyhgBwwO1/NwsnBtnoeFuDz5MfgcOnRSP7fH0Fa2UmPJ9gj/931E5OfzKgi05L
0QJi1GvL7zNaUDeF7YFhj7ZWqA9LtUXem98PS+5u5qlqNmXVtS8dCwzF/VlZKFBY0cAVCMo6sJ6c
72XVWBxDyeYC+BLk2IIhLLvt9bWuxF5nEiQjxsZ+BmkhJLTdru8ion1OjMccIc4YlvnjrCsWtDJN
h07bkxVJKphq6IdLMgfwnqSPBv5NL62d5zz7eRI66S5J06jmn8jAd6C+iFprS9Me0NtJqDt7MrF9
VRxrXdVxsHIt8IpB/OyjWIqRKWmXPXBY21Rv4BHN+rH06sPgfm+TCn2Zxdfru712nojSBRQnht+B
W39+ntAr3SltUNgM3RQ55damo8IMrty+dxYhYO2DjemiwygNgLpIPMQqRPOBHPFUaM96VytOcWUZ
wJ8TqA540QAYSlrGbPUIlnrUN1j2VoT19P3mXTr7vKSTGau8zCvohL4iEvX7ulC51rXfj2DLQYED
IfdF70fHJubQOhiOPY+ynXEjEZLwqoBH+/fzQt9OzJOXcYu2DT5PAHakxyBoVhyy6vdL+180YA1r
igRwrosf8h9LpiqQrWgRCt0CydhHz6AhH7BuI0U1sxTg7WnE/DCrHgamSOivigD6F7L5gEzCy/V8
kziz6pnnePR1Dd1XsKtAkK4/kLFGtR7xIdh+XfTdSy83Dkoq6lACGhUnSsNKNRW+dg6nn5fCJzLY
BV8CbT4aZFNX0UeuGWrHJghUUNTHQMr5FhWTN+qzmSPAHACyiH8U8cbaESDRDi56gfF4MdnspfWC
RjGHHaspAh9lX0bL7cP/qNggq+aZGEgQRdfzJUwpS3JvXpCecIxwGyBIv9lUuHg4gzlNmCL02Ujf
94k9Tu7AjiaLRi3MUoWWClMjpSYw9IZ6E6iigSzgCQ04ucp4EroZK3DCCXlarCFsrC6y6JNfP2QY
qsqZopy34onOxEnbhXwxKEmTZMbFjn7pbz3Qwd2P7BiA0OCEkWG/GKUqpm7SAcw8H4dit5T79PX6
gazEE5hww20TQCl4F0k6O0wVBl+rFgfODO0BiUPvkKd+/9dcGjsCeIOWhhovyQNZane75G2qaOq6
vJJIs+E9I2BaBEi8dGB5oFkJE7mamf7VjZABo//6AlUCpCMqx2FwEs1EMuiFmw8pu/vA50FJJrL3
cE5yjbAyDESfOZ4x3ozKiv3NdBQaLX7fuUZjg04EmOcaPQIed058JGbsbsembZfFzNx/ZA0uInTR
H6jLTSkzTVt/6HwQGLXPRIudzfXPr60AaXq8k4Ddjr46yahrtjPM5VRPgGCmj2zCaDvCdYq8Gbs5
74OcglBlcH+BblR+HXcdGlQBED8eS73eeiXd6/iHcVVCZkWjgE7o4MQBYiLo985PJOA9rewU8OlD
7AIgy9RVySWVAClcGDITXNOFBQEgu5v9BChrCqV6f9RJWoU4AQluBD6gBZYDhokMaTcGEJHV6ZY7
L43zpej/cebvJT/o9hiSoQ35kEdNX4Qj7zY86bbF7W03iFjQrWIgWyu6ISRngARUpXG/8WOtnUPf
byPXUVR2V1QPL1pHIC8K+yYHLaY39mwcBy82Gyu0xm5b1eYnB9QI1zV85cCQ1kLvM+IWzCXKC9Hn
MbCbovXi0nEio2yjgg23mzE8nS0wkmPoCWkmKXSxEx/8w0Hmx6XbhHVpRYWuqNytLQKJOZgxDDgB
ckqSYNFg1jWDBmKWW4yFTLdbeoTu/35fMmSeVidOMGVBbPNoKDb9t9vP4PTzkjJR3ZtmPuDzcxOx
soqor6pyr26QB2xrwdYtQNLO731LhrkpgA0Td2UZlSX691SzoCoJkq/qOl7PrQkJafWyfMUz+/oW
XQZH8LHgcwQeEspneCZICzCbvvKTFJ/vsidug7+4pcEEeET3N/XHQwfaDMP+yJpOhUq7hh5jzB13
eRCzNouAMRdVqsmAtUt+KkHatSE3Ox44kLAUO5JFtL+jt4etqMGIMUOAZ6OPVr4bLM3yvkcJP+aW
Hjo6GodvTjTgXGCMARlnOPD3sk+xakRHY+LFc1SzLwP5fP3kL+PU889LHqVx5sUxJ3y+AvZIxg6p
Ayyju1w177uivxiOw8i/QNcAtJ90xSmxrGK2yyQGr6pJn53q7foyVN+XFLheKvSxIrsXL8BJb3fW
7e9DvGjQYYxUDxI7F915oCaDJ1q6JPbYpywss5vfb+efl7YnI8hiVBM+D4SWcQz9ZWPdHo2eLUDa
oGJyCnsZIQGzEeO2uH1kAAtA2IBcA5QV82LnBmRCpiyrvCGBn9PDOzvXFU5uRU0FNCBiEvwLUEWS
C/KppicV6zTYv6oLK+Jsyro69oMVojqkCBZXZaGHQHhT1CLlx7rh0gJIZDPC3eBXP/5wrM+T+UNT
tcOsaSyc9v9JkRMaJpge5r6ElMUvN+4UoBz9gSOHP8Klg23HQ0GyrwxzE9Qa5yTeuOUY+YMKiHR9
Bf9+X7KuvEkdPfWnBAgoaUgerOUDDsIWUKcYTEJDHDoWzpUK40RaPmFKIq60Nz99o5vrNmPFO5x+
XiZTt3u7T+YcpttgD4Xzizi/TE0RTa9tkaBORCcksOrRe3G+gr4Ymt6amiQu0hq0XPoTAbrt9VUI
Ay3F66hcArMBHeTYKlf8hJO8hll4rVmlQRC3OaaCFo9EpWtsnTrYeybZAV3wRlhQ5EQFdh5KT/DP
qJrKeQHmjA6ZDKzJ0OyoB+OsD/x9qzq2qSLsXF3Zv4Lk2tBSsmKcGARp9JM5v6R1v7EGMKvNQawl
KgO/dukFE+A7ogcmyCRdM12t5rYBZbaGrbudDsXywL0/149qTRsEJyS64IRZkZ+7bUJGAMYhiFuK
DBkb8MWR/XUJK1uGwXqEIyJNejmuMCZWpmtF7caW/5q1hxYIbWn6PdNo6NQKUSuLgSiQaQlIOg/4
9ed6V4+5T7pqcuPxyTc/Oyoi1ZXzQPUUW4W2NPeS56xvfY1kXeYB3NTY0PJ3WdX3/gxOoEbhWd7V
SLpArjAvAtH0fRbtfCGmN1iF38xuzKaah9WSPeRpdT+67ibN2S82z/od9vXVdObN7Fbb6we2tkwM
dSKHB0CUS/h/UhUc4OKpF0+suk/tQ/oc1DtSBrfbIXA2If0swq/L/DB6pO1urCFmNPZkO44KXVjd
w9PvS8rgzAwZlgSn1QEqOGd7p7+b9aPO7+u2CUnZhNN4SFTIJSv2+2xR4jKcWL6ld+ss6bAoLXaD
r2gjm79eP5yV23QmQApqkA9j2mRBABt5pOdoW0VyKm1oiPZG/PeX69JWLhRoeNA2J7jIMIgrhTiZ
2yWp4eJCaTR2tZ8tVeU715YD7AgbhQIL6BFyyqOqmF9jnlIDUJobNsmrQ+bQcdjOKKpdnre768tZ
O51TaZJK5FniD3hUajExjRFU3hgvJ/kD4GMV27YmBxEhWkqB9iVoyc61oKzSRC8SR4ubbrkbm/6R
YtA8L1TV9bXNQ3cpxvPgYzGjI6Uq28CaF9JhOSYtwgRzozHSICDIxgCIwiCt6AG6vZHiQsCA97jc
CaW5c170tgb4GrtFti3Kgx83nwwQ0QBZg4Fs9ErbYkdP7s0YFB6t7TKISbFxgrDiW4Pvr4tYW8Op
COnwvao1HdpUyOi8pC6QlRW6tfJ5ANaICXzUiS5xUPSl1eyx9v0YyH93Xd1syzJV5AeFv5e8Asp1
KHQhtBK8ZdJ7aUHoyaYUD5rA1qLAfm3cl9rdWQHGv34m/XOvHMtYW9OpQPH3J6dC64UFtgWBw/ee
FBF8gEKvVi4KiI5hmlDTBsC+fP0JHvqNPlSASQBEiXYI8lCzFMmEtTWgSAhaZdTZ0OcmBVHTnM3V
bFkY879fPPR9HK5r1codBAIe4lxEHJhOlyf88OorFzIY5Mi6yorGwQ/blB2a6Y9mNWJgbvlyXd7a
ckQWXwwXAbhANi2twXqGlqEU3K4P4Mk17z7weYAhiEkfWEoZMxVFYcrssQNrnPeXDVkYKH7+2oHj
u//9vnmuUTwpSzIlYKXLm4lHLm82NJm2+mD30fWFqARJd6WugB/RllgICoNDEZVF1E8KESsgxRgf
EqTMaKsVrFSSapmL61OvB8hHzciu95rHMgd5EbM2pW8+FpVXhCiHbTCK1IYVihepESATyzHEf32p
75lQ2S6c/A75UZIRMlrLlJCj7Wl93Fu5U29B0vcCPnRgFRdOvkXRoXmwGYJwf3C+F8QdHhag14ZN
x80/Oqgzr/+iNUN1+oMk/9fmZMm9GhsD57XT2zQcii/ATibkaAqwK7T6z4viYSYTd4snIDpZUTI3
BLftBWZcjWiy8lxcjAAnD/SLn2gvCj2j/cww7B/azdTvvbluIsNvyW7MgyY0a+pFyzhOYduVbKP3
TbuhZKQbPGjtTZbR4gGFpW4X2KohrcsTA4IzQPSAoSK6UzCFdn4NuiQgltbxJE6GpkNfhGG8JKn3
1661at/zLtjRrujCxCD1Rve6fyat+oGBNXJYPO7EIGxnr9cPTPi+Cw3Cc130GYPuRs61D1mGqXsg
/R5BMPfiFPOnYqExcfJNEDSKTNbqxTwRJQzciU8xJuLm2pClx9azEH69pejQS3LF1VyzkqJogB4B
tOegifFciMcXncz9ksR9ZUZOcagrledSSZCiCS1hTgKuhiSexuPEt5n/9fqJqL4v/M7JNg1dnqWF
i+/rf8ts40wKt6X6vPSM4LoL8NMOn68S5O8ju1E87tYU6vQAJAV3+0zXS99I4tl96Au+H+wkyrOX
wlbBbKz5X4z0I7uLJlYUPcRCT/apSrKmNP0kiZ3kSQvuZiPb+KMRtjnQiVVwGKuyoFEYdEHeF52m
57KoxXQkxG0Ni0qfghSDQ81LM3Bg0htb01MUIFd3UIASir5RQC1LO9i0hR7AdmsxAJ62YFffNnby
La21PzNp99d1bVUUnneAPgY88UVGkE7tWFFbR6K8p5FFHs2eb03yWFBVv5ZKkPj7k8OaHYBgWgsE
mcU9BbdIMdzVzgDwcoUzWLMxAVpg0UyPDsyLZ2sDsiY7mJBlXrT0rimzJ8KdQ8+J4ohWOrnRCHsi
R1KIecSbKQlGUYEJvqQ5fZspxqtGM9ha5fKkUTOqvX5X99Zu0PX9YJXfrx/cmkLi3MAQBo+HWrXk
Z4mjFRVKH3gQ5FNYNXOoNWDR014L5Aqrz9dlvaeeZR9xKkxabO0y0MVxN4lJ5Y67wrYJYgvvT5P5
472VTHTfNoMbWS3VI80yMMdWAQzqEHTCfEGjQnMa6nBGz83W42b9h6beN80oH/zERYiw9I+Ja5Zh
wAvz0TFQcQeDRbYbCs0JJx24lTUmjiINgUvoLEOwKRHQAA6/Ip/cPE/umr4LHkoOTsygBHYTKDmC
qMr75NDpyYgozE6e0yoDlAk3goeAlG9NzrqHBd1WG+A+ZPuZ2T4IQ/P5rq3s+pm7U79NqsGMwP6e
PHV58Q8b6W6k41iGzlx2kZ6507M29E3U5RycmCaKZLzqhztzRNUEveY2Z2FZPGRLMEVpwK2oTlDG
JG5GtrVNykM+0e9cG9INGNTxg93lF2K3Liwp1+IEuIq7ZbGDcOrndG8vJWZ5LTb/41B/3lw/1gtH
gB4NHQYUVSWE+xcIqI2ZOiQoyxwU46HlvFT28fbvY+4MzAF41cMdS54YwFFpteRBfrRB1RUvuaJJ
4MKi4OeL3LXrYRAQYZlsJfu0DRgxgUTkvNl1NO8Cc+cmX66v4fKeCyliGATDZhg1k0HVi3xOzJZD
ikh/dJ9ZtnGzh4IgZNxomhHOwxJykO8Covi64LXDARAYnmF4wYqmx3N7icZXA7xPC+TienyZu7vb
P4/OMzTSiXfMRftsUlQgd+rm4pjh+ZrtKP118/dhHTFZgoPHb5XzU5w4w+JbFAie4yf7R9sq0iEr
u3P2eWl38pxXcxbg88Aez2y6Ab3Y5voCLvwIaqEnC5DtKyi4BmMukPZyE/u+7/TPbAYSudPVinB1
VQ64ANCIjVSeL/fomZiq6CsbHCJ63216/+8wPVJV5VUlQ/iSE99bZpNXLUUNwGYGruIJxF60ifJJ
4XlXzwQtelgIEO91GRyw6Vw6G0ZGj227wBN90WtF4Hpx4aGrAewIYK+QZbsAv2rBfZJlmo+4ewrt
5WUXTebPmw9dtH8CsxEvh8u+IyuBGxkHmGFfO87TTyDrlaPCl67s0pkI8fcnZ6H5aALqjUWLiyKq
l7BRkSmrvi8ZXZujuE4dfB/IuQ/17RYdYbaof6P17tLkDhlYx6wg0WKdpmO4FN6T5neKDZLZvnG0
qBhiEtJFRRd5O3k0bUl6E3Vq2CWbgfGm9dJqh6pscu+PNsqUZEbl3Z+LEA0ETVSXGd9Vutntcz3L
Isdo6G+9GYyNRUuQ4y4wFKHWBqphs4vgS/qJ0hPKmkCy2/UFOU5B+xs8X8O2HfmLpxlPS9tFtBoV
D+fVQz3ZEsnVuTpLFiOn5OjRdGv7aUTn39c1f3VFAnMDdUeMSMluzmwyzW1SDaUr9xsP9GgoHxzM
nizNJyCmXRe1uhgPEQFSG4JGRloMmW1aLkB4OSYZfy1K+zO4tXbXRawYPB3N+v8nQq5sZ2gWcEYX
mVknfQyqr5obFfQjG3YiQvJANGm7bK51qIAPqO3+z5iOGw/wofQ7BVH6B5YD94AyPZ67F8l/D7R7
iT70BFzEoFys7k3+z5D8c13GqgKcyJDsUoOxRMeqRwIfoW1KDv6L+VfdNWE/PTBLNWa2ej5irB6Z
UxgSObgxMYOHmAFXHCSGG2L+nEtz1+rJB7YNZDjA3hH4lQhGzk0t2Mt84Hzhze4b2p6wOweYX5a3
v75va0s5FWKdC1kITW1hF9FrSyJgzP7qKXvTWaqI11RipOPR6LQ0eivKiv4rz4/18lx+IEoQtxGM
DoLj4wJMekJ2zmwY6rFTM2UR18aDwaYMTOaq018zAGBr1VFWFLNzcheSbaG90LPRPOfumfO1MhRO
/CJMEDwBLnLzmOE2AJQpNP3EwzazBuStEaZs4sGzFRgHQq17ytONPtvRBw4fTejw6F6AFhfp8GFM
wVaZuPCHxg83/ZN4h/RmLGmxGswO46GGKsPFRGyKPqAhNTt4w3yf0I1tbkmz/cAqUMwzMHaL0WEZ
JKZtDZuBElOL+yZL7zgouPb/Q9qV9UiKM9tfZInd8ArkUntW9VrzgqY3MJtZDBh+/T20dKczXSit
6k8z0y89ItJ22A5HnDjHG2VyqPtWl5xdL8aLRAJiarCX4r5GkIUsvDJhpQ8pOcHBRGIO84ciqNxw
4OnXpWYfcGL/7BYk1qRv6tj/Nq2icoYejrUxQc2n1ejHh8CcMJ+aIdulxiGvZei2n/Nk1y53C6iG
r8/nxlEKHa5VnhykMfAOxQFdP0nJyAPjKeG/0hrMMSwJJ7S92/SuBZnldWPrbflmRsG8s3Z0rFtK
uU0TY4byW15DLKuekjtqI403s7HcdybEUx2SgzGaujun8ljo5FQn17ZxLAHCsyZEMa9vYVEgBe6m
Is3Np9EUkWF97bqXJCOaIb6F86wvMfA1/65RvKVqS/MmC1hvmk++9ZwtVjhMtxY3wnTc5zROkx2C
6KD4dn1ef3u9MrHAeiJ1sdaOkQFYh352jIgESbWybN0nhxftDiKLoHK3SbZjrTCOldHb8VCZn4ql
6saQdkt/GIWoo2UR/U+/82XsMW4+Bk3WhUFDh7AwPHGwuqx7He1efKi7bgntdi4ephYdsrilrBer
Xeq9mSKyNuYKjtpK9tzN3quc2+ooqbQiwxjGPdJhVURB6lTGvGR853VGtidLIXd9i/7wEOxIaSRx
lDwlC/E+DB0FBaHZ6ICeG8fsxfysf382P6mwjax3hPsE+eG4N/cZjzyQHSL7dn0hNlwMj8mVdBC5
JLwsld1UDk7AZWf6T65/5OYdx2sg2183sTGUCxNKON8gJK5KDhNI6NgABsnbbL4hP/7CCDYJQOnA
O2D6L+crX5oCOt6j/+QXHxzzmLcRL+AamWazbJwHwMD+MaMECqLNlsEoYaZ0qxjZUtP+mU2xbJ+a
Zg6r9hUchNfH9bYUjoLmuUVlo5QWIbznwn9KyiBahB/RHIDfhO1EwMOkurPmvY0ctWV+k9Vu8N4f
GIHyAv/4eCwCRKa4h2xp2lik9J9a5t7J1rtLWP9x8nXg7K0zyIFSJFikAb9429aWdbNTUIIWwKLl
USBBFtmHJMM9QnjoZf9axW3tuKFWD3PL+8/NWpdeU0Eutyumzn+i/OPYHfIsCnSNzToTimOyhRE2
LC0a9lL+3Z6Lb6NkO1npHjFbm+x8JIpjQp2UUzPFBNryCy+P7ZosNw6TvbvujlujQXMSHpZASYF5
RbkPKUPvWDNb9AksPGFjvYzsY+nriAW3xmID92OAgwAy2OpeNnCM00wCiemM9q6eg8herKip/u2Z
ZjTOpiUwHoFMFsEkCO8u19/l9lDnRop2K0hW7mXu06hZlvGTXQVoh/VY95U6jOwT05hDIdm0d6H2
dczrNjhA5DJLQwwA7DeE2LcTq9ubOm2aaLBpvmvcrLjNu7K+9RhgGhNxrGgBv/ar63EZeW1jhEAC
T/Ege2+ft74LHQNjqtOQu3n3IsbF+5mXvL2Tbunv8UQs9n3jIENBQdXZD4l/nzEyx67Pun3OqXw0
l5zdzEGOu6kf2KOY0Q6ALikeNr1HHvJueDdF2JrBBVpqXSS0Dqs9OinNnLRMbDSIuguihF+FaPcO
5N1QuLnuchtrBC8AEGyNbVcYxeUaWR3FIkHy92Sb3+rylrPv3RhToYM1bTybfkd55hqlQ4NV2afG
0KWVs0Dia7LmOAkyNNfq4ESbI4Ha9Np1CfIOtcq9mGVneMUMJSmU10LPaI5+Xn+yKTmSRtekurFR
MZw/tpThWHPLiq6CrXK0gjBo0yRqZpLElpssml20Ef//pg37/02kLJCzdGQhBNu1nT6Be93p7zvP
Dof+tlmep2r/bm9Y8cyr1ADYU1GCvfQGXsjJQ4TnPY05NGOqY8X/hauHk/ly3c6GO6D3DOgA+ALq
3GoOBRC+Ls97x3taXB5l5j+o5GlCiS0La0/Nim8Ej4DqDZU75Pk8pP5TFnVDFgbah9KGCyDhCLY4
QBx+q99cTlWVDMCG8Ax3N1BaRZwXR8P/i9U4N7F6/FmUageQkHZWE735XEAL04iS/D79+v6lgGwc
GjHB7fY2oeGW+ewsuYF2A/eFJKdc475b64BW7hXpgn/fRMCTxXDZjT3cFyyxXgHmi1mz0ustorx1
LjBpyi0zdoLmQNgkT9Cpippx/IED9Yb3fmhneFB0jdCsis6esiHFWBmQEAVIg5TDo905hzodjqmF
YnwS3HIhNJWpLT+jCNxwfSIqgEdfOkFu5L0L5kAAhdB0T36OA8g9NHgQnYl1Dc/8LCP9SCtjhUsH
D7b5UooX7mtwVVtusII91rw5zmY1r+XkDBjnliVPTLb/5ATVSJ+y43VP3iq+ONBlAV8sAJVgVlLS
2iDV6pfaC1Bj8xcTUldQ+DqiVOhloOrKj6Tjt30J12D5ITFBujEHNx4Ru4EmX8rSOVz/MZsDRk3i
d/72rbrdVNvGaPMSoIjMBMdWXn7pe12f3da6rbS40P7CCYSr9XLdiOja1KkteKK7kqE27b4dHBku
xNQECZuG0HuJXDHAOnjLXhrKhGx8BtKqJ0Grh8G092ZRPnqL7ilrWeuJpu5lCDb9Z0hdQccw09/4
x2C02V3b5N7e8ll5KKfkC/K7y94AoiQnnf0gbdLul9lObsQwNrslcb19nfXdznfbPl7MsQ2HpsCT
2HG/2wDNHMq5TW/rhQ6xSADYIVZS7dA1ByWFSvIDTX1/CsEFDVuNF7y6E6eQUwuqOOs5EDcIqA8l
NdiumYcu7ETZxa0FeveyNSHtWQLFUwfjeFcyyW4CEUgedj4wFzSBbgpQnV00stnd1w2vb0VqB3uH
LfNetrIEX4pbh0Sii7wHv8qh4Dgg07yfjkaW0xAV5eWTP1NEruNUHGTH3GNumknkGYDvTL0wXhyK
jPeCUiK4B0PaGPOjkaSQB3GXTxX+r8d+DOrdQpfl0FfOK/XKb0vh0L0liQfh4PzeMapDiUfujrR2
9cRqvz1Mkywju53qUDY2ZI6WFIX9OSfgpyrnqAS9WOgP6fwCMcUsbMq0i7omT2KPLvgLpLV3EPIe
Ykjf8k9unXXxYHIjHjxeHtA550QQl5cROqvEI5qqvQPEBr3d4BvpEczEMmYdGmm8sfkYFP5khgsc
f4ckSmVFkxi8CMUrIKj6Bhn+lKUPtGhY3DK5hBLdWmFpLz/bmS649E1jN3GrRYdWJ8K6wPsBWMzh
cay5sXPkXMaznZU7q3LGu35iJlp9hxE/Mvln6DzrU5KP5m3Q0SmI5oKM/4o6Nd24Jjb6fKD2FIii
Dk0E73toM/2qxlGGoGKufqUD+deauvphKfF+EUHNXoaZ5KBqn6YIcE8acUcYEXo+iq9+sM/M2yn5
IGs/OGWk8g6LKxL81pneNbU7xGnaonsFQkki5sPi3hc1qx6qzFiicWiCcO4bEVt11XzKLNqeFr+E
M8KV6hvw07PQmKSBHAbDK8VEnwolnQXA1kjNvcEM4Pu74tUpxS/addWjPwx2hKKE9ctpU3/vVGl6
AIvGdB/kth8PUDXYS4c3cSnqOQTra/9UtmizIFba7Ou2H29ZXRZQ+Vv6euf1A4kpbuK73p28WxTM
MFBZsbg0yp9TlwyHccrYM8kZi6D5nX6yvMkUYZCPqN2m6WjcUF7Mh6rp2tBOzezWzElwtAzhRnTJ
Mogsmf6B96aMuTmNu7bpHGB0+yRa6im7YXbfHMbl1zhYUQa/7VFii20QB2nCjo0DHsx96PxCo9Ga
mlfORLrQpLOWPj91zg6QEWd3/f7YOHIvPq+chMYAbn0j6XI8mBIg+fPH3DduLNvQ3MsbB+6FGeUK
SbKxF1Mq8lO/hH7yT8P2WbNPEk2MqbOixDBsxmoFSZufFnLrNjfE+cj7nWe8/5a6GIsSxphORhsR
YEUYaHObFkAD574PNNHfVsYQVlZgGIRrkb1T1p33wJMajpmf5sYssQOgu2AxZNDAWTQ/DBwpWGyY
AmwBlVNF+VAZsSODPK7SQoe+2vbAP79EcRGoapKUZ/glNInteUcMzVB131d8Q2QZAEvUyE/WvPNi
0JNd9/CNOBodgQDiGHgGIkmuLNc0FcTKJyyX7J+r4sEaXpLiZLMbSOhoHGNzIGeW1r12Ft+CcMbs
l3bMTw75CXDA8m7CnBWLevb91f3Pvt9VxEM/KzZR0IFQJXGcIipwYF6fro3cOIygXLVq8uLRqaz2
PBIQHoxY7arE9SWjjHxbhmS3Ng306RgO1Y9e1xq6sUIrAtJdZV2Nt0yrxjTSyeM8eeIeXwXMhzbs
62yP//kXT8S91+kEW9eJUsO/tRlipanE1lIThjId7C6F6tBTK4Oj3aIRjcv+yLsEgY+lyxdteMXK
WLf2RCAmeSPhwmfb56BXSp6yNMbF0+gahja/jwoqMMTWyjqtJHOHLrfqnKGVpHIga96Zz/1c67Ic
G7fESpSGZyGKSyiyK55Na8iiBD3znoryYIAwON+R6f01igsTinOjx6Ig7gwTA9/7tRVaEBiu393W
g2QnxcsNLwLwhuAFcLmDSsTJpp0x7CBQu952ueYNvbEUWOC1H2XtPoYrX35+tPDWmwsXe8ePvNh7
d08Vfj3QMWjWRe88EMnKQUkMc2kqf8HFU/XhRFE0nT9e3/xbA8DDCz1hAIdgDMr8VCbJvGxG+rRP
oy4D65TmcNF9X/EjaTaix8HDTvRL7uwl0fjQxkECfDDS2HBUkFqr2d8m7UDZwYDhbdzglgWfwQWS
LzISFNVn8f0vpurMljJViOfdOlh6dpL72flgGC/XP785FBRPcPkj9fcG/yN94vvezPPTWNJntIDg
T4fxPbJbca078nW2FLdlte01E55oJxs9+ZFM86/LaACwJ7wysoraDSHA8+X68DYOFIqSKAKbNZ/w
BhREjDm1xZznp6wGsWtyPzN+y5LX60a2vG3tIYXWDo4tOMXldkyoPRsjgqKTEzy6VVjq2qjWeVGu
ERC0ozkEVxcQ0WoeyAqYnSMPlUNliYYSb0hhfDeTaZcE70drXRhSNr4/Mt8vG2x82/zh+19r4oRJ
99HVKS1t+MGFGSV8hoyGWbMagRhb/uFo4ml6GqL4ELrpc2/9e31tNhzgwpayfYgP0ajCtPLT0Jzs
5DA2JzYd/sIEkKC/uxHXZrfL5XeyTDhWg+Uv2Ffh7HJEl4bGjTc9ACitYK2gAaSpBEvuXHk1XgPY
pUU5g9euyrOPEGjOXtqeQWnebgxNCnXrWQBq3ZU2FsGLB+Liy0GRMk+Fm41gGkH4HyBKAgnFT78n
t1bNYzfLflm9sZMohYQJDXZjYvwsnETzIzbW7uI3KOdFDR1aMP2iKjWaoxd1tb8Dh/IzXvB/8fa9
MLQ67FnAu/RL7ifcQH+J792XAtHT0vtkd91NNk4J9MSjgwgFFuRR1d7uui8rsQgnO0HjEqIoOtUf
3ecVR6feLNM08VAu9GMTV+q3v/j1iGQAR4UfQhHycorMYOgMKwWPQwVhN3TWsfspDYjmYbPh5ivR
1n9GlDEM0Ncxp2nITkZ7su1/M88+WFYVmdaH64PZdCy8AtYa0ZrUUuzwbK7cfrUT0JtZHJBaQbZG
h7HYWhCgKrHSwOMhBawYocyHymxboNHH/oXSfWpoWu62BoEEycqngojZURHVE+Q/+zL3seD1jpdx
wHeQTb0+T5tDODOhLHpWV0spSpgI2l2axjS+/vntESCSXXvqgAlQth0ycVaTzoiSGw+8qZCOmMWu
4ppczfosUS7PAOCT/4wopzM3SojseYgA8Cx3+5PBbgm5J82xKP8d2m9i1CCwdGNaf87ZUSKKtk/z
FOa48THJGJgvDq6Oh317Wf4bkhpv1FxWhYGCM6Rsbwp6IJpl0cyYitWoyFL7fMSySNeMZyKPM5PH
1hh2fjk89E710k3OHulyzeZfF+LKQqnVn6YF1rmXBcySf1J7CPPkFFinvJ4Osm9DIHj/J+ezFN8O
pnnwjAqTmM7kwMmSgZvEStDAOGgeaxqPsNbVPPOIaUgk7k8Y8viPJHv2wMxfy+P1wWwdnGdOrqL4
aWqZXWdmSN6mO8aObfMQtGGrq99v+h1w9GvtGxrkqhZwnjLmUYm3AoFCQlLksfiLnrZVsuQ/C8qN
bxIb2X+ArE6UN+H0ijaO8PpE6YagHDne3BW+T+Bkoniqj6OOMXtzrVdSSogT4F5RdUk6WiP37BHA
ghwnZPK5nb/Uiab/bP2Jb/bJmY31N5z5U1pWlZA+uPbNgEf1+HNxP/bD3ljQCP3r+mTpLCmrYdM+
nVyeIk6fdmLpwgYkAJY5RjnKNH227K9b216aP3OnLE2QC89Oe8wdoUcPmi5Mc76sv/bavCkXAdC9
bmkSHw9p8z5Pvvn5Zw4q87H4fn0Ym2agHYGc5krl6innSjsMfksXiSxzFZymjN9xZoUtWaK8cDRv
m831Af372n4Ozj41T8PHai7FELBTN1UL6v+WuB8FiuVOMTR3Y5eiZIbWLs00bi7Tb6knVM/fpgEL
LpzcQPn85GcLlApnMoVOrXvxbhrBWxpgQTQXQ1f20sdliX54JLjYyWm/5dDoq0dNOLu5Uc8MKM6A
tmPu5Z3FTiylx5UtsAi8D26W7q47w/Y40MYFssb18aY4AyvLDnQnOG7yaW+gwKmjOdV9f/37s7Og
Y4vD5wR3S/EZ2mdUxxOz+XmoF4BUbdWIU3P0fUYFA0k0akPFF0ccEJ79xfScfV/JN0gUHQtB8Kwt
ligdnzGO/+37yvRbsm88P2vzkz/FQbXTPbk2tzq4mlfOIyDeVTmcxR0pB2MPsrzLD8udI1kDn+V9
qRdDM0+b3opAH48JBzJxxvpDzpY56O20QQCNa9H0QsA70KluRu6k4yDZGg8QIugFAwANGXgldm0G
OSVFNSErC+F15JgqcMQsbjz0luYWNrcGZIO/yUDqFy0YqkStnTeNlcr15MrGQ5bUH0mPXqmR5BXI
1oB94FD9KLIxrrPDVC7xEMxhW9GHIpEHEMwdqI4IbsvRHYgKA5qMnDTOhcsJTlPkJWsfFbV5Or6K
SROd6b6uuLldt904JrgSxFd7jm1dS9bWZJ7/eMXLnZk0XVrMyNpl+7qP5xo85a/XN9KWZ6x0fijK
IMUJuofL+Vn8uZqmFjFHUDhh85HeDVUkOx3ycT101Rt65SaHkjww3G84JQpuSCEo9lOSFuHgPgq0
cBbHib80QQCCA12xaXNZzswpd0DndXIGu1t+MtknPEBN8XJ90rbeUcg8A0sB9VHos6zrdr5rM88r
WOKnp8Wwn+xhmuMsmeewt6fbRjhxgIxkmgyvw6jzt624AAxiOJiwiZHjUAxPxCB5YILaD7frvppk
bHNrLy16tCzxoZuC3fVx6swpp9NiVdJvapjLAK1uJrkvPBKj6gPp2/kJOLv4urktXwTvCJDKIEFG
+WVd1rNpLcYGVKULA/Oqlb+2dgH8aIF6BQndQafQtbWzUKaCpEEApOcbOQNGuskVYw+WVC8e2wMI
qoAEuj4ajQmVM9RoAscTdOVHrV9N/rlPv8vgx3UT64So22rlS1rZ+AElVQ9bUbiVG6SoVs3tXdF/
zXQqRFtDQEEYKZyVpQV9F5cLIllWpb7LilPd4n3gyDvHfGl8HTh0axQosoClFbZAaaMcovAyZIn8
ooCq+bc6/SrfTUu9hppn31dO0bohOfwVBFxQTAR4qOg0yewttz3//jq+M7ctwVad2C6+3wcfgC00
sl+G8d0rNI9D3Syta3VmBd2ZPkT66uI09U/zvSs0g9g6oc8HoWz1dCjyCsU7DELcT1COaPOfJYQR
0uEOrSkN0b3WdXOmeBaZm5FaAubkEEFMhCcv7nzQpjV0VpR7ALJns5mI1bOcPsz718zxwwUQ2uLz
+/fh+eQpl6hHh6xjPUbjN786COJMOvL2t/qMlz6sHia1sWIHeVmcChocxXhXBHckuSHJJ85+5IaM
xvpFdN/t4GYw97ZJbkfdJtJM5W8CtzP3MylbRJnjByRNNMs4zY7pgi7qm7+YSH+VV0dBFIBnpd6a
ldQik8WBrnIPDuAoms9v3Wfg3/zv80owWPVB11qAbJ7QLZS7++JnV+wS88Cy1/cOA2g78OICj7Sy
UKndkdkclNW4oKyLN3XoIMM5asLst6uBVlwUhiEQBwZOvEIvDwOcN5JmvihP6MMMJ/YV1EidcStL
ncrk2wsAOvcgA4MhoMbeRId8zlGno6DHa5rXcX7p7FvL1Rw8WyageA+eCqQ6kHtUTk8HSMjJ6EZ2
qolAZwDELDXp4LcHJ57oZwaUg3Ny5trmNQzwSoTAIwhtj92GBSRMwF4AzIsLmj9lNXLTH8WSVdXp
bm4+ddPH6860MUGAcKBiAkgKXokqbwhys1PQEoK1LvtQkBqUlWUY1LpK6dsLAA4FVhoPaRlQeKgl
Gy9tvaVwsxKF6Ocq2QGM/VyyZ4lAvepvHfHu9/ulNeVkJrXXuZ0Pa8XRfWS67vyNBbEhFLFiQwAE
RxPn5faQVlDJNmXNieR+KF98MWn2n86A8vPR4QC8oYABP49BKCiH3fU139jfFwNQLpSaSGosDb5f
N1+leztVkZC3ufvh/VagP4Q+SqAH0bqp7AyWS9EGPG9PiFua42jfdOmxaI7XjWxNFZ7dOAzxBwI8
ZS2azkzMgNHm5H5vg8+O9en65zd2B37+n88rKzFMzODS9JpTU44R76NqiP1kif7CiIcoGyIagLWp
ty+lZGGNkzcnOtx2WRAO6NNksybA2xwJWHssYGfxwPvdo352w3LKGMm4xU+0m+WxYOX46rB8+ORM
bRBfH8/WmoC4yYIytgFYqdo8WzWt6+asaE68uDtZ5N1lMcBLzr6+OvfZQCpvKT23wNeFe9uxJrSN
Juymd7cDwAgIPaG7C/wUmMkvjRQmtPWqBkvCUwkk5s08nzg6WHSqkBszhQI/5ginLzBgqlqgS+aE
UnAqnBzjualPxfsX4uLzSkBCcPGSvsTnE+yP5qQ7pjZcCggC5BbR0Gitau6XkwTKGkpbafPTSNCN
0wKu7qKaGAeLKTSR1aYlF0S6yJiuppQr0DXyyrXzhZ/gc2EBWnNzZNEE0o7rjruu6uWDd8XZ/DGz
LteZayWIQsfEhpmi+dx2EkjDILTcp8S4I+RkExFN8/frFjcHFqzVCjywHbQdX1ps+7oW6eJg6WUV
Qnhk5k+k0pzDm052ZkOZPOiLGbxabbDuB9jbY+H/vD6IjetkzYYB4AMBQqCWFT/wiVcXJZSsTlZz
vywvpB4ObOBHY+o167M1knNDytanVe4TYDVBoxaxAr1sUhf4biwHtG1WKiwPneCIIS6XY6Rlgy7T
lTrWejXoXtg3jg4PtTFZLrY8QneUed8yC4CZXOJpOkLzK/jg5GBV974J2obLtLu+KBtzdWFHmSv0
YwbV0MOO400hL19bHeHc29cOIupVvAxdzCulpXI11imbAYWCJExgtdgpftSkVtj3ZgSgX2h37+fn
uDSnnMioHiZF3YC1tii+dO5DkOz67FA78fVZ22AIWt8JqFmtaALQJSgeIHjvGK2VgUHTBBN/h/bS
am9CiEI0nyT9SsEZXtQfk0a+37NhFsHkypAF9KSyRwsgf5DebdITGjurV5n/j59fneXsYFusoQra
oADPadFHzFp7VTUn9LraytF5MQDlDOhdowiCDgyH6GcrY48fCPtiZGg93iXR9SXa3KMuuhjQb4ia
ggpqRhRT5CUDV2dZGS8mCbIb8BH2N2b9F0VS+MKZJeVwtilHD+kqF+J3IL+KykYTyWxuURw0Ltgm
QJ2hvolskCQO7gQC1e67IQ+s0fjy1kThyYgENNQF35JOzlPHM6cAlbdMx1ch+K6wgzt4viaw3BrF
uRnlHBDV5IhlXBnDifU6MufDPPzN7gBKycAtieAVVH6X7ptQt++GWrBTyu/m7igP1z1q6ySDDLsP
YjqQDWGuLj/fD3bOue1mp5qubItW3OVBnPNbnrEb09bcxpur8seYyqnvGLwJak4BVV2KXZa6XyDE
EY6T8/P6mLZWBSl1KA+bCJapejqDPMDkJYWZUdz+zA3Nbt/+OuYLqFtgltQKlZ82NtqOAUmevbgf
H8j7eftXatk/31cuL0uKGu8u4Kod8RLQ7gDSjAiMAppTcWspzq0ob0dI//mtY2AULv+4J9kXj2oM
bDkWuGkhv4q6ExD4imMxg41jz7E1qIVW7A5s3En1Igx5kwdkl5Fcl2TZWhZwy7jI5CCthkjp0pGn
OmhsmmCfIFwLHwc8Ja871dZ4oMWFL4NRCPrMyniMyigdhs6BkxS33vjgg6EdjR5BzH5ct7O1MDgU
10B8vVRUFI87LKUzWC3s+FUeekN2tEjz4Ls6ItvN+YLWM6SS1xyFqj1FQIzTyRbz1dwXox+ywdNM
2LYBKMSBIgBHl0oiywMgrRpTgr2sy3Y+JMBzHXnxVjiJBMXK9bU+IlSg0ML8nM6+xNnVkTifknBw
nocpi8EPoBnLtiXEelBqQXCsYnrS3vR7X8yI96BlQ6twDAuQKUhPc73rzFiXPrw4ZZH6FGbSCXUH
YJ9a4Lt53x98+fm6l63eqoYskPxEjXZlZHuDwmkg72fJRawBbCjsozvtHfMeTWbegBd/lHSa235D
hAbBxJk95RbjCUigQRaRnmYEyjWAKna3R8NqHbJ9CR6zmAHrx/8iw3BhVN2yXpvlGfCYJ7uMmjIm
OqXzra1KQWe/EuJ4yPAqR44JYi7b5NABCIIHNs5x3d5lvk5kWmdk9Zmz8HU0Zi8vQc9wWtqPI+0g
xXRDZ93jf2uvIo0IiDLay31EApdG7MCSU0HxuOTeqxhfZud43d02BxFQNH0ixwDlDcWxh8C2eADB
qNNgs6dBzjdDPZ1GqJNcN7PRgIUUBhSMV152PM88ZbLIbLU+RClhpyE9tJ6T27RN9jYpTosro3le
q3lOxMchhNBGNCRT7JXvJzu7/A3KzepZzM2522YnEux9424edQXerZvofJDKXsoclwWdjUGO013O
X4lT7+nixdAPCR1Dc/BtOYZvGnhswL8RIipPwkE2tJkSijBdHJfiht5cX7AtvwBNI0QuQSvzFtK2
3rY+clvpqTar50l6D8Sannt0TFw3szkKvATAj2Ugy6X25bULwnIToENIQ8z9vsgJ/WV1LtO9NLcO
VTCYraLT3gq4UFYeciMSvAaIpTsHIRs3D3VzE5RZmIJ8LHOn2OUfBlcXZ23dGedGFW8gwqqEJczs
5K+sVnUG+N9rmyVRZuh8YWuxkOlaB4hjAgDjy0Oir5IaVCMA9kw+f8gISmYBZxELhu/vX60zO4FS
qUaf/TLYIxrNILQSp9KMMx0rw+Z1tGq1I5Vugsrs7UoRmVj9kp2k4d01S/MhqfyneiChMaYnNO9/
hGAtsKLeqSiGmOTt7voIN2cSmW8EL9hUAO1dzqThj3NiFMm6Ztkjao8n6B8fEt/+mwsKNJp0RSGi
wKIeh2hMlsDATpAybmaUuX5J8ZM2usTkxmDg1eAjAOYLJXP17uB5OjpWV6K1woK4qEtuln46QOxd
c1Rs+DnMeNCqRrgHPk9lc6Ugp6psC3PGJEUxW4LYx4tS8pwOP969OCA6AXsPlOugVa4iDMYmmxgX
0DOzuvwmHe2DMN3I6j1NlWXjTELQDQwAuEGgteAqPlCZDugWQHdxIv4xzQ660vzmqvz5vMrWZ2Uy
F9aM51dDQAg3C1Atfh8tU3M96Kwo10MNfGvKCqjY9W6PyCQICRJgc62LgbYyk+DOB4Mo9CgAlVBb
uUkHqjOJrOspH74EpNy3YxKVThPn7hKOoD00iw+m1YYOe77uCxtX7YVdJW5JeTC5rsAiueimy3gG
arhPCb+pFzDNZbrrY8sjbAwOpAjw9DcvzHmUC2nHiTyh3PNPWdVRz6ZP7x8PAK5os8Kf6KZWNtEg
vMnyHGirmeJrN3Q7A4C34Btw5TEpNZ22G/uVoidtfTEjD0fV/drSjgMb3qbQZ0SU70OMK9ktA9rs
lr8oIa+HqAfQJ5r80WR3eZo6qYNcPEcqo5r7XbGYxwFgmqB1d9fn7nceWnkzXdhRbtraE0PDUxuo
05k8JMSNoLy+l0Z/YO0LuF8OtllGTjJEI7q8UHY69n4TSa5rA1jPhWu/Qjk3RA6dK/D04XYUdugI
HlUFKubyrli+BMkUFgaooJaX60NfR3bFpoody3uzAuQKgQ31emQKHlM/j+QgHobOOrh8OnlCkyjc
2AoUUQa4gHA4vpXpm+q8FXWDHmp4WFw0fdzrHsAaC+qQhja3R1sECGbYA0DMoSd+/sWcAdYAmBro
WfHyufTKubCbCVme9GTWoEmMZ8ihmHFQfGynw/QXQC8UA/7YWgd79kZspgDagTak3JJ5l9p3tPzg
SE2me+MkhAmkUyF8hGBCrQ1JC6WHLHDxDJ3uzHxfFg/gVneeqK4ItbkuZ3aUaSODmTrJWua0g+el
gSTBt+vLohuHMlWQBeegO8P3O7aj1rHzIjDyjj+D97MdrT0f+G+FlqGopdyMLekIhKEqvGw8mh79
OfncSOcTGx0RTrNwbnLQ9mku462h4YkDlUVckVgsxeRk1H5DJQLYwK3TR38O0jjDmbXy0bZRPi7B
PpgK/uv6fG5EABT3SQAhXtA6vYmWut6xeii2wCgE5JruG0qL35JUc5dsGkECCal8xOz449K/exPq
LGBrTU9G/00EJMzlJxAhaaZvy/PAFrT2pSH5hWvr0ohbS+H1M543Sd6H0m1C3ftpc33woF1ZoxAm
q0FM7dOeAGCYnXhI5R0L7pwWlZYv748rkWUB2BB80wCLqG8LytGWwfMabwvjNe9us/b9DUdIBvwx
oHKe4rBxpsWokH7wfjC6S6vILkB2E1plJN34undtrgkOTxTaMSKQdlyuyVCUfTCIFC9qckt2vq95
U2z5FZrCcb6j/vW2+CWgPzHUrU+eWg/0OHODfhgQBt0PU6Jrm9qKhs4sqZUvCInbIuWo4K8te0v/
PFYighRtWLrvR39SdDeDhw6VLyiqqeHBbCTeOOMq8FOoM4Fo37/LFrPWxMVbAcGZFfX2rNwyGKo1
b0P98tWyx0c+uEfLcT+khX9E7BkFxY/rnrC1VB6KSWsSyseTSdmdrSXabvZWeRZxqDIRplZkO5q5
21okdNEhc2ijKvJGUtxbeAGgF/AP1rCEpvFYmYinaB/65u76YLYMoYqAushvxUI1NhhJOeWSw1Di
NrcJT5Mwc8gBlLJxype/KIzh2l5THXAK6Hooh2caeCPoD9A2yk0rglAbfT+z6lpm/WNgHe1Z9BGg
fcEdDTS3Ty6om0HIPP7FMfB/pF3ZcpzKsv0iIhgLeAV6lNRqSbYl+4XwyFTFWFVQfP1d+J6z3Y24
TWzf7Yf9oIhOasrKyly5FiyAV8sG2hwCArOM0FgnsVYlNjpfc3Bb62WwsrkW1gMwAaD5Jp0itPLO
RpA4I+eenHDsqaIBxxGtTDd0E/mz7b7eXvqlpyxAldPLCNsZFeTZAWVjXoiYoI4Yy/jea6ufTiPC
FBT0aHbcJ8l4lm1+9Gt7wyu59lyffnsWx1/annshQofMTirYHlFusYZ7Bpxfr99xrd+UzuemzUKr
X/EUCx4cJpFCnlrdpgzs9eagyIH4CUXqtclAX692g56Ht2d0wTOAihF7A2l3zOn8MHVl7w9+3KJT
z3VCBD2B3TsR9dfqpYtm0KwxSWIi2pnnkFETHDK9GJHmssjREEboefE+tf2VOHtpvlC9QMZ9UsSE
jO31fAGgQSptIuG03H2XgPF9JcpZ8Ny464CB/p14evcsYY2sO+xKFEQKFjrNLpZ7kIVJ4gUV2GOY
s8Z8sRD0eEgK4n2O9xwaoWdH12JNp3elVeC5WoUqL1DRBgGLuXfTZN+6m9tbYfFwoVdk6khHWe4d
c2XF47bJ/aY461USaBAKS6kfpNKAW+oDEyT4voC+yU/mrD2Pfje7z48WSsNTssNHTXV+rJGUdNPO
RA8hsGbuHUBPNEjb1r7jdBgCpHtYRKzaQzmqqsIY+UUoTIgikE6vjh5hYJ8j5X2ctXkb8NTNn8FL
0qHZmfibpvJ+pq6qj6K3h02N+HUlYFza2BPUe6Jcg5edRwyl6QnH6+oCt17xobIVsEw2rolqDci0
lD9Bg9g/huZBAymqWoHqqzg3xB+CSs8OXZPdu3hJVhDulXtkRO/bvowGyGUYSbXVHHrooLF2e48s
HTCgqJAUn/jl0K92fcBI2SQSnDwMrAV816faPv2LAiBIev9YMK8tuEMtRuHCAq2CTr8Ta6oySwuG
CAjhpIf/8Cq6/n2rbSyK48bOgo3Hln7wQAeRmN//YprwfLCBKgd3xpwcqzbMgllezM6OnJh4IrqG
c1lyRODb/sfA7M7NGttK6wIGgELZCio2vYI6Bk7LL9Rtjn2rs0AxLY1uD2upQozsApogJzElFOlm
/mgABrnxcp+CFrYKrdwPEwLSqeKnk5UBd49QVPblIyF06zY/MkB9bptfWrpL67PNJ6gsHSd20XBW
38etv2FWsvW6NbDFFAvPfRFYqFHFQJIX4mrTV1wEZMA9elAlSBhyKF1gi3IPhdFDnDbgCaHmoUde
oJgq37Z3HE35Wirzzhvyh0okP2+Pdims8rwJIz01hsI1Xn8Hh9iwYEWJjdqgSdj223qjJbzegBBN
BGliVStHe2F2QcI/Ub0COoX7bfZG0Epm8c6vSpR5yxDYvTBznw354V8PCu4dGY9JWhmOe3a6fb1k
gxpwgXY5AEfA6QWcQC0WCtYBVCBv21rwVVe2ZgOCIrLD4tgrzgbb2n5QmOHt3184gxgGWDamHCuE
+GaxqCXQaOcMaBXMrefMcDZxfc/pr4Y+CPYFMpgr1oyF8PPS3DwWiEULkHQMc575ZEDHsjkYYHRN
6YOjQ156eMgURE6+1p4IlHrhybMahqiE6G7/Vca/SrLV/F+3x784v3/GP0/SWcIaJVp96XmQ2/HJ
kIfbP78yvb990eU5tCDG02oFBaWIFvrjE/cglvQkq+ck/kT1L7eNLdADIWK8GMxss7il0UniZ7CW
oY98fGuTu1p90bWftXfXxTzQ4jtadUHMzbDKHyk/oDwTlPZKvL90Bi+/YpryizE3BsIXXO30rHUv
og5oEoxr1BkLbgUDnVJCZCo5u9O0X5hQLoGAbIdVKxyxcUZt6+h0X/jmI9B7+9uTujyaP6ZmB0RA
fcrRGUzp9I7lHYTpD3yNJmghQkayATBJ1K9QcJ4nNwEhq7PSgbeuPQiNkS9+70XqnoZd8vn2YJZ2
O+Jw/KCNhju0kl3PWzG4uNA8XH0039bQrdrc/vmlZbn8+ZljTG3OW9PCOJp8n9FI90B7CtDB7raV
pRUBXAjXtz51Xc0rmNgUPre4WZzrNNLpoW+hw7xyf66ZmO0v6ndjXVUwUWV2RJOHaorl/0KbFDkm
NCgAQY6OKH3e/aY3RNm94eLBEGTufUL/4uqYMFW4efEYQurnerE1LxdoQ1UItmsRDCfQ2aw8JBdn
CW8GYB/xinzXAGmLLncavcezIWGQOtJDKu9tsuJNlsI1xIhoS8SzG5XAeTutbphSlQlmqa69e2Fk
h0oH9toBcSNY/ZFHC81GgxxuYgR5U760pAxNSD/e3nJLGxv0AFA5AsMhwfm5nsrG7qu67xmFHILQ
t9AuczYQF2D7gkGgjBNZvvyFPUTdAGLieQKqjmt70vZLu60pO2eYUYXMzE6mbyhU3bZiLN1OABr8
Y2Ya9oUbndo0LH8AtULeu/c9I4GXsBMt0k1pu3cp6Fz0tIhKpIdSdzxatXmQJTjrbfnV4flnbtKT
yOpNbZEH0ngfVr5tckWzCBadO+jWRiMaeDrn2d4pRWbqKqZnZH2/k4ZzRK7ofBWQDzkmBTg/ZGEX
QaMryN0Y+T3pmh1IseXK7ltc+IuvmN1lhh6PJiQN4TAVhHc/jXoFWc0u6OyPfzVcbO+pERarPjus
Ka7n2mocerZU/qBp5U6nxs5KcWnnZQ3dy/REBvu5ddVjwcqPRK0FKssD/cf+HHFHUwXulgT2/eHF
Gp4TK9BbiIus7Lglj4HCGm45dzpLc9edVaxpuF2UGGUTWvxUop9Zz7a353LNyMx5dzbUEnWalWfp
fCv5XpPfR3PFtS5d2BOHK+rEgLW8q7M2nfLdJCHsbKLcrjf3SvNDnQx7jR6blqyMZwmqCCjpH2uz
axVMaoPdlC47u+kXlHbQLpWGSJIH0kK3eZ6GSQuOYXa07Qc0166s2JKLuLRtXbuIurFrnZmwnQsn
YPaL9NMQBLMBweHr8o+oza1cKksJvKvRzo6cixyAnrYeO0Ocdzt0IO3UX4yh3Ajx5E0t4s3GsCG0
KNZUZ5e2jUNMf6IW0tGePMupyLZKXDpy5GzQ1OFZR0W/GmINqru0cZDwx55B5mZi7Liezr52u1ol
8LjN2L6Mjn/HSuPIdYJq1uAesngNS7G4dy4NTqO+cPEdqJurHuzgZ9FusyYAYexoRZ23ywqQoQbS
fKJkz9fwoNMo5r57uqqncif64ecFaIuMogePAMDWWljsKnNz+4Av/jywBtP1ZJjvWnF8aiedSdBW
VIENjNUPTbe/bWBpK0zIzN+pKST7Z6tECff5mAHTKJ1nWR207jnOVyKKpTH89oIgdDSQIJn88cW6
8IoPuWdB5cIs75h8dbOVCHbp3CJQme6S3yKVs0g/HjKzSiWGUIJMrPKcqBbaExI06HYYz1YrN2xk
z7dn7XcLx3zZL23O/FROwTrXZIDNgs19S8siBAvPLpkkf7tiU4CCN0GWWzAaocNpWzXpNiZZhJQw
EsF463jluaFjCObtrcere8bTe1CQHEqnjjCaMOXpj9wuNpkp7jho0jTWRJ7gUHj376zYPTQ22ehs
jG6PaXEnWPAGBC9r9MXMlgko7RF8u1NLoTyIauNWO/bvuajBHIHsKp4t8AhADF3vBESwueNlNbp7
RYQMj0ZWTsuiC7gwMC+dmui8SiQgumfieIFjHRQIaB1Ot0R7ou6m65649r0FuZnurc3e4ib8M7R5
9s8yVYMmAiCQhQYi/CZo3Q/JcK67c1zxkK6xji4eqQtrs+3H4p6YiQkUOuPyhacqkkWx9uRZTLFc
TubsPiQDgIk+QzEzJsW+7EggWycoSBtkmX0g4NRryvEN8IePttlsc+Y9UQedRo4VpgO4A3vy6fb+
XBvz9PcLNyIL1Iu8qbbqZmCt5KgrjSv38eIJuJjV6e8XFqohlujGwKE2oF+k4v3In601cPfaPpmd
MsK1zHQFVi6vZBjbHxSI6hJ6UIXcFtV3w1+JadYmbXbTdwV3ajfGgdDEnQWpjLxZScQtlQJxpvHq
Bh/M76r39aQlOWh9R4h+nxNIzMv2Lc4/IJmgx6fBeCrlyXOetbELmuKjrF8ZbQJabWwIV9sWD6jc
VfTNqL7xAYraK6VlY5rJdy764sNmziZTLksahQ8ryElWeeQBMp+0Z10dzE5FtQVQe3UW5rex/qGX
X2WzTeNfeXco5efb+/b/OEf/nSEQOl7PEDr/SyOj8Hp0NMJGI6cB8L4gM8qtg7hk5HrQgasnsdtI
G/hu5F1o43PBO703Yv0IXqcftz9ocWKgauUAnIfq/vxlIhW0zGqFRuJOicDiB7Qa7Hstjjpn5eJf
PE8XhqazcHGexl7YozGgIcc21bFEXbor2zuxKhGwdKSAlUQHOUjIAM6ZHdsh1+I0pbj/leOE6Kzr
SB/WThJA0QmUlsmOxmsN0ot769Lk7BSPKk3asYW3p50MM7H1vS8D8tDcfyoyPRx09GkUaTR0b0O2
RbdQaGrDhvSnrkK47a9JMCw+I6Dw5YBaGTirdygKw9csWk89SeX4quodZCYD1u9F/ejILJD1V5u/
DcX59iZaciyXNmczQMyUGnJyLI6f7esgHdP9bQOLq3oxqJnnKqsuNsYCg3L6eoN2r7CsP/tEC8aO
R4b9IpLdbXtLzxWEkCCXt1BMfMdQyjuRD67CLmrrbCebIepjBwWa/oFMbSOFuTK85fn7x9w8UrFM
mQvbxA4C11gNbLlcGc7S2XNB7I7zDbQQ+EGuz15ZgPHf1eF0TOB7Hblz0AWcldvbc7Z8Di6szEIE
7GVbCOAazrVE9UM92+SuZMUODDRD+1LKZzt/jM17KJMGbv2hBodt3D0PfMvY4faHLG6Wi++YZvvC
04ALw9Riju+Q4z375Oeh7ALd2rTePXHXxrw2szN30wnd7PMcttL0q0afpPMD/jPL3gpVQyLwU+Oc
udqR/IvX7KRbB1Pjrb3GjLgY6EJeCyuMZDdA97OJH3k5ahXIkc5W+aTzj7rqwpzv89wJQCUc+jFU
5Vw7IOQpXzuXS8AWPOqnRicASizUn6/n2hvrMQORHRqQaN9suG14z1yqL7lTswCt9T8JaehGT414
6xCeAyid/8qU2b6IrPzW591aEmVx6bHLUVWYxInnCBe3H0CrODWttXa7aRL9nELdUsMrLGuLLW2L
SMi1198CibaBKfhjc3a44IVbv3bRoAf45glAp40szA0t242nq63GZWSz/LFj3dchj/d6lUVwlVHN
s3tpmdFf7PyLT5mtBvGkWfbTS8BWbgBy7TCbBP/agGR003t7vX69bW9x91/Ym500Q5OlJk24Sb2D
30d/OdRzfimXfr1tZm1VZ4fMk2mv52KKW9t9afkRFZ9qDg8WN2Gio9CGvXbb4BQNzqPFyyWd3WdO
2XAw+8MfZ0n5EjflDzYMhzSuglKB9Neu7VCUcoPCyco9sGgXSXDdQrcvwpdZ8sLTrJ5C0AT5o1Q8
GLS7L/X6MwQONowWd7pWHrJijFz5F/2KPp74poXcEmRA5qiqygXu0ijRX2z6xT4bq0MDzB4HVqZ2
nJWZXdwxF6ampb7wzVVqVLGd4rBYVG2koT0bo4hkzlbARtMCvVtAdLO4jo5Oz3d1JDbwzG50mClK
HnTZnQkoBdu0ayifxXv7wsxsn5RKmLXmw4wZ86+FZv/KK3dlJMtb4s9IpkjlcsKsJGb9CI8GqsWH
1ErvzVrQQFOOBMAODYK0fR0LtakUtENvH4KlwWFsaG4ywWIF1N215QTsnrLvIBPktEUI0Y4gblbC
kiULvj2lfgCOhfTtzF31tcgNaQPw65YHfqrz/+fPz7yT32o5khP4eY19UdnXeA3Us/j5E9kmcBh4
bMyLo7zX8PkjIOVoBD9lSfuEI7QSXywdF9T6/zExGwL62qglDAC8bS/KnJDJMF2bpaUNdmni3TJX
PBOOQNTG4zsfrF5uLaHRrR6ZEqFhFz9xjT5qSRve3l1LJxR6l1MRFlSLoPi73l1VMiZtmY7IJ2XI
yo18Y1nik02TE8DNK5P43hRy5cDEoXsCkDL8uzZVQqsDxNFQpcMWBO4x+9IgEuli96mqPBLdHtZC
LDYl5hFmWxZ4ZM151V7L2Ojnk5YS+LbDcfwB+EMwqjzQql3Xv+pGjWOEXA/JNrm29hJdHCj4EgkC
QX9S77keqCv4aNpxDWEl0qN/FDjmUO9ra4cIrTUCAj6bNYvv9ydGi2I99OwACDTntaOhB166NvGo
b3rtI0ihIYdbINGzkjpYHNfEke65gK6ik+d6XHE/xg0kI0B2piBhKpx2Qw37SIV/b6o1YrX3xwEj
urA1O3GEaKPvtLgLCzcHN752VzAzksrf1m0cZYxtdN48tUyutHkuDhF377RjoFk03zZjQWoCpgc0
SAo7assB/apJH/gZPxYN9Ptub9KlVYNeGnEAA0b2fZ7zGeOhdqoSvDlm/cNXQHHipLvaSizz3juC
Mgnph98kiPq73hSzjY0m7ZBYctQ4IKnVoPDWrPFBLRkxJ1j9JGWBPTi7HV1TqN7mCJgq7wWdFoHD
1jgHlubq0sIsYOl7p4jdiatkBC1OWaF6j+gvi63Nv18SSJQBvEvAP/xOgi0xY7RDCFQOx/jYaIeS
BEO/4nEXXdOljWkPXoQSIOdK9JYjqlVVHgw+JCY+sVZFJN/Fog968ynmJzV0gWF/uD24aY6uozFE
EBeDm60SaB0NOlp4luRWu6mZHaT65xQNp/VYoIwpQUCwti+WV+3PdM5WTeNG0koHFuvM+SBYu2sk
jXJQpK2cpIWcx/XQZtdY6nbAeSsYYmzXJB/0vAz9am+Yv9L0W0uLqKF3vf0JDYSBbR0ZKLltIUNL
HNz05fYcLzmQizme41gqSMJBBg3lCldv00DvnWezFMeipVvRmIfbtlbW05/dM1mTeD5q68jy+ydD
3SO97+tFECPnScbP7lr769q+9c3rfZt1MrErB8+/0X8ssp+62aKhCBu2/i6gIBaX4AApJ2z/d6N/
uj3QVdOzmyeDvIlp9tOsNpFevQIrndU/e/8sPdzo8WdrfIDyRkB6+v9zB3O4hIFWoSLVMGSfb5h8
qo3DIFbGNh26G4dy3m3XZP89lIiKPhW2eUjadJ+nENIWNBKutnJSlj31PyfSnzmf0R+s2PYwk9L4
Bd7uQMm322u1dHFfHoCZk/FSzcn9Fh5Us0iQamBG4iCqlRkHDUV612neSdj83Iu/wGlOLgAPaKTg
ML45YG9oq1xjFNGJ5aW7wkiD0WC7TsqwL6twrLeFeaRJFnG2za07r1+pbC0uIxgCTDBQINs/RzaP
htE5A4MD8vXTEEckLsJKvRDtgwIw9PYML5uaynvO1EM5h+qVSV5LWeOl0IM4zgx5FVXJLiWRs1bD
WPQvYLD8j6G5L7PdTB/yCRkQg9DF+FRXMpgAiCy5N+1fbvV8e1gLFRMs4IW5mTtrHJYXTjnpXfov
tASujVWQKP9I6qNu/ejcB5bv+2blWb/ori9sznxaUqHfv0LWDCS07q7x7s3GCTr+4PgrceXisbuw
M3Ngykr1FHrCqGI7yAB+aoYftydvbakm+xcxhZ3jbdyYGEc7tBtRm4HVuBtX+pECrUxrVlHaoqZ9
2+bi5X4xpunvFzYT5XtlCaXxs0P2KXTSacis6LaJ1T0xc1dlYws9Y5g3ZxwfSy+LktJ56qzsCBLB
iOEtWev6DiXwvTGoFduLjgzUSaigT8Cb+ZuqRJusDu5FOLKyC93yPgEuCEIx6Uucy60Xf6v+vUQU
9j/Kd+BCRgkYjXPX8wn8s5kCvZSBN8PYVsz/2rM8Qp7u5+05nbbCuwsHtYKpDRYKS/MiFEj5bOmV
8FQ0r8Pe/1q7K9CvNQOzcdRGJUeS4NLkGnsdeiifk+Tb7TEsbveLMUyfcLH1PC3vO1bChOOowMqe
vdHbJbIJKv5k5J/sYS2+XHQTF/ZmWz0v3DHpKsxZYyK79CHttaD3t+sC64tTh1QcqJwJakHzzEEa
S57VA1ggchFCXin2drfnbfHIXvz+zN1pOs8V9CoBiPLCpH+GKtVaxL80AmRdpgBj4kOYM0B1KRgy
feViBBnZVCiw6F3078dwaWE2BqE0kRbKw60E1gofA7Gteoey5m0rS5cs2lZ19MZ4/oQYv95ho6jd
nJcaLllwfZit2Kj+s5Z0wWhbYdGtBPLLk/bH2PQxF9u5wqs9NzsYQxv+ts0eNW9NcnDRAtIAaMVF
5uYdYJw3td9SjyDsy/2ACaD82uD2hK1ZmC1LnVHOmsHJzh/88WPufrr960sHEBgAkLuieO6D5OB6
hmIXnKgJMLHnLqi0vepDFFSHtR6EJa8CmkgTGRnUX97lwUdbEkjLg7cqYz9rBueYZSHoFoMCJ75M
AitfgWss7jEPJSZkGtBONj/tfpP0mdvDnsLGipsvtWGHufdWGfZOkc+3J3BxeZAen2QOp2rMLLiq
AIh2hhJpoMZ448D7/Lj984vrgzZrpN+h4QLhiOv1aWJLo7TAz5Pe2Wh8iEbbBbl5Fjb9iqWlRQJr
AmJ8c6LhnYf5DarWptAREZjSCbs+D3Ptoazu6rafipCnNC3+YmNDGgrt3LoNnYo5rYZQnmxAeInc
VhnJgOrh7ZkzFweE9NxvYYdJZud66vyKxjGr8uKcK6GjvYCiap2MyBNbDmqbQz9GdQamOZReXw2A
2r/IErwEqRM3GzpCXJslcgwhd2/s+i7vNxrI1wL04dbgHlH9Y0bqPhgT9MDGvvHDrlSFRrm6jkCO
jC4izR9QKrb0iGrC+yzreFzZ4bP7xkYKHllw/A8peBcA5pkXbXqLxxoT/Uk0WVjqp9b+Yo/NygzO
ArXfRpCrRfZ70iCFPtH1BHoAOQiaV+qUt1qNmw2C2arVWwq0hdkfU15pr4VtJ88WYc2dDUqWtUB4
6Wyh+ksmJYsJpj2LDuqcC4eAhPispZBK0aG/hlOwVgacTaUFNjX90shsKquBas1IsU3g/5oiDzwk
jHvrLy6iSyOzi0i5bQY+DBjRgtLbDmuds4sThfckAIF4U74rjFilDzb/tC1AG0K6o944EDAZtXwl
/lzyRbYHKq1JnsxFNvp6P9iqtRPAJ9F3qudHnWoBk+UGjVLBWNsrvmFxUUDYhSYs1GbBI3VtyvW6
pHdSJz/rdq32A6EVmHhjN9DdOtvf9hO/c03zuB3wRpwl8E8TMCdf27KoSwqq2egB5WhDckaccza4
1qNjl9CUSL3eCzyrHIAyjMWmG2MkkIfOe8NUf9YVL0Nd2lXUgX3p4GrSxt6RY6A7tYUssN+ecOe2
kaVroPzhbf9GM4jHZm2rjujlbgMUvoutXeKJ53tVuouVLmOQXLX2Y0P5Z12q9M4fJIuQ4rE3Hs3Q
uWkL78FDSSocU889M8Q3IVHVG5gzhudWL8edY4k3pKK+Kl0Vz0aCrs8csKo75ZFiw9GIBCIoPPNU
8U1XTbLjYz7R8wDRVqoRqT5zeJFpm0PXWJj3g+vEAdczJ4By0QmE4GTfV64T8L6CF6AsC7ikn3Vf
fUlB+RICTTJu0+ITGz5441MFtCR4V3YgX1PbohUQgSnHII3zPuqB1oLgaSdB4KTCKnHCuIJamGt4
u9pnLGo6dH1alYUebRvpz8qiVdiZ3Dt6gL2FDSpy27yumr9xBUADAESILvT37DuioqMoJB6/Ixg/
zJaFo/1ayRXXvRScXBqZrq3LmFRQs6NJmgNCrodQTf5kUn8zMkjM9MkWK75ykhYA2ZP6G7RsTeA9
0Vc1s0c5xsopz8+5yWVQZnF/9lOtOlTEj+8qbO/QSNWwcTXTvzOEnr50DapqYa0P/QM6c8nWanJ6
HJAs2PGEWit5oqWDjqI1wZsMOb53B51Y6MJRfpOfB38MqV5FmY7WouLjyhnHnM6PuI8MItrWILD4
joeBlnGd2y2eNplN6NRa1n9AkPidemMVtNwmjwkTcmfgrrknpHRW7tHZGKd7FErbiEMBfAKxzLwR
CIev8+I+4SdByr1w1Uvru2EPAqaVpV66BYDqmsaJZC2eg9c7q6ZeYXNO6NlQr+jPi1cmcSmeuvj5
OYiXGijAjCl+XmXHZjgCMOw6W1lvrOx7mf3FtvAA13fQiItVmz9LuqHSQaiEvnxK4nPiJg8EJNuC
rqG1lm401MKBCwMEGqd+di2LvEoM4XM0Z08I+hJdxXaUVs5WEyuXzO9C7XwHXlqanUICpWdUQAUs
keQxF70eCM08xFBidVQWAhsdFR0N/K7fW+646X1+Sk3rlaRDaKl6zymLtN6M+n7tTp/tzd/RD/gX
pmZCxJKIxq/3TGrqXdzHPT237nfb/uKLn86actOSw7s0MQuwSstQTZ0rCg7/r7x7SfxHs97GxXMC
/r7bx3xtMLNJpqARTc0Gg3FsFfjswIepj3nlNC/vGUzYFAOhEWgWLnRjBh7XsgNvDBLo8SBDF7me
zD2gQrliaRZ//2dt/liaxd8a0dssrmAJrSV6COqSNsyz0TqacZ5tYwv3U1ZB8zapcTvqCnXX27O5
sG4APSP8BqMMUqfzgYKdqgYpOAMblgNUjynJ/Rjnh7h09k1OXktb29y2t8AhBYov5IVBVwWGCnjK
670YW6Cb9WUyAGsGIbliuCPpq+Ya27w7ARajxWzTpW+N3wZu86u3+zDTj3X73bNe8HYIMI1ofM4e
DW+N3PC930NMCGkaPIqnd/G8AgWBPS1NklidSuNVFvWGNG8qswAh+zl29rH2n29Pw/tpx3RPLzsX
N+LE9nw9C0NDCk2zdXWqs+eefWvYZwoGbmYUkW58vW3q/Qa7MuXMXsigzm4rokZ1KlgMLM7WzzcF
sMae+1Ek50ZFYO+7bfD9DYW7Hp3jyDWB/QOF1+uxGVQzU2hNjCdmbXMZpSu3xuLPI9AFVywqeO/y
TDVVllIOHU9tQqPK+GXFL7e/f6FejgF4E6MTipFIXMwWh0L8DdlZTZ3E8GhzqO+YB029tt6p4NvO
PjP7J+2flMNXHNviwP6Y/V3NuYgZ6xH4gLrIxxMQb8R/Tv8CWQdqbICzgFUErA8yftcLIzOHpnUO
HH/B29Bu7rJsalrcae2nlQn8fXNfX4TXlmY+mhAl8ObJ0SpTol3ZAhJg6/T6NytpvY8MWqBgMqjI
W+u5+YHR2j4UNqkjAbrBL2U8tt9ct0G7sYPP0we323K0vaEDxVJbpnef8GZ0TkBtgQshK8gGAHf3
YxInPwrhOiLMRif+Pvq6AiXz0G092og3K3M/5KIyw7oj5S5xbPmBGUM+bJLczx7byjR/ZX0iuz3B
c+AObSjNR022TVgLAgXAPvbuM1YPzw1jLfJCGn9KPe1T6hb+E1Q12Manlb6jakCaKCmL9NQnpN2h
9usUAdQVrI3LwH0UysyTB9kVoKUmqYbHpgCOkZpJEkiAcneWLNDlIDQISyS2ta27WNyxdKgPueG0
QdLI8WiTPjnYFe6BfOTpTsOGAf08Guc7kCFsJW3MKOFmfDYQ1aPAgo4k01aIennXhaaVJX4gHN17
60umPaZ5q5rA6R35rfd6etTHrdeKX7HffrWBwe4zbT/mVuSC8+U5zUl71+nyKdW4vSuHRhxyUg2b
tAIICm0qOl5yjQplbfPQBbnSYyzr9iRQFvzsmJn2o0JDyzYbcvli+5p2N/rNGCqLu18aMhVqMs4e
nVa1u4KoHCtsjCo0lJN+aYXhPVW4H0F+lf0Ywbu57UZkED1iZ1tWN93G9FN3O2ZOFfpu3B9R/4FG
n8XifZ/6NR6xUDcA8AUIxMocQsMo8gNadwh+pZdhO5jfROWVoB9QYzQ6XhohMOOhVgI3En7UMyMs
tKF41rnLPo5V6z0XZpU/pGCzCirUnu5KNzEeZUzBxhG3DIgQyDHVRlK/NkyInfKoG1Iw0u9cGjsP
hpWgjwUNEaClR5ZBmR3UKyGijT56lweGQ90jdUrrq64s7ZfBEUf5OegQCNpdDy0rxEZWernLhI7J
7hkENLw+3yBZB00FVfGtqxkyMp1OHEhcGUfNEu3OTUBfm8V4jWvKaMKmi2Vo5rm5I3aDoIJ5zorf
fx8zXR/6mdu0Y61227bIH9HgtTX9tybb+WCTj/3vt92Lu3CjId0P3g30h9oT6fu1H0OaLRmKcsge
ByslXxvHzRkElJzuGFtE4AwgYSXs2Nu4Oh/3uEhIMPamH9WkaY+uUfjBwAoN0t9fkG0MHeiRPAxt
zkJTfK5tHeK2Lt+IDK34/cjHc8r0/pvXYceYJNt2vDdDSKaYYaP39mOJl9IOusLDJu/RopsL1kVN
S6sHHnPrGRWjZqeZY7yVMaRCBnPsz5nQtKju6Kvyu3afOciMaHbuRlJIMLqCMHqXs1p8E5yWW0b8
76qE3l/SIOvqjpkfVn5sPagG6anW97amI7pnXY39xvO9BqjOgsiXxiro3sJLddMW/BfrLOiUtKAw
sJQudpKwFlGA1qYho9gQAwhggHjQ8RKJLRm4XcZ/8cywAz2X/S7uoBGUFlBYbWiXPTJD1GHZpc1T
X6q1TP5s9/zv+xn63IhCce8CMXC9qBrG7/pK8FPjp3UgquoOseC2NCF/orfuCgPUbAf9NjbJuCDv
OFEjz6NePy98NqKWf3KZEw2O9gDa6jOUKlkYe16BpjNzCzGeH2alrYTbC3c8zqyO3DmaBlB+mV3B
RlZRzZFG+ggvV4GgDb11JbjJVg4Ipmp++6INF77BhDDhu3KSGSdAzasxfTT7yJJg2dyMeYRSfy6i
24YWR3NhaPr7RcQSZ7k2wnvCkHyM7Swo2UrsuhSKIUcHoAUKPGjvn3NrlqmhoFiqpY+NNZ5SlX6k
opdg/O5/jVn/FP8Pad/V3LiudPuLWMUcXhkkS1YY22N7Zl5Q3hOYAwgSBPHrv8U5de+RKJZY3ueE
p6lSGyBCo3uFxELtVj+C3HFgyfC7oeJ1ZYRTdjybSxRZMJPmdOSgt3k9RNgxZSaEGMnJkfWY+old
elsGGYJXSy8Nn8IDJLQ7VjzwzBpD1jv00JYFi4ZmgCmooNl3EPm1I0yoSVTAzjGQdhO/1ppThh7H
CmhhObshRPUeWuLKDS6IP+DR0CP1CraLu7hpgdnRik1uUf5cFdJ+SsBwCTRWjIchAQVVBwUvtFNH
hChuo1QrvVx8H/FVnsjInSdIksZ/SOvWX2MVmdT9yZnji/6zjfB+MeGDgafjvBaVa8TqRt1jJ9N7
UZUHZGx+2lYhUXJ4SIaJ8t4OMY6cldrq7Kn2n6gmNDEB+AFj96almNPCiV2Vwd6lCZF0cDyOIUhQ
KSjvFJa3rZ0y2Qqyhk1eeLLZU2kVOPpJXWpOwGGlyziwVOm5MJxjTRIYmRD9bXTo3quKbZyQp5XZ
nV7Cs6VnQwhuMrMBNQX1xeullwtaVpXq4KxonPpgp504UFS4osHq9UhWVrbHLKgcZ6XunY3O9h57
mSh7NJjJmrXWtMrv/Sn67E/pwW3SuJ2cJ0mIumR7z2iepSE+3XuCeaaDhhDAHA5edvPTsbcyh+dW
cnY0LcBN5TP7lY5owQ4rz++lg+sy0Ox9QnOqjDBwTc69955B2qgA6PT+11uKYE0G5jDcgyPRvI02
Uq+xa7dHqUITvmKpMAhaOeVn2wCFIw8UKWw8E5rROJxmk+VJr2aZivUoFWSQroS+X+W3iuKjCxZC
AD/Q1zwyliJCTROgWXBuwOydnYXliKp0yhp8nsJ1HvHwdw7SUmWkVdQ7JY2Nm1MtWPIiO33NQGjp
IoBeo4pSCXTdpkrV9QosRp6rLpHGSdfouM0GQ38tofz17Oiy3HkUWC8b/RZYZdnNJs5wpSY09Ta6
1OI/n/6waL4CU4SC8l/9yOs/RHNHY4j70Tg1RbFPy3q/VkVeWDmTzdNESYNEMsq11wF0WuV5PMbO
qTpo1rlao0mv/fz8Iw6KSJkByZ6O74viAd3P+/OzcFRc/flTnneRE9TcLDTg/ZwT6r8V/wXJd7bm
vq0vXMpAKmDVY4PhxJuj/gHCM7WxTO1T4xQ5gTCA4kCPKYUVHLQCBodGDrwJnqb647ilKSDe6Mw2
e4UA48ja+Bmmnj5oj8Ym5079lCmaGnE0wj5yWo3faYrEykfaiYK9Zq1BIWez/5+7C7vHA9ReBWN0
Nvu5l8lBobi7+Nj6SW6/AJTxz/0PMAsxnQtXkzP7AJAYzYocVLyT4zznu7b9HBYbI1AB7MMpoKJ+
iZ7ebARuBXgAMXvt1OdwCsvYAQ/49/sjmC2hKYQFJjVgQ6i9GTcgpdGotdEbS+fkJnrve52SvKkJ
GfAA4/1KqNlkTaEA6EQiMdmfTQbV16sVSgLKgLSKo8QQe6VfJGb/T6qgsPLpEeH0AkHZgvA9Hqyz
s5rraHjjbciB5AHmqE6Dnr8n2uefUH+fFFNONImrzxdXSlF0sKpxOBFhRAVE7PokstVD169RL6cl
dJEO/J01dOxMPMAnmvAc3qm1HRlU2Q0nTeurXQM75ShpoajH3OS7hq0Xfn72LsPNZo/WDijBNsJR
mvmoCIRCxpFp/bof5fZNiDnD4wyFUXQkb1iYel85va66w4kPkxG5vXXHk2kOfpZ9MGA+PbMFUi7f
3A+6sNSR2uEFOnmjwxJhlog4UFcRVSsQVLS+0L/YLfVTYyVhXlrkDtCrEBJDAx696etFjm3WGQxQ
tpOZOr58I+yT9NK/6+EywGwX2SPtTazx4aS+wbbeNzemtmaCOH3j+ZK7DDGN8eJageXOWBQSIeIH
FVpgyq9AEhTiVs7OpYUNkCJkhNFNggXZrIRVqZ1L6h5RJPcVbytgDbOx/9VsTbUrYIkBJzVm3zx2
nJ4NSc5PCfM26GX4I94Spv37/spaeJwBDwIHOncqM0CjdrZr7M5taa6B410xbMxNCrIhR2E0AaTn
MbcgqfY2rgmOLS20y5CzkaUKcL9GXPPTeDTqaKge7g9p7ednX2fAQ5zqLiaOxU+dPMM2/fO/D7T6
pH2MMxpoges11ri1roEI258at/OTqSGxJq28tN0nyywT+Ft8mXkjvoW2UQyUd39Kslc9tsOC/yiL
b/9iFFP7bYIiYh3PNqPMndG0rLw/MR9pemA2azWsxUHYaJChA4cm2fya6QbCoCmu8lOpo+S+y71N
V23/xRguQsxymL61HS3rNX7q2J6PD93nclScV1NXDxUL/HdCj8+mqOFq7mat3Z+8rt43HTva7BmY
us+OQYOhNuxlkMyjEzq/8wXoD1rVCXFquj1a+aju3P/92xMRv/9XhxwZsAnpgOvVqg1j3vdAL55M
KHFx+0+PHkki98TkUWEWK03XxWAOrkcP5CqUI6Z/vzh+XdjbpmpcipOnVbtyPHoAM45q6qud5avs
X8zc5JuB+xCJMsjJ18EawFw9HPXjKf5ojAfXXZm4hZMRKGPAnSfLHmwTd/b7ujSqIm8VcUI/7Iuh
9xBXcpsAAiHP4GhDULb1Xs08f1F4vO+M4fX+Z7vdPSjIapNLLRpg6I/PDjHB29jsjb4/9Zr+VjTq
V1BlfhuMrAzy9qy8CjPHcZl2K8H0GfrTUDp/1BH6SqgU3R/JtAmvr2SEgPER6tngj6Mgd/2Zco3y
DhYy/SmWPzrD3aDmAY0RFkJOJfwXkVDuQK6OmsqN8XrMXKZobtOfcmN8dCiPA27RIGmRChaCrXCR
5yiu6XSYsIo2evyqh7tg+oIXa514pKGGI9ipqYd6g0hDoJa0fRq02Hn0Bl1Eva0GZn4GGjjzW7eK
95ltNei2tvnLCEveKNFTz28aW0Z1b5s+4bzb3Z+Rhf149TdO3+bibzRlrRUV5+zUFmqUJ1D+LYZq
L6GaY2rV+1g20f14S98anDoUeKAINImJXsdD+c/laNKyU0z12tdj5UGnPAI98dgVq+pD08k1X1jQ
OUK9fTLQhQTsdbC2tyqV1g07afpvOfxOlW+O8crHLxqkdivUk/dqruysFtVz+ksYK+/bpZm9DD5t
rIuZbXVF8ZKeshOrGJpm+vBBneFV5KoXyMp+MPgao3RukfR3vTmwPUStF5UlGAdfRxT55DJnMHYq
1IpN7UftgRopLJB11AhK0WePTWFk516HTkTaWnHgtYBOWa3WB7h7rJUvvXQ+obSCXFs1p9LibFd3
tCgLnsju1A7gSLBGOee8+C2SNdzb0oq6jDPLFeHFjNKXisZjRY9an4VKoQRZkQRd9Ull+f/ML/J5
pCpTE2neQ3LjonEJaYHMTZT4H8jGMD/Ps+TX/R2yOG/oDABjaeOpPweQ2ZxJYY9ad+o8+mWsxgen
EVHKkhUVqTnS++9oXHQDpksfGLo5X4e1nZEUuoGei+Qy8oZKRkQDFol0iuFXyPrDGGCIIDaa4iuv
ijIaTUeGwLNo4BI0lk91DRpGFZKSslc/CZuc/jhIGAGAgZoADOrmVwLAw6Ib05ydKgiKoEfiG/Fe
0ffcer8/2Qu3G5BMeNlAHtpQUYe63jLMQgs85YjD1XdR/tbaauVuW8oRriLMcoQRFOlsKEqAEsWm
AQvMgZE3T0uAd19aDYyR4Q1vd9/WZXB/ZAvHz1Xc2dlXlujQlzbisuaNmnHgMqhhPLD8OSNvn48E
AYxJ7hZ53e2RTqrKY9NBZ+UfcPlIxIlXvxne8PL5fqClj3URaE7R63ViQiezx12lwyH7sGYYtfbz
s7XgqSzJTIJxCMBATI8DC7FW71pcDZdDmK0GND3K0lCmS6E5jbjbnZqANZhvyu5N6lWIlRLkWrYZ
nZWpWzhUQCjAdvJwct0qgOoWUeDtnTAo8pZj1NdmF006FYfYgIfK/a+0FAqyL9YEiYDl0Ly9CeJ8
4dUaKtOelx+cxHxIyKG1Vi7XtSCzeazKQYd998BOpJPwk3lnzkcKgtT9kSxtocuRzLaQ7TCQ9F3k
Rom7iyeUhf1g6q+W8dX0wv8t0rQ0L3IFCv3SrikwHJmEqRPgpc2sIGbHrFs59ZfW+OWQpnm9CMQN
CUytKtHyJuOjGlvPTm78c38sC/cxhPT++/2nf78IIQo4FRsKZs3GWyiu/kkNLdABylvT6VgciuOg
/oESPwLO8gu9o05CC2ylPButfWxbaigUWUf3R7O0BlC+A4URSOSpHXQ9mjIH8cZOp3y1KL1n3qKb
0+ZqDTSW4YZdWtF9x2X7fj/o0hReBp2t7mTIEkEqbCGtOAChkhgAXRyU6vV+lIWhgWfkoEoNTAoM
JmepeJvkbgynx/6UjrV80iUVD2pRuzsXylEhd8fuKfP6NXbTUpLqIK8BAgLkU8zpbFNxFTtp1LA8
pPJks4/WsR/bdIjgBxWAcbalNg+t5EiS7EiICFu58t5ZODggzI52A3SlcVnNV03dewAGZ117Ykbl
D7EJw7U3fY2/uzCzCIL/4VY0Qa+ajRHuDCotadmeEs3bpzEgck176AWs+op9w1dTjGkNzp45kBT4
CzIHDwD9xus1aqZDV+Zx1p7aMnuyCqL6etbCKjT/sNgEbc/z1I+5+Vry1m/tJBAlzTb319LCZpxq
EOAgoPdl3hDzeJGQdiw9imZ29sOj39OhX6NbTnn8zSj/G2JOP8ADBTJRzKGnXHtAXfWYjTYse150
mfmN3T2b5r9YKfDOmD4hVHpgb3s9q0YBRmlsmvSUVs2H3YtX3rMXRSB9uz91C5sdew+/jzR8AmLM
vl4vLL2VnU1PWmbilXYs+69992Sn3++HWfpCqK4gzQXqARXj2bHMPbCDnLilJ/LUWUd3zWV4aRR4
403pHyAkN0t+rPoBX4JitpRooI+cfzAHsPCV03hh9wLIAPAcXpVgSM4rKmCuN+oIWNypLKw9U1gg
e7gC5WIlzMJSm9RNJogWADHwG77+9IBS5xUtYhXNNPG7SczvpPN+db17KEuF+CPqOr6Gfwruf6Hb
qFObGk0jAOGcW5hW6nTeKJpRPVlQSA5lL92Q6opvxyacIvI4GAmo0Nq4Vn27XRhTWBTgUZPRgIKe
MBIX93Uh5ECVqlBPjRaar1zb3h/V38m63rfXvz+7QfGwxP3d4PchDFr4EBSGJz0MbcNeFCe4AkZ5
aW77ofupp/U3vGg+2lZuGgVFGk1WgVIwEkrN2ojRPcle8b1Eh/CY+SUjxkPmiqeGe9grOjsWkvJQ
NfpXaDx/FXEc6HGzrV0eaTp9yasGwCkOWlwsIoI6XAccv9Hbby0U6vHWTtFL796q1n7IByuwFSPQ
Ou0x53yLm3OlAj4HneBtC1LJpPKN0iBOynlfxatsN7PzARPeJPlZ5m6/H2qmHyuh8Yc40bVnGICm
3AexoD57pvpTUbr2ZYxzz/btfkvso/wxJH1ThErq5keP2FVoN+7PtmlRM+36cWU33C6Qv3/mpHnv
oFMzLyspZl87gITax9EF0+ZbHN5fIFBvvznZbbSAAE1ETRZceme6Ti9WoEPzMRlrZh0r1y4DmrqR
lY3fWC8DQxsimLmkvkbjkBL0UCtjA5bh3moNaEjSagdFyw9QHXwmOkCTW/KkOO5OmNlDVbU7/FxY
w3ZEzesAcghI3cYOSo1QRqrcvA9HgQd468ZntevyPeiEcIgpzN/66D7GtY4Ot95+6Zv4UBbeE63b
+FHU7bFPalSNUxrZNXgjWbrNjLH/ExsUiHaSsbCFNbXfOJAsrsiwFY37XmVdBjiROCWiGvxcY5Gi
FY/6lHykBjX8IYGJbu9JtqMpXMfKwdR97hZDJGAuHqZ5HuqO8sdtskCAnuOmFWg7NYwwFeo7HCI0
0DRK/XxMuw1BvZj6JCm+C9c+8Kp7Ty0vHCp3Zzb0bGnsaGVZaBjJc9clO0HUndl5jwRS+mnG9pAs
fgfHepeY9gP4QxDr7UPJZJgPxUaz9WMp2ENW068OaXfSig8yKTY1alOy+17XWjgwK+KOcoTHDM7l
wYusoYEF6PhQj85XzSbPRcLRN/ZaNcylfYhbFVVIOnxAz+K9NoYQ9dKTXeoRHTwQXIpTlQ/JrlQ4
kOeuiPQEK8HVoyS1/oH51V6Nuz6ovCwOKunFvhiLZFNrcQpKQnqSRoaK45A9p4KFRmf+o1SWszHh
QhQCqw/BlqH6YcROu6dptrV72LuhnmU3YP8YY5j3hbm14nJnOiXIHZDaDEDTAhjZJR9ZmrT7ovW0
0KEqECTOELrAe/ugnSVBHzc/RAfpMJtYK3jWhS0IATQAlaGDhmLdnEhYVrU2sJxbR1Pxfmh1/Z7w
lU3+t110fUzblyH+Vi4uNiFeMkXHRG8dVY+pJ2LqMcQPB/19VOpqDMBRw9lkGaGmbggK2GN45q2+
U9NMjdryj6G62wo6uQp0j8VvSsMOi+pY9wxdUYPap1Jtwd+xw8oYeQT3bxlCM16+5ZnGDjm8ZVbu
nNtkBIVNCwAVA2ctHhuzknBKEhXQCE0cbbsJmDgx+Ey1zYsbJyuzdntyXQeaPaGAl7aczpBI2uRD
rfxGZyz5fKXjMgRgUteHY28NXMETWhxTGChkXxu6od2niynXIWY3dFOBc9hM05WXkYTvpPJDXUsP
3RnSEpcelhdK5ioe7BNpZTZToKs0BJBg62i3TgWctGy3utu/VMB0aokReKAkGV6fh1KVw8bTUn2j
N7ILW1X5qbMxaow+JHlSRjH8xyXn0JPx7Oly3HElf1bs6lsv2hAktWEnRVHghI2TQ9bB53oUHY0a
BnZjLumrgAv2zlayoCXKd5U2T4OiggQ+PJfSeFLGChpw5iEdhvwodF7CmW18tr0q4r251XEB9I35
jeTFD69M3ou4tHxwrLRAa1skDZ74qDL+w9K6g642x9HUwpQ3R6dodvEggzzxDN+Fts3YpT/QvEEq
Y1mHFM29zRjHNRic+qGD3nTOzK/qaOEuo4HJjUBt242ZcBS6gB1LuPaIrfmQZvJFKwzLHzLvgMLs
y/0r+fb9io8FIAC804ACvam+J4ULGlPK7aPV8RiXGW38ph+fez19rlXFJ7a98ga6TX0n6Dl6dBba
dCDNzwoe+ZjXJc+ldvRkBcWVJHHJfqxE9zLkHpxJwS/GzkrG7lixsd7cH6w9/fj1yYcz2gaLHgWe
BUylq6N94fRkOCYQbTtQo6WvTtmVu76jRsBRXdqCU5e8oqepTMYe9j8FgFd7AHwgQhqrxh72B+1k
Req+gb9rHdq0y2Fd3RSmbzkJSD6Cpo0PRl76MlaFiPLY+qdu9filH+smD/SGxV9EpvJnvPCtyCpi
iDSgBaO+6Y2h/mQECogm73ANYx9At1gCkQn9v+9EtbqNVzveq0t0HECjUqHMRoeDIxk5mKzhj9RN
0qOipDREibl7GDWIEfOedNAk0NLHngnofum584VxMn4lxB5eedXgxEYe/FvTGfjSWJlBCr4s8Wli
KyXE/O04yAhvoSkqjC10otdqrtM5MPsYOCBQF8LZDYGfedcwz8wBr2SXHw3WfWv1JKIWD1xqhBVO
idKiGzmQ53RV4XhhAULsdXq4qpA1uXlYusxR3FRPh2MNEE+f/qnT16TbFQnaiCBB1NbHypq7HSWe
yFhvqCjiQTvvJOK94nK3H0fcG1Hfn3m5gxi6uXau32YNaAVPDBgQXHHyzkFi1OG0id1qPGb0aazO
n4cfAvJiwa7KhCU6ds+scDHATLyjKq6N0htKuBibiq/18btqw/jm89OFKwo0BjS1Aa+eXVBQZS0d
ERviqIkXV99g0QnncViDoy1kDYDT/TfK7BDCqtCaYdpLjpH6cEncFsb3bir7W6/3h7OQNVwFmk2c
QiGcW6sIpNZ/8ICAbKaqvv9vIaalcZHNCd0VVq4jRO4FsTgyM1CGFerr7SWBzz89YSfQ+y0DtctN
onXlNF0Mxxu8JJMP2gUMSIP08+kcyEkW4qBUrd/IOzWa6GVXa/yYWw7/lZaq3OawjDqnmaFHkGEB
3v7+7C2shIkNhQ403k64CaehX8xeUdet2Tc2P0KxE/Tu/MHEsCogF4hYMyFfmEWAx4Db1lGStjR3
+lMuQqmWNMcSN92RM1vfyT6V26pp6K8y8cSL0alZ4IgBfNH7A1w4GcAdmap1gCjhkJ0N0CAi76lS
8KNltjRqR1XdcGdUVr7bwjq3gL2EE+pE6bxRO7aMtodWZ8OP2tCOX6gYc9RzYi0ae2MNmvEXNzS7
N9BxnIzEUbADmmyWX+aqFoOkk/NjInl24qVZ+xqkcc69TdmXpJHGz3zs5NFxrPjUSql8ZEmewlrY
HgA3K6vvnXTTPcGtHTUkkQHTQeQrmRs/e9zDc7zWCApJsHUxKil9u7T0Poi7sogKOGH4okigkSE6
aJHTmm4EL9xwaGV8wIXfB43XqT4uzuEhEexn15gcaEcFe6avaTSKeitUgdcmbyB1bFSQf8Q97Y+2
iNoEWn+Dm6fIQkTsA+8XNJkVb0xhoXdRON4uNTqcvDLRQ50q1q6vYHZjZ2bxDk7xb0101m9PSDtg
TddFnan1e10bSJQmHd1mFc3PatVDV65Hr+Q3UPDKsXA7vfANLYPOiN2y4anLyFCt1DmXlgWWBKSd
bWBAb+pJTRnrUgW75Gh2KjkOdc1+5JB3OWhdPa7U2hayCZTVUWIDcN1BHXe2zmVLGiPh+XBkSl9t
pG2555xwcqYKTCKh1GREpKuLg6MX5Deeocm/GOkkRgvtXWAj0G263tw5yxUgb9vh6Grjz7YHz9vO
4DIVF2uA84VT5OrBOxtnrxWJAa0hcUyID86uG4cufxqzM19ztV44GW2AzjXMqYcO1zw9g1oL9ZTC
4MdBPqFtB8HOx8p815Rf98+npXQMyRGkxl1ID6A8fT1xY6YUrnAIP9q1E5DYLP1yLL85Iv+pQrRw
0qR5k1DmWDkVlwbnooXl2nBkACR1NotJMYDFlXF57BKgMuKztH7EWh7Ick3L+iYQQLt45DhYGOgv
4IF1PTyAxT2bDjQ7m94B1iqk+1YBAuJ8vz+JS1FscMwBt4QTDg7H6ygaAfMtt630zDk87geoX2iw
MnAA3EpX1vliJBPvRIwGYOT558ryxkSXhKTnzDL2WItbk9d+X9T7wnYf7g/q5ubC1LkWGiQTbRC8
h9k36rklBxt6P+exfHQ2jVxJam7OJvy8B80QpJogV9wU2ka90UkJ3Oa5VaoNdfKvIyqSNpMrMIy/
Tb2r62qKAwd4tPwcHQj12bcRnoqShIDHgGeUodFA1Bcl5Jc0P5L+GYyxrHtpoO6DtoyfiWeIDq2s
9Jvz4m94YP4nIPQtMNbt6rzs1C4908GZatcvjVB+9PCIyEizlyCq3f9oi7OKV9v/CzfLRiGQ0hSJ
BeGXXLcgVJQHmvUt+TRNYjam2ZSqphhKa+TpuRqY7xh7j63sp4VRYNUZDkTiYW+OL3e9n+IEuAVz
wCjA7A28UgtK862sd/enamF9IwikiwF+dG5Rs0ruJJAvc0H3L74T+20NK7Dw4YHLMtHFAWkMiPTZ
9sG6UynSluzcqCgGKOhFPlaxyT8gMmCHWeFkzx50ysL7Y1qcONgEqGB8TITc2ZcZSjeWg4bjAXzr
QHdpMHq7JCk+fwg5KuCiE9AeF9Mcd2ZbVGlELPH9jcTvzadKvGVs0oxb+UI3dxMuP0SZgKn4P2Rg
r5eBWSawlLec/Nz9Req5Qt10DYyCIeP0CgNp6g9gUAZm1ljb+9M4ly4AOhWRwfZ2dVTqpz/hOrJC
KTCdIGWfDZpEmmJu0cPewGngh9DZjtfN79ayjrktQ5NWB73/cz/87VdEKQGWHwARQvcPyL7r6BAU
K1y4QNVn9YmJoOj8+NMgEsByLiLMO9GVrpZmYyMCmrrWc0dp9SFyna8tlMWB/C344YhHiXg2kDaL
iZFocX0WYlP9Ev1v2326P1W3mxhkrel2wpMOfghzSAfvvYLKtmrOZuaxIBvMNlSbYY1KsbAeEGby
AYaEpY66yLwsIvQsb7W2OatFcSKqDmGwJKq9NyN7rTLz4EotTDQbCjroAXblyqa+GSNgJECT4D94
3C0APgbblTTT5Jkx7u1YprANOtvsswn8LMr0V1w8j5VJcrl0J9Mxsk1H4B8gQFWObkTLXV1sTdn5
uDzvf7ybZAYhUWUCjgUVadDUZsuDwmIKvrmVena4IIcKD75zKUgW6sBnhp7RZiuLZTGejtIW8hko
IczLaJ5XMZm1RJ5FW6bB0FiRU5UHr8l+9tAUuz+2m6U/je0i1mw6vboyDOIlcDBv5Nk12Ja34tmW
WvRvwuCKhFUGqOLzep3SxGjP4yA6F/CJ8WXbBYVwK5+2w0pisTB3EFuA8BqEVIDXmXMl4DAG+TMy
KmdDP8jmPW9PRvfBsmRl2m5Bi+DYqrhXIAiPqhCA1NfL0KBdToFRUc5qrT87hvBlDsqEfKwseCOW
EFrmWhW2rbAOiULYA0frPHI5TDfvz+vN1TP9Gbh5AK6F5eSNcpQixhpADKhuyl7z1TiK64inBPJR
L1XO4Se9uR9uYbUgHFIFbbp0wMK4HnVu2Qo0ADDqtNhnLoSkX/s1qdqVEHN2oUdTxTJJryAfOSn5
N93esjUc37Smr1Ltv5P2/0dhzE7JAjxsVLkG5VwUm6Ha5PlK3rE2BP16lty0xp5tMUs8r30gZqEz
Uvj68Hb/Wyx9eiQ1AFeinoFK02wUplqXSqm45NwZPxO3CDTvy9DtNOXRGyXe+2tS90uThrrd5CLu
QXZq/hSuskQ3Yk8n50F+T6GXTds1vfC5VzRYELCluwgxjfjiaB8V3vR6hhANyqIHuzTecjAPBwg+
n5WiKR/YKDw/7+q29S1DftG9OIcZ7/hhCCuEQGhAiPFcpza84Ny+WdnwS98UtVhX111HRY432++t
kTVmTAg5F/KxhjiVQCvYWyvaTD8yX5g476c7BrjMGzM1mFGbIxtV9zyi1LD7Sh6NNYkd9DDvx/Bm
6AGe1KnJgM4468LVzmOBEmzFoWncDADNMBfFvlI0P5vM8TbcNYZvtU3riAnD2XFgJyAb634Hfx5q
yFn8iyEtDDUGtRkVSNzAol4W8tLi+xoh9jpa4Q9U1ftdXHEFFUuOWmSnO3yrqKzeaiV2eAztrd53
1d72TYhs7SDMnIVouKb+OGGTc1vTYF7Q0EA3U9UnVvrD4bYWiZ5XqIpadsiAuingdg2BRFcJzdQE
gzSgGhhi6vOArrQ78jqIW5HATN0LSrWA5G8WK/4Y147ftbCEghqpfjJS0/ZzXWN+oxkNjPhEexgy
rTzogzM8qKAUbjPPrg9p55UBIOPKUanSb7RygGmtXVF+Y1ygpivSog5R0B7B+x5bZUtl00XcyKyo
y5PmSxZrxgP4l857GSfGFm1vIxz7tNsPLUn3VW0X4Csq3V6Bj6avlun4yByVnZPEAaSANwB8QsZu
C0mqtySFkwoZHBKNulPtTcmyh9yz2m1fqk3kJSBBJKjuhHBktYHaYcUZ3CISpMQqAmTRmM/S7sJK
wUVMcm5ErW1UmwHk2E3nKDCJc6EQLEQ8HOouMfepAdRM3Gv5g9BJE6FVgMZEAgce6P94kNkWOuxs
zSQYGyFCAZKtnwhnPDRj2+MD9cOBuHnpC3Owt6pU+6+uMhW7M4ecWycjmwF1qTNznNS30iH1C3Q7
oJIDtISpKu7GtMjJIF0RMZIDrQ6cHgxnVPX1/ml68wwG1GDqfKAJAuQ18ofrs6ewPcpSt7UhQ2gF
CXHDnIxbxSEHTtDKLPJVKtHCgYKA2OPQisVFOsd8aloXi0529jmDKVOhyK+moh6FZ/25P67FMFMB
CxVadF7mLwK1GTO8S4h91k2q+Iqmf+t1o9vWutU83I+0eHghLzAgEjVhvmf3UQFxb94R2z3DQjVw
EsCTB60MgYp+y3r9/X6spbsPQth486Jidsv0SV2rQaYXk7MnKtfHUfpoFvlR0QXAf24NZlEeaoW3
wt5fPDnR3katEcD8m9SyKVKYOxUdOes/XLhdRfeHtPbrs6ShNTxZKzV+3a7BewEo0+pXKpkLSxzz
BXFFEDIwgvkSB5aw8KQlyFkri31sJNuCZmHlWV+gdVv7SmqvLIilEeEtivILOh0g9syKE64zZJKj
nXT2ZPkbkvRRm6X/YkjoAoPMPzUGQBG+3rUjylU9NwZyhi1V0JnqwanhqaD9olYXJcqaV/jCXoIP
DfRZgQrBW3DeIwUBi2RlrXlQIQftGTz23Mo2hVxDV6+FmaVBWTZwaFJK7yydc6pTXxl2SJpWHg5L
i+FyLLNMviuNAXATBNHKcz3sysY3xKEB5patAFWXtupFoL8wwIukrukzKbiLQEa/HZynoX62S6hr
JQZc//4wa6WMvjJ38+NO2p3SpmxENO69Gkq27ezxkeAyu79ZF8PAeBQqRR5QO/NyDjhUyGMK4Z1H
GdTZF4CPFGV3P8TScTop00FBEJK0Nz1R6Ks0pisn+d2YBFwlPnBYbp0FIAPcDzR96XnSiS4NFDgA
7INNzTTWiw9EIP9cNQ5clRTADYc/KfIs2Li3JPJS5IJgYwDw979FnIZ+EVEnNOtJgogeo5umhj5O
8ySsHzDS8of6IdEbkFrW+huLy/BilNN+uIhpD8hl2xExqVkGeVUivXqzPaDsm3LDChoMwlx5BS5+
QBTDAOZCTQ5Q+euII7ruapwkBFavGwn3ndgCzJx8z9Kf92dzMQ5QxVMfAotlDm0eeRfnaFDBFYvZ
/0faee04jiVb+4kI0JtbUi6tpDLZ1XVDlKX3nk//f6xz/hmJIkRknYvunkECDG0XO3bEirWgL4SG
If/qWdXOrVdO8pI/n24PdiO1c7A31wOShDYChOhax7ykn9DcBs2aYOxt/pIXIH1WwP24jagPzPYi
BftYKdteP8K/c0wLdZ+Y+qei61km7UMVDlugPbE96QTAyervrVD5eX8yFw42BQ/iQFOnGnej1SRE
nadJQaIfpQHe16T1MmcYEZw0C2Hc3je14IExRTchOGgg0PPCSxRVYpOREzvqwj9jf/A6XhKRfgjQ
DlmlflgcFo4K+CTtmKhCXS9dJxZRlQ2yfqzC2jZcZYcS/K4r1rJRS2agoJuAmkgKUy+/NgNsqsoz
0weG3VTHSpRbW6Fhcteq/hodIIzIfGvmttgoijFRF0B8Ot8qEzQcXdFOO5bwKp4HwWhgpXYlO/BK
OnhetbZ1ENYRqBX4Rbkt9IDaFpLOtlDmvxKxzf6hjaYvbLkupQNsFRDua0kJClxSz0XkdU8Elf1O
KLJgo4cJEtZxl482sWHtaIgpbfhVv4ZIAkcile1Hr836DT1L6UNXNPlD4Me6XVmljiCKZz37hUtS
UGsrB7gSzCWBkBavnmApJ9n16VnxksHRAyMibTdqe1eu/aOb1RHK9rW3ldHlJRbM2q2XjC1S2pr2
AaEN/aEAlGuXotpucqQCbF3LUvRGm/HFC7vvacIvMAPDe+zAdDsVVyJgbRH5GrWPHmlThlJAmnRI
vNLa54WovNRthRhR0X7yOrHf9xl3mqeF5pMJgmjve27m0KTRP3lxVBP8evSBhN5hVHchMIJMKp40
sjMBbqFJtwHN/jxOTeMxpyB2ALHR7kPwPU9SPorHwVCHc1J21icqLvJT5WniVhDE1A7lSLTVXhEf
E703fqUuA4pKZXz0ASZtYpRNHhGo+dN5Yn2KStSz6PGp9pM4584EseWgRS898L9GW4kaz2nyoNnE
Sp2CoFc8m8ccUvFmRY+Up9AoXE/CQmotb2K0bDeGOzYOhyd1pCysNxK9g7+b3hD2qRvojqgE5mMC
x81LW2jqIzos3avegw7yoPN6Lko0Alw1FA5R20lvkS/WbCyl7+2gNaXPaVy6K6544Taj4kjrB8A2
UObzimOnmbmaVDp6SP64TePPQvOr7XP6IeDf6b7n1VqR+JalhOfxpcHZla34iJYJpqbR43Msk397
5Xvqvgb+QVPOpDvtShyddg2qteRNLm3OrmyiNs9sBGzSSuO1m5JePH133wcvXGkQ8nLqpsoOEMGZ
iSBsYCbQXIPYp960PJDdfH/fwtIg6JKElQI95mm1rl1i5Mk0A7Gdj63yU3JR7BoTkHxrHeN/mNvn
3hD1bmp+U7/kDXFmLzdcqmDOjlGqCTtUsrJDmUOyJTTZ975p1CfEfZR/YlUPnQHecwfJtHITlyEQ
uMjIN4ygOodJbb4/HIf4mH43k22Kl55dCFoXyegfML+aaWdi6xR46dpz3j/FsEIBBIfqQDHnGU2h
iYXQq1rt6BW/Ww+Rpo1V/LpvYmmfXJqYvTPzPK6V3sKE9lyZMYpQa/ivaRvM14/KGHyhpKFuuw26
0G2QSo41CrfZv3rnjgha94PtBuKbVlZE5OFak+3ixoQlTSbfTL14XvPOIy1O+2jaMYXxGwyc9ywr
erhVIijEVyZvyVtNmo0EVqQfbmEy5JIjfxzNo2eGxcbv6Odq2uIfFHplRwyMn3TwJBsXRP/WLDqF
3o4w2tdpOLFiwQg4Wqr3qjdaYlPlQOUmyIJdKY3Cc0CgSM0L0sR2gCk2SSLxQTBDBXnPkiQ9QnKk
MK3eyYJEeshyeubJVupPnl7peyvovS09NulbAHXZVheEZqfC/5zUGuxBZHk3TZrx/3lxkRaNemCv
IHJJpvYkJXt1y60CQFqE/kylFZRroOUuriDaNktYRO7P38r0zWku9F5WhtiVzKPRafBBuf90bbEJ
dNmzAQzty6F1pBTtlPtGF7cHVHOKjgrOLawzUzK9ph8Zo+3wPOTZGxC7T4gaGit2lk7WRJj6/+1M
g794l1meWPQpEnnHjqzAEAS2Oq6p+i48kCB7/a+JWapDtmI6pEmCHuE9k+OnSmOXqx99wrH/05T9
6fK/GIpBb1SqlgzFK94aXSI6+bwq/v4nhJ47iovBzOvbBeoUMbGnecwzUoRB+inWBVtWq9emCn5G
qf6R0RawoKiHSAlewlC0tazeDFq+EoEs7w/uBfADCuC06e8XgxWqFKFBvTKPrRA7Ai2PCZ3ukIxs
78/pYuAxNUXh3dHuIdV7bUfr/TSKhc48ipG7cSFXQkLVbiX1oA7Kv6Wm/qxD+snH7gENu5UMzNIQ
iQqIDiZY5g2dbi2mSosSy7SejgArK3vzw/3RLVsA7wuPFKiIefghl9mYZFZuHvX0VewS5vBDWn29
b2PpgBF7wNVAEEJL1iwAEd1abAlujSPifH67q72VWbpljSQ0vDQwO8GaYOUlOoXkKovXUPg3MRuo
Fw6a8SxGr6a7bcj0ddaha1CT0l6a/KWParvpft4f5eI+ufwVs0NeJHQ19iPDFJNXBFLt0DdRP9xG
GUQ9ppP6vyQX/qPf962uzK06q6VGvQzYilvgaCTZsYv1tyo2V5zK8sAAbBO+8d69QY4ViY/+gR8a
x7CPjkUxPJk5gAU1y1E2db9oQfyNZ/fHunR/hLK5Mqt/8BxzbzNVjuCUnjL481PuG6JbaVJGfNwo
hejUaOI4xuhWD2ajNge9yANHN730cxwM7rHyebPSl5WiDAK/BVqB6Jjlwo+q9ViBqG03gef6B6mV
DSjL+24TD0ayzS352zCUOnVky9o2lh6irySKb62uAWcB9r+LBiS53RS9cruTAV/fX0Nl8RBSGAFo
CJAH8rNrD5OaFZgl3zCOcoSjbH7rlZA+t50uHww5l3ZZmEROk8HmUIwZsXtdmrs8kTPe2oPFfhaS
M8Jiwj7xm/bcwUhCAXM0aCWPAm0bVg2URIObWDaFCvfgER7hSHTxse/dci+RbXAAVgoOeIbikUe6
+mwhPoQGq2adXLfJtrlQKM+FRiE11ofizSpX3MOfC2O+xHDIA0vU6b65gfR4dQ2hf1yRjE3JRxTW
93KQvowaQOY6+2DUEfVJ9yya9ZHUx1kSSkBpClTto2fL8UgaRPmSiNFDrYStXajFs2/+9tsAoLqy
dhIWDxvpVOLwidJMnq0TNB3VWBKAHAMo/RSt2erK4f5WWN4J/7Uw/YKLOy2o1XTQJF4rYhNskqja
CAmsAun7y4iWDukmkw4L9Q3IQ/N9CMdN2TiaefFJRuVrNOQVE8tO47825k+ivJPkMm0045g1wmPc
6ORM9fGXiR6B3UftUZXCbd8LjylytqO/xiu2FG9dDNCaPZbUWrWSkEN+7GG895Qvhn7OyKzBZX5/
udbszJKaYwHOT4oZZIEENtoj9WtWbOQ1Sv+ll9mfBhBkzVmWm6pp5UMfXaTmsXnLRvAv1LYLW9Fg
Zl0JBhb399Rp8r+GpuFe7D7Q4WhQgYw/jqqjsE7miqNb+/4sEPBLvYIaie9/gWZgwr+sPFOWvj8x
vPLK50V5I3yLxijdTVFmHqXShbPIgq5aiP4i6qRtCVwMCCxqsLOtJam9r3gRJzStNmLywftSp3+x
CryKJ6a3qaCsTz7iYhWE3Pd8vVUMMuWyrWcwfgit/O5mW0KmiboHHnK8+033OpCYistewkibHkYF
1oY1ovvFxYDGeqKwppYxJymVIz+Qk8jimeBlO6X65nrmynIvnYspnpxgM9PTfhZwiYUIQVDmW0dP
PFjyd+LobRg9quV4iLwVd7bkly9M/fF2F2viw+YVUeWi2uq9SEZqV41dKx/vO5PFCaNKB8p7wiHO
SxeFJSLYnkXW0RCHEyXX01Ab578wYcAlQWFLIds427xWpQ+epLXm0RdJzJX2GKwVVhcHcWFBvt68
UTgacenxWMoTpwrsv0D/WlMmk+of5cabrnt/bLooccnjkGjp219lgFLD/v4cLe4q5IVo+6A36Aaj
4uZSJ+mJi4mCRvcotrg3uljcSEkmOmXZyHtDhu3zvtHF/WUa+N6p/A229XraWq32UiWeOoGhUmy1
p6x96s2Vp8LNZaXQMk0pWOKt/KdCdm0j7kNV8YUwOnuiINna2HyQKGWgp/5NRY/hneP5Y4sy34SA
vH1WmqlvNKKQRmdkSF6MQf0UqMnGUNKf983crNXMzOzhF/XmkOhVFp01naelJ1ObgqvPE7ZRlOL/
d/et3SzSzNrM30hiKvSayqBynSYWKNtyisCBvhIO37dyy62F/HMSZ0l0Fton09uJ5TFbE4hfMzFz
Awjg/q8JozzI3b76Ka+RVUwTfxXSX00V7XXXey0vk7LmRRqdY6V57n2JN3kBvZp2ViT3aHjdx0qW
V+ZteXtP2PCJYY0g5tqk7iOEEVp9dC5Rp/H3UbbzqYDqK97hxr9NA0MRHGEt5DMJAq6tKIreCWYh
RmdL+BKdzOyf+1tscRD4Hgg+Jjc3R5Px1G2szM+jc5vLkS0hQEa19dA3w94s05W0yZqt2Rr1aW0m
+lBFZ0Ohbn1ADLLTtsW4cnMuHtGLEc0mrPDNfIgTRmS4VghjU7+pS/W5Hc0HHPlTO4zDSlSwOCyU
lInPZO0225TAcjWIpReffSSAo3OSD05pCEgprcT+izth6vEBLrLQyY4QaK3LRRKfzf5BCg7vbgic
NhohLFxMPDXJDFxvNJrkxyL2zWk7fxOFD0r+ow3f/mKzURWEMkeVb/M6bp5XlHwYQZ04o/YQxnab
HOC3vW9lcZ7oTQb5xFuTBOr1QDJPiVtvWo868X5xh24zQftx38TiktMxTrBsThr2s50suIEVREYY
n6PBydAogAxFAv+9srEWfNrEGEitG+AFrGyzgcSp7IpC44ZnqSkeGK1MJqYu7aIDF9SbL0YqvA0h
SYn7Y5sulZknvbI6jf0i8syyONYNz4vOoDdeMzD6OA9H1ZqPVTr+lnvhm5A3u8zv3vvMQa8VHUGo
pnlO0ds1G2yaa0BAzSg6m+ZTmUd25T3p3VrJcfrIzdh0jQgeNrCJeeV6bF5P4JGYcnQulP04voKW
DdZomhZ2H+wP9MixPShtzlNred3EaY567zmOnQqAwPs399XnZ6fUTNM8kl0+P9Iu4j0WxvudDEhf
5p/SNYgYcfKuF6tft/4QpyoM+rUCT7CTroCXl2bn8vOz+KnJoSvvdT7vJds4/Nwb+cruXTiZqgoa
AJ4FaBtpPr7+/Z4pu7IVqsGZrkzbzGjvkf3DgNJQX4x/Y4p4nS5ZfNpNy2pAz1AhU4I5G6pvFykc
WfJvEYaiHvzy/SO55Ajoxp3a3cE63GgLuVFYiqnfBOdGy85KrB/EGirNwapsNRf+h365q1Z89dJR
4WQzNHHy1/PoZoTeBpqpPDjLYXzqLfmpq8rPHfK694e2tCF49+OqMUQGbXZbS3KWm2oQBuexOHvj
q/L+4wKBBOIeKFuR6J1jo9sxkPO0kfuzXO7Mf4N6e//X34I36Q28/L58vd0SsysMYJL9Gd6pSNN2
ufray9C/mbaUPLbWJ6/8MtLPrKxJOC4EOWRseFXDBGdxWc+mLUECoAsjpTsnkMBq3Y9YeUqEBySC
87Va18Leg9yQjkvoc8ipzNNPRtIqqeh53XnMzkLzNITArcavcIIXwz9itoaGXdh1WCMxj4cmmpo3
2yoJVZVWUNpzYvkvQqifqlT7HNRrPM8Lu449TVKNt+nUSTFbtr7QRk1o6xYn3aIX/WY1K0HomoHZ
+lhWLQ9FS3UEWcUm26nvBuPDOXA5gMn+hZuuoKnW1On7ZvLdEza9uDW8n/f39sLCX5mYedLQNRPP
GLtpCJ/ELtiAB8LVvOpivDXTpzwVN/ftLWzpK3uzuKN2a7/T9L7loQPxm5xSUhpsfsEuqk+luWJs
mp9ZIAAXKOV1Yg5aGeYd14HVdHEm5e05LD9qe6n9dH8sS3N3+fnZe7dpRNVNDD4/0E4QQWS0sRCQ
1pzK3xfJl/u2Fo4MQ4FWhjuP/8wdtWdpMPQVWXtWuleoKDfF+Aa13IofXbhWTSDbFkENaiCI3Fzv
N4j06Mgu5eYMfTkcKw53MIR5qICY3f7+cJZWhkeITuiBe7uhMBTMKIQ42mvOPjLugfpjXLnXVr4/
X/k8FVq19+LmXJ8qaRNlm/s/f2k1Ln7+vM++Q1ku8mp+vqI9BOHT2D9WxUqItrAWYEOmyiVNCdCP
zEK0qurF2qAb5xxIj9wtsQIW5DVZQ/b8IbGbHRHMULajFk7HzzxDOERxIkkJBVBTbe2QfgS3+JK6
3135rYs/05X65h9a3TZO/i/BdHx9V0mO5h3uz+btUHnHwZEIPFCG7+dP9/yFm8srC+2o0a/PKr8h
Vh9CH52Fb1n27qiU3n6YLUi4I3LEabre3fyGLBboH+G4QgyXkWNbY3i43XXXFmbnp5fzzComC34O
CtvOo5Vtt/h9iGgICdB0vklTC6lRZGIoV+fgDQb+Pvt2fx1udzU/n7n5sxdugwC5iMs2F8OaYPCg
Bg7dmkn73nPPo1MiTyxOOuI8m2a7ug3rwdWgYz0BVGxRoqG6eX8MN1M0GbB4YFK4AU0295O564li
rEbuKX5Gu4T75f7nb6Zo9vlpK19sVRrMk6HV+DxaY1JT2aHw09NWEmhrQ5jNUdUEMJi7oXtyGwXF
4ghsyIqfX7IAZJpDT9Lxls7YUipPULzGOmXDN9fcJn78F9N0aWC6OS+mSc8sI5GtGqRHmYm7sqIk
S9lQfc7hQ1+ZraUVwUsaNJtTe2Lxr02litCHyGtbJ1V6kdAvKaTY6YaVtMXShE09aGwoOKAop1wb
GWAxVb0iF06B0fjbRmqzpzgV0pXDsTQU0rMg5jRGIs19cZtEUdPR/H02m/6sWt6T0Sl7qYo379/D
E98zPDcYg6/4ejABqLakC2T3RDLwZLXdayh2tpWuqR/eeHWOCgY0DUDIxDM6jfZiD+Rybgjov7on
pS+JJTtHq4NXAOIoe6QrF8jS8gDiol1Kgv0Tx3htKoZdxG0jyzunaSp+jEVP/ay51rthOgzo0sqU
UrsYkDJKQ9K1vn/eqNUPpfpxf1UWx/DH+yIMBZ5g9nW1KwakCkrvHA4AJKzW0Dejl7rb+1aWFsUi
BUcPIGKiRF7XY0BsZIhqeKHPlvy7Gr4N+ddc/Nqn399thaQpHRscSSi358/9eNCasDZj/2waUFPT
v17LdIllmzpcy85MK3sVvkzZxAtL06xerAkU4lEviqF/rlDeNcrk3MpDaKMw+z3Vgl0oGx+TXP75
F6ODLAdGRJluwHl7YxeEujy47LYBQpaA9Hak7cXhJTDW2gtuqbim0V1Ymu3rHFa7Si4N71zDDbhR
LD12QghLtpUqaB8DQe7sakAqK5DS0QlFkNBZPvp2HBfKlgx8uebVFzYPw6XGDxx1gfbACuku9sXK
O2eW5hTpB2FMbUX9V7F+35/gBT9Ik6UCrSBd6LBJzy5AqR5kqad0fUZJy3MUmhz2skXbW5qj+3Xf
1HSqbvbPhanZDNexqVttPnjncWhPwjCkTjbGSBDWrh2XI3TIlj2O4DnbNbqixY0L2xjMmrhHHqfX
GzcJ80Hu6Dw7RRrtAWOQ/yZrPqUzaXzT3sSh+Wq6pfr+a1liVoG1UGiEhG/mY/oiRExazb0zWmz7
BJJGMSk2LlDV+5O6uE8sEma8KEhgzImz80xJ1EL3vXPcD5SAhkp6jRBk2TbFMDhREpgr9+bSIk6F
TWoK9PwAobqey0xSWldHpQ13Y1WPCc/One4N2WvbvAj9Niy2qZRTIyz69nB/oEsblStn0vEB1ERk
cG04bcdU9mPJOytQNvpDENmFPm5V1VuZ0GU7vPr/mAHLem0HjqGOsBmPI2s7yjVl871eG8rSmhGY
/8fE9PcLRzrp1Ohq5PnnAjBy4f2ojBdLe46sT/dnbOGWY77+a2Z2tGuyDkKfCyyVL4AEjKNvMNY7
920szhbgkD8rAvBpFhHGptgprWniNc16Oxov5ahtk8ZfsbI4kgsr8vWEFdAeNoPEmigZgg/RWMYP
qamuudy1scy2NurKY94OLmPxoHQYgKK1GY/kmurA/UlbHg7NjBPpo0Kkez0ctW090qXT+vfWuRPJ
lvnVe6XXcDxQftDGKdN6dRPeFpRSIfPq3JNJbGhLVZps/W44Gr0s/sXaQDVHDX0ayw0Js27kqEEZ
KY9Az/+YqDpKZ/KKz1laGBnSfhHi9ElWfLYwfoO/EerMPSXlYG0qdfjZKYP3ZAF+eG8iiGnjOUAz
NKhHkCGzIxO5hZrSKu+eqonNQ5FLbY/4o0Msmjt6bK6hgpcGRiSBHAyQYC762cDKPm6VpsR5l/2u
Tgpb1w8t1YD7u23NyLQbL7zNqAq1MhTTDQHtof4alS9Ru3KzL5mYiLSoaUw1ofklpPRQTgxSgM90
t/o3N9ppv94/hksDs9Bh4G2F5IfnnZsolZ3ERd1P7fXe1pp0DeC8NpbZ4UStJtLcjLGIOEsDLmDt
l7hGxr5og3MJ1TYUszf4xKRLNTkrCEh8bmskW6tz9ReJjSne+Y+J2R2Tt4qWjLkunFy40cOGDNMa
nnbpFru0MDsruldKstcziDHa9Z3kBGO+Td3UUfoVd7kUclwami3+CE2zLBcsfmI5WfSYt69W/AjV
hmracAsFa6idJe8MYQAh4MSnh+7P9XlJFZNys8C4EjsrAOj3azmBJQPA83k7Tz4NoYRrA7IrlHQd
VBjIfkr5j7X679LmwutbVDDION1EhF2jteCnNXIBubBxR/k1rj9nwRqR6zTp82AeJdSJyBWZ7Rvi
lIYVr4MgJaZO86S13VjU956h0KY0wNjdd/6wj4O2K2GSMJMVPoDFCZygCCh+wg8zB4RokRjXkh4L
JxUdzlHKbC1c2XKLc8jLHVp8yGFugs0o5Kbrykg45YaenPtMdB/jMFMOSeXGK75z6RhNzGZEytZE
4DPzN3od5Gmbj8JJg3+2E7+oOh1u0b+c35V7YHHWTHI2ICssEP2zbVfV2UhPPNtO8bdGu/HX8MJr
35+dm6od/TLxauFkec+wHhnF5/t3wNr3Z/5GyTViAGM6Nt3GakM7Mf+9b0Ba3NMXMzRzNKVbWXU1
WQhMR0psKbDDN+EH+q0/pD//tMJGUO3yt5LTY24jFO9+vP8LFrcdrL30pvFKJZlz7RmQXR8UJElx
2s0WHQtE4aQ1oaUFE6Q7EQ/APYC2uyk7jlIPyZhvnoZGhn1wcNxRgbrv5/2BTGsx8w5XVmYBe5dS
URtUwTjB0PeWWMku671TAHGS4yXdLxWBp7+wR9wByhIOCvb39cQVouHWpZ6ZJ1dzd1aTHbQ2slNy
VQ59hg9yTW31vsGFzcgDGF5Kum8gvZuTOGpIfKW+X5onI+y+DVayEYfin/smllYKiAjIPQLriVhm
Nib8eG2OmXEy3BfZ/6gMx7ZYKUItLRM30RRUT5wa8/izcrtxCNPQOulCFtppLL0KfgVNmpr8o6GS
RcIpfLg/qFt2bvpiLk1OE3sRjVayUrhFEMAy3nR7AeIlT8u2fmK+dsAuJd/bCaG598P6rWmrozj2
2y6PP+gDosty/KD55cOQr70ub/scp98E/QDCWejv3JCYVL0/KpbH+0LpvI+5EJy7JNqGbfJYu/AX
t/kvyePHFWm3Ufw1qrgFnwNp28QUh0QwF/Zs56ItFLlgKqyT0sT1XtXd2kEqL9/7pZdvm6TInnM/
/B7GVruyg2+BVtOo+TIdalin1e56JcI4QirIFayTlDbq80gS89BXifgSoPj3DEFVuM/gpnpuyj7/
kPSluK3Btj1ISf1rZUss7kJkANiHQIe4A69/SK8bQR2U1Pn0QNGcMqpU2xvz7hmFZOkAoVn7NSni
yIbPpjmWlV8+pzTwbtKiVD+5lZxtvCxMHTfviz38b15v+6VQvKSFF325/0MXl+rid84OZCPlitIF
rnUCz+E7fp4PNr2c+ud66Fwnr3V/31WitrH8bG2tllyBdmF5dmikoiNj0ATuqR6UjekjfzZshLWC
90IgIl8amX7Excns/c7V4x4jU7uyvPXNXdY6o/FeGNe069hYEzRgylHMdl1kaI3Qwdp5KhV1Z7Xl
rg/WUqLLs/UfE3M8SgfUJSX2NU/dGL0lQLppKD133WoIvGRHB1pHjYduFVQgrycs7UxB12vfOrXe
B68i6dmrO6/5dX/TLV00+H8F7hCC7Rs0ZwglVzxK+Ms0pACA6m5vfbhvYWndLy3MNpc+VqLsRljI
xkNuHgr9e/JDWSMKXjo7OvQhE78oLBRz1KhhpalWxpZ5EhFeLDMgG9ZXqfk5ygk085ljBNv7g1pc
G1JFtC0hiAej2fXawFbuumEnWqeYNsGtHrc5wU6JPBgtBs59U3/KB/NgBwT8f2zN/FdCdiovpc46
9ar5S/OReq/0F9UaXrIkB1+jndF2+6a7MrS04oGW3c3QyqfekHf3f8fiOuokE0x4fmkGmf5+cX5b
vxKQfRjYKcjglgghKNqPqKRJm16k5MeI9urKXb5mcPLrFwbDsIRlSRvZOJ9HJbYz9Vsg2sXh/qj+
hDk3s4vG28Rwyt4RZ0iiFBqtKAwi61Q1RvdA38bbmMsSbBh9/NJGcbYVq2jYlIWufdbdWHmIk5E2
xTHOnZbehFPgo/EwBmZ78Mek2at5Ue4qpWkdLbU6xwLzuesi391kbSE/c7lkCHJY/soglm64Cean
k42HQWoeLYa1AOHHaLinSAn3in7QtIMmoo9MN0bcbu5P2NKqXNqaTuLFqkhdUNATYIGayYz8gynF
7qEZPP+n6We1k7fFmrjpkoMySDIjl0QZCojLtT0ha6WQLnH31Hc76Wu+1qu/+HkyMbz0gRzAAH/9
eU3I4zSrAOiY0ZN+kqLT/dlaKvvKgNTo0yJ6oVI/cxRm1UttnqjuSQi84aMOYerzYJghfXQGBAql
/60dXf1FGDTjZBqp+X0QRNGD0Fpqz0YSGitB2eJoUeCTQaKjaKjPNnvtuSniZ6TtFX8jak4krGyO
JTdMsE9Pmjqxsc0z6SNEdLVW+CQehexr4XZvaZ5u66y3Kxqi7TLJfwfuGrB+0Sa1ZcSKqTjdANCN
Vk7rvGZDdsIzJLSN+k9eJI7Q8i78Voj+SgZ/yfEbU2MH0TxkgfP3bU6VwzNcjpoynkb5R0iigO6k
lWlcXKYLIzOPL2a6EFSa6Z5E6GMzP7HXcvZLBkygSbpFVmgCW13v+jTsaqUJiMWGraQ8mNnKJK19
fvr7hY9opCYnJuJQ+b3yG37fIxW1zf2DtbQOlyOY/n5houggo0w8TAzS0dIevW6vNitnd20Uswvv
Dx0k9MMUa17F9mPpr3x+bQSz681rlCA0DA/HJoqPXuV+HVPx1UDy6P82UTN/7btppQ0eZoJ07yob
t3HgHfsLE3gUKjQSyL95ecaqEBv0WsM6DebGFA6tSQ1tJRZYXIsLE7NRpHRR1lWFCZ9XkAJKZmUI
S7capSUuGOTB4ceeuekk0sO+b1uciLh3PbL/u3L8WsQrqOVFK9DO0C8J7oZI6nrTKmFipYZYcBk0
jn9MVLv6mNRr4eL0U+cBDejJ/xiZ3WgNvrAFF+ieyjR99dXcLiLlpe37j8TOtV2YxPjNJHUy9huv
qZw4X5NqWIpGLn7A/JLpp0RqXfIDkpSkj1c89an23KXKx9jrUebS/qKuDmkFejETQSzjnrmCMKr6
aJI9PtWBTRe8MDqKsLI9FrefgoIdhsj+WdPfL7xNZNGwkXk8zUvf2MUaHUjot90/REvXGN2CJIi4
XoARzXbgKAeAKXihnUoYdslIhMpn6rryTjRq6dFrovpAthDhsoKG2/uWpw1xs2HgEYAQAcV18qrX
g1NQT058Ez+XtuEXqm5nNVQ2eU+/WJRtLYTEHcEYkTMIVzzT4mlAdQe98kkPdi6bW9XKqBjNSGUf
RpNDLCBPWRFX73vkGx2S5eXu/jgX7dF6B/c/gHhqydfjlGpisTAgDRcon7zgt2+9xt6nMv9838rS
7kdZlioIEQKd4LPjZxCuxnEnmydQb1uJ0KeDdDH7HBYk/KUVKPOKrXkmoiX9HgqhQlq6+R57nzvZ
zskU+Sh4FP/eH9XSAbgY1Xx3yp7Y6W2HpVbeSKZTrjittc/L10sTdaUu1DzrT6H5rSu+vLunlKSQ
9aeNgBuKCHHmdwUYemRasMnYRLYX2W23/ZvZmdoU/uf7szVva0EZZYHvS+kXF9WWIFwrfi0FC/8d
Aemg6wnyJNPrutw0T3r2quh7zd2K7sP9QSwmbC9tzPxA2RsK78gphyJ6D1kkbWQ0/3g2fa4y4YNp
dU+SmnyQolbfZLX8RUzXyBOmWZr7oUv7s01QVgplV27OU4t2Q2x+Tsa9VRp2277mhW/73bkbft4f
8i2t5LQxyMhPAifAf8RZHOziDYI6jc2TIBZBu89RrCDdOwYfmtJVf1o8O49S2JIczgPXf6mNYdxX
pRtSL4ka28v9L+3QRQdaAIqjTh572+Yhqsu+22/82P8n8xJtL2R6Saam698fS1Bj1SDlhdaYG2O2
pyGwVfXBVXk2diS8ktdtxr+MNfzdwsGkcDz1ZEwtyzd5NXEIFan1JePUIZ75xYy/3l+AhW1NVp5a
pMVQOD2zGHgs9QEqFqqFuZd/1ILg26CJFToNyeG+nYVhXK3z9PeL+7usMnrwxtA8ac1jl9uNu3K1
LDpimtWndksA/3NcV1tYZeEZ3vT9Ykdtct+5KIdlezXJNtBarYQKi6O5sDZbep7QQDzayDxFyWMY
PcBj9RezBR/GpL83kZxNq3YxW36mFFIbp+apsJQHt6w+t4r5476JpbuYh+d/TEx/vzBRyUNZFkZg
nlQ3t8X4B4ktR3Wf6v7TfTsLG0y2yLvQaKdPqlAzz+w1YeZr8GKeKBaHTqxrwh45iR4+XyFe8Z+L
e4BGAmsSSOC/s1kLFa4BCkfmSc6rl7xJdiRDHtvY/zAO8UPbv5tlanJdpjjlvHXaPedPeE8QlNhH
S5NM70MZHlafEZPru/HGpAcm6keIf+ZUNppQilpQl8SjzRD9GijXOpmRWLHdi52wl2pLfhwpg4wA
jNmABf2thzQCZ2IXoTTYfpULsKrG4krEs7ieoIFpLNX4adrsIMdCVumtTkV5lFW0w/odYr+l8OH+
plk8X9YkREI3wURjf705BcMLq7CKrZMBS/hrna/poCx8nxt8AsmQtqJNdrYpE7VuC7EkmBK/hmB+
1pgGli5yiK1MivsUDSbRyevfn2epXEmjxdUg9Uct9H8qMOvpcbgxA+GTHwNsNpJqKxvthyJVnrNx
jUphqeANdEubYCY0O9OBfv0D5BbNqjzTgWfopm0oLwqKGFX9MUom2HO7Q/fS8VPDEY3z/YVb8CpX
dmcRxIiyai7EJnaN4buVDV9yyTzA7zvCxBmudacuGqNuING0NPHJzEIyeh/6bDDAoNRqrT/44QBX
pv//SLuyHUl1JfhFSGBslleK2nobep3lBc30PcNqMPvy9Tc80j1T5UKFuq/Uby2RZTttpzMjI+bQ
p/bw5o6ptXK8EHmqKxsSaD6QsUKMF3B4tVUpqkhndzbHUYb+6hfG4uhLTjrjyeam8TuZXTAWgGzx
a1uZhj+XhNSejujmHkVxTHvfGPVRdIlz7ySQoU6huXWsYr3bCK0ZPFHTDuog+ui1dWZv4qYe7mI2
G48jrSMwfrXNxnZDF0rSePoiN53jik6M7fXFW9ja0OTVkTqWunoXrAiuOUdQe8atlvR+B/0rvdxm
9sevA9hAzzig6wAnqTujRCwYVg6uA6ezN5E77nj1hTXOyv25cBNIdWF0RkjgxQVxbq2H3VBViDbM
ufaGmB7CiD6ghXMXZ4nmGba2Et0sbnjZoQe8P9IfF53Ys5PQhkSdrH5qP/rEfLYScTtm/HGaSePl
PMZ9FHp6rW2TlD7l7oc5ohA5n9pXApKsCP+o3OEuarubPotuW7bGcrW029B+iFAXWCL7guN/iNq5
hhQcupCbgtxoLqmfx7Jz9pWVOUczHunKnC6d0Yh/UBOXnaIXkPOE9D01YiSVDP2BAQaaRmsl6zUL
yqTloqdahTs+MMcdsbZrN+Xi56VMOABkIAlUb8p4hKpQEZdADwA+q02d9/v6dl0qS2MloEkGAgOk
xtS026RpdTk4I5BWxd6KbrrfdoEX4hY64fW0HX6F01aUm9z2te/XDcvbUT0HiZTqQmcLdpgamBDI
zbZlhWdirj/w8I2wF9qX4IAAW3j5bZh/dWuuJxfiwiDUGyWzhqwRKtcpFJpLfeSIOYqU71ByuCMa
vyk55B5MyBp5bRayrQZc1fVhLq0fkGz/WpX/P4mQ3bqIeQOKi2Dkxgufum+dQPH4uo3FqQRPOfTk
UQO6yHoXUANMODpVAgpZwSwcvISnnjZ/5+1jR5+6JvWn8f26yaVTHiIhoKZBg/dlb9JgJ71dxQwn
cHFLs71VH/P8ExfJiQk1K1a1zYBGYd0JojT95XbGc627sxeH9koBZ+mYR3SD2jE2GCRt5f9PVojx
hIoM6O5gSMS7ycSx6KG1aJvWP0YKOF0oqL6/PnmLngjRBYRVOJqQNj23KJDEgPv3yPfZ4Yi+8nby
3dBJtmac8o3etvo2QuDlTzSsVuZ0aayoriJ1KrUtmNqHF+ZVOJGRxo/hfKzJZoz9lu3r7GjnKwH+
ktuj1RypU4zvskNq7lsduoB1/EiczWDeUvZxfBgCDEmOhuYLqKkom7lwWFPnUxI/0vJWy33XWtlS
C/cUiPEgwADKJZlSUkJf0C+YUY9cQND34z7qdW802LaAMtsat+yiIRzsyDiYNrLZii/Ix6ZR9YMV
hAJC5UZ61Mf5CKBlvlZpXVgRNCkgXEK7GvCr6owlrKJ6qbcs6FLLE63nTmuN//KnKgcsyoY2HiwE
sD3w/p27dQ2I7jCnhAWUDUFlZi+DVr+0+Yc5g8DFgBMVJRwpP3mR1hhp1rUzSC6CdLiVqG3+8RNb
BiagxyASnK7iTJPK4MClJyzoTajs7sv2+cO7/+z7iuumUSYIm/F9fdiWP3iTbZs63TpODRrzznOa
j+9EG/TVwMRIJe0LpYyWWNkMtmwaUFRE8bZfOcsuFbmwHKiloc8GmL3LWFyDTpEQ0UADY+b6wxjO
7nenyBuvpVV/E5U4YuzBqu+cAk8Ckxc6ir6Guy+Rnd07nYMbHxqG+8q1xjt3WKW2W3JJZHLQnIM2
IEkUcu6SAPVV+my3NIBOwTPCtAOLytK3tXCNWWXhYEW5WfbQ4khCn7OyjXmupyK0ChqYWe/BiMfQ
GFrjCWQkEBFI/esutHRogEsXWxkFN8D4lNNpzt1J8InTgGgBtHd8E3SrDn2dySdclaEeArgWCooX
quGOUzQ0iisWEPc5trlH9PtZf83oXanddmsB4dJaIRkEXwWB7GWPuIiz0qrcnAUsGnpo4IEHgSWd
5VuV/YlmZOTD/ppSEgxOCJI38O7jCBmfqXhyrbWIbNEdQKP3pwp8GVMg2dc7Q41NN0AgcUudKYGk
tD4dUxtiSH0PvTrZFbKyFReNQlwLD1awtl10blk875wRqaQAKUc/zKNthjCeOneQrYnT9+seuBDC
IF+JwB2MFbhUqPTQ06AJydEiaxwWFKT4TWOxKezi2NfGG3Xan9NQvIQVmFiu21xyELyLQbgIDk5Y
l+M/sQnV5GlwObwRHNibigcGOZh2sbK1lq5JqSEMd8ezCFiScyNFyCE3XjEK/tMHATo0S6yAqhZH
QcG0CmQHAjAVW9ehTcgcI5sGgvh6uauIl6ypVyy8B1DP+2tCOfVSI6ltiKrRoNPQgsY1T0tsv29+
9/ZDXwCpGO3d8dv1tfmjN6pe/nJHyRIcggCVKwnq503HXVwDQOa0X+axj2+SOLP21KiozwQK6JaF
pos5nfXN3FvNbe10zUNdTmQTZ+k/whZjkIHJ2Yp3JYDfeKiH9l4MDfg7OIEKMtgjwMB+/UcvbRhs
ReQ3XdwNF+Ueynqztgf5m8ethhegeYDibIxS5Rq2cdGpkBn6U1cyLkIW2qcF0MM4r6MKYpEclSRq
WWtgwMXRSMEKlHvw2FMDPKKXRLOrjgaz/nUiOHVs1+urX6QGit74BGmgjVYkBKwQfpMaM+fbhOTI
YerDTAN9/uLYR6jPX1+apRkDUACvFPSbgahM2etNHvNIIwiSNJG81tnwkOtr3TJLl+ipCSVcjWOw
eWpNSIOsJrPn9hpURHBYIoTdRj33r49nKZeOjgaw64O03ERPizJhpqnlkMUCPDhqImtTTrlvau1t
nBbboTN/aLl5n/BqS4rkrZuLjyN0wCGi404AkydwfcpIxcw1Y6h12C7b2q/rsdkCpoFzlBrDjuVT
tXI5LB1xSJdCNQXtLjislcUTjLZtLmYb5XjD6yJzP0wEnRzj/vqcLvkINpX7J3MPLmn5/5P7ICkL
02isxg6sKgi1+/zxE59HC6xM1EOqS22UGCvTjnMwEAZ02ld+sUbvvdSxAIjY3+8rs2TMjZ3RFN/P
OcuZR+uUB9U8WV+c1IB8OKAK5r7S9K7cMJ1+a0I9xTOXh95gx9qm0nm+zwmPd3YGtECGdl2f6kP/
zarr9HHqRpRmyjC7KafSPUQVcocmpH+/l3m8hjeRP1M9+FECM2TyCV6mVsEiaP9EMOoEncs32Wx6
df4owF45OtENRQPe9UVZ2rRSthCPGYC/LqGXJNVBXTkBaVAeqPs23Sb5IzEP140s+C8KQniOI7mF
+0zNCIGM0TAEQXmB5895MXikx/KswebWjCibUo+yrs9TPIpIzPd03k89yhjuykgWtgjQ1XBeRIUo
UKooNm4VDmkESoiu3r9CtsBnebwmW7JiQ83ThRF6xesZ1bqxCJ+jdrpzsvn1+oIsrDqGAQCAxLqD
CEmZKythUUdrzFUev5LirYUEcfGWrDx2FscBBmkpYIHITM3KaVbdpSD6wDh6j0AnaYVqaenzeIfi
tQygDPCZygUQoS43O31tBdPoFZNfWitx5ULQByqiv99X3jSVUQ4CmQsr6EW5K2x+2zfD01hwvzfR
mOLMP9Hf8B0tqStm5dSr2x+uhbcvHtNgK5E/6+QQJlFD3CSunKAZtrzw9SP/plXe0GzCcCX8X3AC
RBr/WlL9DAhJJzbyxgncSnuMQ+s5ZOIQgZYgJWuAsjVTylrZZqjFGRdo2+cluBuZPzvCS2Yk1qdf
1z17wSvOBqWsmlFA16dMcXpOzE8EhIxX4qjFkeA1jXgQ7+qLauxU9BU66XGUdSm7qUD9qdvbrmX3
Y6R9xhFOLMlfcuIII7qy9VEemk37sygMr3ffHTr6YDDzzOY/6Vp1YHHiTswpt6cTxmVSUED+cot4
uS0fDCtn58IBDenMv1OnHDpMD/nkTjh0yuwwWTsyfM3XYoC1QSibJ0qntMYTBxfNAPXrX5SuREgr
Q1Ch2bgRejuOMUnCfR3ZDz2hnp2vwdiWeuNOJ0qFifCqdupmAquG2Yx4vIlXSudvqVPf9aXxDDHv
Z+pU/4hQ25ss2VKwGJZkTVZkeaCypgFOxEuGtHyIIHFHRhsARPchrex95EbfxaCv7KY1M3I9T3w8
ymKTon0WWBHolmQueaeGi6IvWdlKi2Yo8m4SeGBe8A4b7iiIo3V2kERfy+SHiH7nyUpWePFcAI5E
Qg0MFwWU85GksV1YcQ+kY6zdM/DuWwwNcOkLyV+un29LmAZknf8aUnZRJrp2gFaSHYRT7VfNuHGc
cNP0Xyot8cj0NeKPbWd7TVkcpw/rc+CuRbygIzuFmhfKbedjtGIj60QCcGIR3s/8mNBNusbeuriB
T0woDgF1WCspW5hoao/1+7j6eNCAISCdLDGPcGzlIjJzEHNHEWKSJLS/i7T/Ssw1+unlFUJMIq1I
6RRlmlgTC8PMiRVE+vcogpaeJqp20xQgTbOSBnQe0Fu1py+81I793O5GsCVc95FFX0TAjfHJMEIV
gchJgucFS+2gq7yK+da3HICDciV6WAiP8Dj5a0SZyVDoha1RGBkgcoKu2V78ajVafC1be3jSXL37
WczRsE2npgXuP5xXnuCLZRKcT5JoAAoIF0CUHIAsknJhB8Zo3cRltkeHid+ijc8g9QvamvdTPL2L
KP2POTZHUJ08pnl/4/Ae7Nn9De/WFIKXXm1oXkOXHHAxst/2fG8MQzR3fRlawax1kZfGbX8XlQkP
9LSZnprYpfuIiLWkzqJRYHGk2gdORhXLooGNVx/1DIDG/CYxb6ETi0I7pYc5X7m6lxYbZ5rkTAQ4
7KJ/GaTYRY4fYQUE4RV0ewWavWjnpUX/NPezvp1IuYuM7hCPn2iaQ0ICrWVo4Ed7tlpgj1wn0es5
wg1R/GjpOyDEFqDklnuY1gLvpaPn1JISOaZzWFnVpFlAj+/NEAws/vVduUTBhKEA2IoLAm37amSv
h/k8551hBXYuuPA4aMd8Y6rBR5A04uccV2+48zOPVHqzHWI9vxEQrbgbWCMeu6Hvj20aT4cqMcVm
0iZrW+XW4/VfuHRNnvxA9UFgxalmkQ6rPJnpTVsiT1I0nrA+cQSfWlEOjjgzMg1UJSjQc9SCfXMt
bbs4ClzyOOHR9gjRnfOdmDdUD2MTlz10v340NLwJrfJbCDmp65O1tPdwwgPX7kLm5UJHKgdS0tIs
REguSP95I0BMND3UVvhuFMM3sxZrfZCL7nliT3FPu3VZq43oOIlm3Q95+RBWn4DR2BgMksPQtLgk
yMQruyWoR1jAIG3S0G+q3WBts9Ij9a259o5aXKUTW8rrpgfh3sQKnJciczyr/GkZ1YashetLFyE0
ILDVkFFHel1xNZo56IVPkNDUxLEMY28s6kOVap7ZrzU5LA4HqELMHbJpF6zzfG6HibMBCGtzfBcT
Ksiz/YxodH/d6VbMqDc7VI3SsaphxqBTUNHkgFz/1rTWgsxFXwMh2B8oIYg+5f9PwvKkyMY6Ab94
YITjP1Fe3pGcrrRpLW6fExNypCcmqrZAm2glTSA5xDZOttW0u3rciLWS+4IPYPFRcQeYAveXq8DR
oQI7DiiNWYGVQmcWa9/sUDKu6Ov1lVkYD8xIVL+F6/EChZ4Y4LBuBGQe+aAfkT2gHjje7o2p25lx
ezBnsQKyW7pNpFNDOxMcSJA5UScwzvROc0p5jJInSr6K+D26s/LZr2wrfgr1KL5p8xjdVm4HImJu
BJxnu9BKwfpHc/1nl+n8iC6nteTlgoeixgufQTIZE652hJO6qwQEsxEpWLda+H3UIG6BCuAnJhvd
PRK+K8k6lCM+Tk2onrTgPDfQGyfbafaznr/Ohf2GVbhhqDtet7cQ/kBi+X/2LriQROWUcypwMEYZ
Qkjf6aTu2Sa1NxMYa5J+U8/H6wYXNiDeV2B2R0sPkFcq8osjiZ609ohYxPbNxiue/r/PK/M3tpld
6Do+z7pv441uf+bzKFxA1gTgExT/z/e2U5R9rWv4PLdv3fLhM31+yFv+/b7ciydnx4BwaWpCfD8/
EmNXJbvrs7O02ui+B+BDFn9B0Xb++aliWoqglgVNzluvsRw/mZvvaHLcFkO/LaBKZzgZA5POWmS0
dFSdGlaOXXeAaNlIJmBAIHgzZN2mZ9CnJO+DE/rXh7jkXwCuAEkKWB65uK6yYqAWwC0MN/1bqj+6
K9fUyufVa2qoeDGQCp9P9QygLcvTP45WxVtLJnpx8OFoV5bIakjbT91gBtSunU0DZOmeQfRpxcrS
euB8lV3QkmROzXe0cYSXh9DMgPB9Pu+G6kCaw5SuPKQXrQC2D2i2lI5Wx2I43WDkfUkCgcTAaNpH
hxNIb2uNj2LW2vEss0NKdQGJa7Sl4CY05f1+7tspANEjmtlJ0ExmhMaAAVIy9teqK79Dqd70csuN
vBoP5+vutrSjUJkF8zGIgqVK7blVntEIKNPRBPJc3FaAaToCHQNm+hMKycOmS8pvpotMfZe7axQ8
S54IsJ1sRrMBAVFvSTSeZaAkicxA77qXmLu32cxXbuKlGw8JOQh/S3lxoKfPB1ckY5XHTmwGRXOA
upIXan4Xf78+gUvLJqGmKJ27wGmpT0fw1gAW4JbAOEXIKnjGwN+5C0o5UljFbwLlrEMOck8/LCGe
ct3y4uhwlcNfcO9dlG7BAcdMoWMPGM3Y/xBOPb45wsp9QYY1Zd5FU39wVqhHg3lZuZXy2ZqIrVU0
CLPyPnH4ITPim7BMVzK1iy7x14yaw0cBf6xFXMMM31fFJhMrwcnyMOAH6MVxAUdTtpiR2k05Wvj+
XN9X000X/nSM108sCrRc8U5D0wHAwucu52hF0pSorQZ9Wb8xOhzcJPxP1Tn/n5k/EJyTe3ZGnSsc
asvEPW5WfklidzfhxkfSIrZWngOLk/Z3RH9yqiemYkvv5rhwzEAAZ8FipJgSz7ZWTlo58+rhB7Tc
/6btT93lxEiD9HWiTxGQ1YlVEQ8vUO3A7ZJup6bLNjoHjGcwV5FXS0NDjg7PQrRmQ6pFOR9mSBdI
eDoNdL7V6CGO7tNsJaWyaAJQJFjAhQ5M1Lk/iG5K6Mh1wJfn/NsQVg9mzrcMomAfdzsA3/81I2+y
k/mzjIjHrDRpMGm8eskSmviMc+37MBvdmin5NFfXCv28yODgSEV/gvJ0Hw2dm2YcsQBSotTrE9rv
mjRpNpXN8s5LorS84/M07cqiKn2nCa2NENq4aaCRiY09Ae+ctdmhhTzndowM1nkDNHP3TTeWG1Lq
zY0DsTYvtdrBm+0uubHK6jFFa/YXPa0zaAKx8BCh22ingznUn8oO2udoJ5ksA8d7bb1biTNEKF63
+hNikdxzh6HbDDGJ/tE4AQC11H8wTde+4bFItlo8NXfNNCIORv0Q7fkUPcLInRsQVdTNZxZGhpcm
ceLTom+PNSuTnd6Ha/mqhWMPuH3MKOoSABapb3otI1EW2QAACmM7+SA5v+4bC1EMPo+uBVBxURx9
ypFUgy4e2LuRBVVzp8ePZXnb1IeEr7UQL44CgQtkfZHOuXhmZ6ICK1dksiA3N9AhEvrKS0/uFMXt
oBUskcSI/QG8VVy8r5o0q4aGBVw82O3rjA75ZCU4XjSB1A8ewYAPXDQlT5HgZAw5C9r4VzWwDbis
fWNeMbKwHDjp0GUAkCLGosY9ZZWMDW2Bl3d11zdNcGxpNbpdwT2RuZ+4705NKVMWRzGt3CFmQeSC
SOS+RoJhjWJ56eBGrhXIQfAmoOtYca48dec0t3Glln17J1PHogwjqMSxL0Xv0F3B1sghF9xMSquh
gKeD2+eCs6SjbdR0GjUDYNp+2va0A8rr8fqGWXCDMxPKtLlJFPZ9biJsNAx/MtiTOxqHuhiP180s
RY6SKt0BmRM0HC9unzIbtaKzTdAE87fWEDdzPe8tTgHEj4XfgkDPy7M1SP7i9OFsQzKUupJi8Pyi
mLWIZH2CeN/iT1BsYd3K3C1830WV7Q8JPJ4UarEN2rss6yxhBpOFbkgn8eowWfHqhQ2EV4Os30LL
ycWtdz6Ecgw7rRwRkECh/j0irf7cmVxsudDolg6GtfLUXBwRKpkAKeBxdiG1N7RNP3Y9+qpsM92G
hPlVv/JMWRzQiQX5C04u70HLZ3fIYaGLw6eCuYdOi2/rbt7YXbEWAi+OBqoa4IrBmxbt4ee2XK3s
ZhkaB3bvVba2DZmxu+7WC7sH9/6/FtQgHrJ3yJEQPEumNPwZWYD7joP46ow45T5hCG3ZAF4j2r7o
i4UK11DnYWgGQyv+0UIj9pzZjD1O6jVLclLUqwdH9b+WlAUS6DWdyQSP07616Za+SWUDe9OlPqii
5+njiBhwGEldA5SrUVmVJ+6JN0CzGn0zM0Jh2rRvNM22Di+AKndWrlN7yROk0A3QFhCWv6D8oGSu
28QaSNCOeu5NOgfAmHKG7symC5KWMb8oO91zm9l8MpOme2H6OHkmAvLWs+p09ELLrpDEbjXnTkuz
5JAmUpIEYk07wtrxW+6MFoh7G+fOFHVztBytfAHRZbYxolA8Y/GyWz7jgKXgjd5MZhUf2j4ET0s4
cb4jIS1uwwxFPM8W4N2xY2odeN3WX8DylN+6URj7U3aY2+5YowHTiXwn90EHsI+gTTdCeU/bjFHo
F5Zzm0YVvUfUhiw0F7Wvg/vmKYYE5abU9PrWcHr2yBon+o1A1dkyN212dTrMu3pykl3Rlw36KPVh
IwaEp51VJRsEQPbvqbQTzy1T4hHRaT6lzbg1QyffAdqcPNmZFh1yo823ba/PKwu3dFowW+IKkCDU
LSqvlRP/oNWcVmgvQksDgOdPVeQX6da/vrMWTaDXwDGQagVzlfz/iYkmrGMK1S0WWOHWhghngpuC
p++9+HndztK+At3Hv3YUV7dFHcXonWBBnL7GYhs3WwgmZumwSUYotIoW6fy1LNvS6XRqUpk9gCTM
sgRNQeAOO0AErXkXrUl/Ls+eo6NrFRSEyDudz17FkHca3R5RpI6HSVIhOR2bh3lIv2t0jZ55aRNL
wi/UhnGfA0Z3bksT5dT3TYrDltyQ+p+oECsP8zUDymWbD9xsMwED+uCHN9a0u+4Bi59HIh9ZT3Q5
XHTq9xYVPCKlCSRt9bsz+y9duUYGsBChSlFJKLnDk+HR0iNOnHmuuDG6wiB4roYH0H0L3T6UxetU
P2r6GmhyqfUJxqCZAFZQ2Z6qTFfZT5BYyTmSJaTdIjR+Ac/PDuRve8AuDkbXf0mhzk0tHm2AjXq5
Ppd/Akb1mgLqyrIgoYoMl8r6MrZNBoge4lazyupNU9PbNnb2BBdjCrH1ucmYZ2QCbZKO9p2MzPJi
N9rjvT56PALtw8qvka538WvQ9YO+EjAyIuA4n3cSd10844YIrOymBr4qZJUnol+u2fohRMSIkfmx
uE/0X9ftLm1wKvsCZYwrc3DnZrWSM6MyJhJw55bMx6i9afqVG3rJaU9NKMej6A0xs2Ek4K56be/z
ZCUcXPu8MnEzgr7KdHExx9030/728RwrKpd/50c5AFkljB5duSQgb2xsfSsy/esLsPbzlePPpF0+
TS0M8PFg6ZWHF8fKmbR0wFK80REmQW/VUZujjTJzqQYsPHADneUNCaf7djKgX6Nr4HJ02k+wtUvA
KFhl8WQywA1w7lIVt+e6mAlBGYH58Txhu+ibPtten7elUQHPIVU6kAkCCc+5FR7hyhWoqwWJUXi1
8eQ497z4kWUv/58ZZXnCqZpHc4KZ3gCOlzyZ9sOIl6YRxSsHwNK5C74GKSKDpvmLaxCEy4UdJ4IE
KUR3pwqIss6AmhZY+8oZJ0HI9tcHtuR3aDbCgxC9bOj+VAaWRSU3XAG/G8lmSFKP4rj7vyz86Qs/
uUl4rdndNOkkYP3z2L4CRv6Z76O8Dco4FyQmip85jCYIHkzsnKL1R5Y8NGm6ksxfwubiciLoLqPg
RrqgQAP/aNN2VWMEU2Kxl3B0o61dlvprPtaDXworezOYbfm6oOKl16boWAgybVLShT7nSI7WcVK/
FpXu3oPdMXm9PgFLLoPEHrrS8DJF7KRMQD33ZjSksxHEZrZPXO74OunuSViPXir4bVuvFl2XnAaX
JS4odA3Ri2o7UsLZBGwpnAYtQ7u2O1wf0OLnpVoN+CEhV6f22TkczAhaHeMOLAD8t3/F2dpZuDRl
YE7F77eQ/r9QQuC229LEDkmgjUFa/jAiZyMA657pTTd8glkbPYN/bZHzE2ridiMsPcJo4g00Wg45
z1bmazl+OjGhVGTqoRgngNdJUDszR1a0LO+1ioSYO0bAHjbpO9YWxaFMJwH4B7rIDbP8BJc0KMr/
jd9ViARAzOmEwgALMt2ARFqyHYqVM1j6sRoaYQdC/AwvbyCl5KKeHCTEwD4vzRmPEIio0vJJIpsh
rXzd9/6EexdWgHdHjR38UUg0nltpRrvKuQPeAmMorC9tYQ/eCCIA5hFt7oTHhu496kVxmEN99vhk
RZtkSG8ydj+YFFzgQ07DjVVx9hC5Gjg5SR/SDVJVdeWVk5HiEOTmlwY16C1YLVHjSaZmm4FlovVC
A9kLHBbW+6Tb8XGOe9yZ05Qlu2m0rG9CB7duxN1pw+hUbnuzIk+iT3svIqIePLsMH1yc3aITmyja
a+0+t/Xun3gS6SOZk/8QVkdvcWEUW9aPxaYUZuk5+ZTf4rjLvGEuhx0Z595zsS0Oepjmv67P69Ke
RpuxZHoDvg+B/vm0mnlnt6XIrCBtbxz3BtmQ699fcg50TxBZoUbBQ/1+2hvDWFC870M8VupGA4jU
OqaQkb9uZnEYJ2bk/098MDdKs00YfFCvNh31e7HyslsbhnKWz6TOooLg+4zcQQ+BkcdujfBUOvC5
gxvAPaCxA9cYeuHUjiFDG9shz0E1kpuRfXQ74FRioDqnGcwBeeuMt8k4dH4tBra9PneXY4NhEIGA
YEL2AqtE5jkbHQNkygz0I3jWQDveSrc4dK8buVygcyPKAs05B4I4h5G03nO+iZyVBVr7vrJATiK4
Gcrv67/7+jlrnq///IVeK/n7kWZGrh75TDUNwqy8wgSmDCX9fl/qdDNUmhfWNkL0pr3jg7knI9U9
8LFD070vfmnzWm3qMqKGZTS5I3FryxKVcsyCtEPr0sGigV6Lo4knAzTq+a4u+HNYtSsucTmbaFpD
3I4UDJLfKOicbyeiA7k1C5sGFt2J6jlca3m/HMv598n59+1yGDNqg8Elnu7wh/xiQXZu4l9ftLVR
KGdbTGdqtnIU3NoUT90aOPhy38hB4HJFNgAIWlsZxAhgK8CbGMTcekh/tMVrXK3smkUTTLJaIcgF
pE3xap527lDBsYJpjpiXkzFHi9vk62a8vz5ViwsCZlSAy4DWxPvwfEE0gWcMA3YucMGa+mTmLNn1
Q5j+nKMoeqnq+RNkXYiLgQyFJDt8TI1KICIwtnyqcZ6GL+zeHL5fH87iyp98XvFfk7V674z4vGF4
xi1Zq0Qvfh5xCEAOMs3nKLEInSe3ZLRkASD4tD6ka51Fy99H/xYUcR0wiyqOS6xCoEKES3O6KTXg
JKN/PjE9YIz+3/el/ZPbsiFToWstvs/QVX7vlis1xkWvPfm84kyt3pKhlnd+/9WZPKbv8zUCoSUL
IDfE4YS0NMIX5SxEcNaE84ytJ5yjMPamyPadECt7YmkVTo0oq5yGE4uYCSNWcVttsnEldbU4Bkkw
LYW/wbWrfB51oDB2LMEC0/lCyruGbCa6/fg6SwQLyJFRwoat83XWGwE+1MFheH8cEdOWnxmB1AqA
zjuy9ioUJwQREkCvwgr0wp+S16R8mMdPxHWSogCnrGwEV6vjkE5gk0ERnkIFqt/R1qm3w1CXh+vz
tHT6IfCRgGXQgF5gF/CG57h4XXCWRRAM0Gh8Dxa8vR51d8Db+p+wBewckmPIbiPfd74m5jhB3Q/o
ukDrnXoDbmF+kxhhvZ/zHhgxYsbm43WDl24MKDTkAZAmJZD5o8peGZIM6h9zawZtc0ycw9ole+nG
Emkt/QtDumSRAkV/THlc0mA0hw2UHfw0MnbuvFa5kfkuNTo+MaN2VyVcB2nlLBAxaHlr7ysW8sAc
jOJtjAsSRAnJgJrL2+Q4l2ICE/4Yv35iGlGa1yHFA4iyKsDXcC0GzxeAACHyOMW4KZppxTMWF+rE
ghJP9FofI2Nkm0H8MiWHnBz/vwEol0rY/m8A6Zx6o9jkxRqNtPSkizU6GYAc4Mm1UgpAkvXZAgSI
xJu82hkNHtMH+hMK0R8+FuB0CIocyVMno9RzS2Iqs7jo8VZi7i/nGBs/rk/VQl4R30cSBll50M1e
FvI4itJ/GG1D8tK1b2AuRV896Dc9K+IbPk3ox5q9BOX8FKXd3th1Vuw9pB/P0OJX/MF3gwJIMnGc
j5JPbKrqGKXX+b2gCC6fro9yyd/QdoS6O5hE0IarTGLkVgkPu4IFox5o6Vfj4+AcVBdkwwKAbbjk
1NsnGxo7bXB5BAPyriAKWfFneT8q3gbSGOCdmSNjJJWrsKwYhFNtqJcmyOzk5q/5oP1Ad42XU0hi
9Wv5/4VjDkTU6EnGywt5EvUi0uqC5SSrXBCBhr4I94UjdkOofdyvMVWoL8j7FKGNcjnok6Ag/II4
gwkCUJQVho9nA8GpAmgjjmtQq+Ahee5SVWyYois1/sirt/epernuUQuTJJGgEu9DCEgzlZCmBdTQ
zIqpeDTRMdL7hfnD7VdMLDjtmQl5T5yeMZynERtggu003AD1CtvHwhEG8LyEEsJz8TpRFsBpC3Ci
Ox1/dJL+CMWKDTUCEBUivb/R59312VqzpZz3+ZhA/lLv+aMWbxOC4Wy0nzZELs3n63aWchdng1JO
fgNEuZrRtvyxK9+xpbwGvaxmdZ9M0Y2F7pcoB86sn4SEN3lN765Rai8sGbrVsWlkkhGdUeoxNk6A
8UcNf7TZF+HZ3cqSLQ/v5PuK14005aVoa/6oVzsWvhLnjlWgRjpIrbw2Pgq6Zck9jVYeOYujQo/H
nxoqogLFEfE4ASIMXQmP8XAjtna18vlF55AwWgJMGx6Zcqud+LlrJGZH0oI/ptp9b82oULykHdrw
Ibc3Rh9GAKDTAo9wYAxBSAoO93NbdWlUIspB6MTHjd7pHou7lXNt4WDALYp8EsJPQPZVXHVdA/qa
jA42EliKjPa+RspEo9+v+/mSETyLZXlAyiFRZRi5XvcDtLfyx7jfpMYmS/x57UpbMyGd4mRVRMLq
KQXp6yMYQP10eIXmQ40SxPVxXL5GoPdwMg5l6bNKL3jFMY4w95njAZjJmh2C6+tWlhzs1Ir8FSdD
qRw+ZuFEc4j6dpsy+08zuihZvCfp3nJWFmZxh57aUk6A/1L3Zd1x40jWf6VPvbOH+zJnqh9I5qot
U7Isyy88si2DBEmQIMAF/PXfpauqK0Xllxy7n+alT1VnKSOxBQIRN+7VVcBrLYMtf+Rod9FXGpCS
0GgJVVe/pq1aS799MQmPSaAOWoE2lf9srDMP4YHfJrCpWxyVyKIc6ZpGXtfNhvCtTRec+tnFs23f
8yd9B9Sp3k5rkaFH0+yxeIMNIKd123hRb6wdd8HMOe8DLuq/zMxjtxIFDwMVAmzE1AwDykNpLtTW
z251B0Ew6Ft/1EnfDiQztbRMuYk5Gz5LcOco/4u51F19drJObEyfn+xBqwxkLoGSPbI0zryIoqQG
Wq2lC+LMSDwdqjN4tgHA+K5v1hK8Ai14URw74Ak9qNCy8UOQ/nQuBCH0iZGZZwBji66jPbZAQ9Jt
nn0bzH21BKw/U05+a2PmGBgymgAyIByp5cb1rvUgRJwljHUKGG9w5XvPYonq+NzJxbAAwYPsN1gW
5qxYTWGxJuc19hkqoSBxqJK9JFcMRcrW/eJ6z1Lfanqsp6vLB3Y6JbPY/o3ZWWhEC416CYFZAfjT
iB2OUugQmSrs25U00di2FN6f2Yl4SiBynZ6vuEFmd0fuBLmBPHt+NIsYPgLQazpG7pLC5pknyxsr
s00i/ToTiXLzI/L3ptp59k70L01Qxxm4gsT45fIknt33KOvq4FMDPca8iNN5bsMrquVHZn439Eej
uu2rhchhycRsnVhfGYVTwUTVrNvsKy1X+pJe3dmtcDKK2coAqyPKwsPBwpNja7DPNv0YQByj7r45
7Kmge5YsRF5LY5ot0qD8Dg2atDjqlbeq6xchdkzvF26ks0YgtwUUzVTamTM+aEbXqcQf4F2dK5Zs
OpQOmfcrAzmxMRtIWQiRy3aEdy0idN7IKoaG089vMTxV8boAtwcGMrvtmJFnPkAY+XFI7wsGrpqH
/ufx50jIIjmBzigkgt8Bb0F3ZULXq82PgQYCh53Jt1V3lwxLSPppMuYeB4gjJEOQJp0aj99eRVpO
OmBcuvzodBHvtqV+/wszdfL9s6suD+qplWz6/uGpS5+16tWXC0jbc3vqdAizKCszy97pqcrxWo1p
e1tm8S/w62MxTkYxC6RcAXmIquzz4yhWJDBCK9/JbMkXnxkHUv2TUhCS7u9rg5arjBJoEn5kPii0
lB7X/hU3lwAJ56yg7OJPhB0Al89vttJtXZI4gh8NuefG1uY7lS4cwDOXCgK0H8gKy0WOaua6Oi2p
IUcgGmzdLrbsbY4Wmib7lqrN5b111k6ASipg+hMMa7bwqdbzoWJoAbCDJpQqCP2sheyFCoX26bKl
c5MGtTgAIcA/5kNl8e0pQV21pEmrN0fO8rimLxlg95KZC87xXKADxte/zcwmjg/M9FPZY0BGHaeU
onW5AlFNFxFrlat2W6Z+2HMrVPzpPxvfzGWqRutHpY3NsRjzqHdvS9sM2VIi/uwkgigO7GS4ld8J
LnncIW41Yrmabth3Wb8Zh8ek+fl4FO9s1OYmCU9wucw8sy1l7duubI7VR11H1uWYoPPp8mSdcZlQ
dkBed0obILyYbTvgRqxg8LC9+1ztAqeI0fa2EF8smZj5G0RLVpsFMGGUoOwmwzcT2LvLozizGqj6
BSiF4woD6HS218bMbEu/TvlR0WLbiPLWVHxt+0vpoh/p6NkF88bObGsVhQm0IV5Ux6LI1R5A829N
54F0rSqt69zLjB3AKmYEFJu3Uk6fhHni+TfS9l6tTneOnOjOtk777nEkIMqkGoNuILfpqne9V62m
LVRiIETQ6HV3ZY9lsWts8kpbJPVGW/vgcm5HwqIsEoP/Mes6+FTPfhh1am007gXbOtCSD2Olmzc+
SYuPtsGyyBWBGfaOQoOLMrPIasFh4/EkCY1Gz5BgaYOIBWO1TV3WrHnKetBj+fZWlXxEp6EzRAgM
yNZ0aytGkaGCrECWfqhoLnZjaepR2hv2x8Au5AocH94H4BAFHjV6+9Rx1kaJ67YrkjYBPg30uxTM
1le+UYOA3DfIU6ATF12Kqs9DG21WAFdP/0ioXayqbJVWe0iO5Xv00zjgmArau6ay2T4vONg1IG8U
Dh5FkmswtU2rO2JlNVobKWaC4K/gIJ1pbX91eY+dcdA4gYGPkhVKB6BSfOs2DS6HquZpdfSq5y6/
E+MQcryalkLlJTMz7zzU4EvOS1JNt3NZhml+kwLsXq0vD+ZHHm2+k/GMQawEpOKkIf12NColRMMu
qY6lPXrbxM6h6YeydcQ4o6FjDdpmdDItNjkDOLfjWeibQxkOmWvspdvII5VltrVkm12XUFaJ2lQf
rwZX5qsRkhf3srRoNNSWHWVKB97RapvYJLKIKl8Mj4N0gg3L+jE0OcdK8vqlltlr1zK66YegXWk6
eBMJ90nUBA6PdQeqdbVCNRhVIj8sSpNFBp5MoWH2RzuRKmSs8UNRdulCWnqahfksnfqVye+c5DZc
wugI/Xd+5PSVkRUFeYsO6tm636XBUsR05l2JxOoPyUp443fgROIJQ+c0qY8mUCSuOnLtyUKRF6QP
OxpcGz9PbAUKcAAKQClineF2qwN7zFDwq460QaRpZLdULjEAnXH8MAFIBsjAEHG+A76NBUQHvbw+
9nzs0NpKtbVk1I8XtvKZNcLjZSLe8HA25zcYbbIqAxC8OjY7Sq4xVf/Z189uLyVSUg+Zhq93Xq4D
9uXyt5877SiroBQJVPX0aHm7wdLM0Fq9BWc3ERISNF5VhiC7bcIq0a6Rg1yYqnPbGYJ+aK8HNwoi
h9l2tnHFZFqfwlpFkZHZ5g0JpY6ogkaaXKoYnTcGmjvUdT3ABGd3sp0xSxRNUR8Zhzr9o4PgnwRo
oOBNKPxFFZSpzj0/qcDU/tva7GbW/IH4mgtrPfrh02QMiRZL/9nnR+I+8PKZ6CLsypfLq3fuyKL7
bnp/TIs3T84YaQ/mgT6ojjaDwk+3a9oyTGwtksM2Gzal20SX7Z0Lc06uoHk8qBLTGw2VsKMYyUpT
10MClMZSc/KCkTksQ5JGttoAI6nQr2xCd71m3PBkXGwGma8YwBBQJ4SMPF5wCN1mWx+QDUcXdlCD
VbSJu0BGTMpNg/Tx5Tl7tw0nM5A7wIsXlBzvYmikgRLfzjNoFLp1mLd3PkTrg32jUBX2Plw29e4w
wxSwsKj7QwEYvmgWrnsuCucJlKcP4OUgQIHlO5ZqIe2CXVosEQK923qTLQuqi0hKI86c39/4/9M6
4wzDQgd1HfflipSoB687CIJmC7fgdHbenK0ftrDJ0e4HMbt5nku5lHc2yfnBl486ZwgPfmGNQFv8
bwOzwzumIGcZE8oPg9Biv7sy6LONtirIFlmby0t0bjecWpp5QES+lZ7omDbnIe/jGo/Rap20u3FY
2Apn7QDOAnFbvODgIN76dZ50qiQq5QdiNShg9/o2KxJ0NrPDaJtXwZgu2Du79TywSCCaA8Pt/B7R
3LTQqw7jSq2vTP9q6FUo2y8G+Xp5+t7tOrx3J4ilCSAiEnnzG51L9DSgXbs4jIZ/7UFmDFQiYCx8
6JN2kxbaFbX8BZcH2Mx898GmN3EroxQHCd85jhrSCWqsMb6DSQdjbTSuEVUCiZjK9UDJ2RF3pRWM
RGmbsF2iPMSYqqme/DLprnra01gDu9Ae7CrZ2i7JGHd2hkaC3BaRFRR0jbeojBq9w6dBB5I45sW2
KJ5y0oMsIXU1CJv5HQj3NAuAfWo+dLVHVmIUMvSTpl91ds/3hYs6wyDBTd8Oytgot3PDUabsWo2a
tjKzrL2VtPSeC73QVhQ8ZEpK6C5jo9f5WhgF3kMSup0P1XBt9Pl9U3m7p3Q1pu7O93hU3Gs7reiP
rmbuss4sVmBIH1f12IEg0JiyAj1acVrTKaNMr1FowdGGsAt+7zAQGmd9lkR+AU7CQaB5gtZKD02z
MKK0rEToab61oapUUTf2j5amyVjjlhuXgajXohtbjAi98plsnIgDb7MxKfmQs9FdZ9roR5UUIK9o
kz7SDfLqyQKCc4oVK62SyCOXlhaV4I8CKV7SrLUOgBVzwAdOq9FYpKoKldVYYV0jIhggn76t9OC1
ylwW8lLZa2uoURjz7XTXU0jINCSxIf9hmSFPWnA6FoaCQHXRrHVbpWFqZmY0OCii6R1QvxrPnNBn
ULap2zEJLQcjpG5lRrlbFDHDT/7keE66b0tojDdt0K4zSATfIT2SkjDxxyddz2gK4W532IhANqiI
uN1VAK0mHC3XCikd7S1VjVih7gYS5Kqg2UFw66saHP3Zl47ccQrSmLRHzn4wrCWK+R943zcuGWKT
Btw+molwMoAOf+tfxqSokw4tSodUNNfOwEPQrR7r7lk47jUESEJaacfata48elt7oKMuNzKR94pv
dB08F32xKjMrLF2KHZDclE0QU4EHIKhUWQqOyzoLR5XHPSVh7uqhPzy35bfe0MPeHqIR7oXt646s
WgiDIzYg+S3pHTi4IrSTD4R3q4TfmSlEW8Umw4uptp17YxDby67onYedZgA1C6TgXCRm9dk7maki
a0Y6sIOov1lSRmXHVsn4haS32mL77buQaGZrdj95EuqhhtezA8DkJrA1UE3P1E+32s+MzK6mVLPR
GFrBiHCevOJBeM+XJ2z6ke+2zMmETVfIyVtWl0YGN4fvR/4qbLOXYOnOWzIwrdiJATctRWKiUfSQ
wimNaJaNLw/g3R03m6DZnndsEIN7HQYwNAgS7itolTUfhLOwr5bWehbEFQxszK3CyWq9JKplHUL7
IBbawrtvwcqP5PnJXNVs7N1Sw1hyHgl+3/GPib0QtS1M1w9UwIkJSzpIK44wwb8bfphX11obm0sd
m0tGZqfQ9/IKCuZY8yIJM2ttZHdFE7k/TaDzduXfpXdLBk20vmUH5PgcGtlVCCL4y5vrPVp8ZmO2
7jwoWyelOkNvq26vcltDnhVeFjemb618V0B4xjNBS+Tp0NkeNAesbbh8K1YUKybEC8/Lr0bqf0Iy
fckxTJbfHVxoBQG/YUKv3Jjte2aooLBdgYUsvUfSgGW0Xw32M+ILEB1HAU0jq19I2Z/dngEqDsBR
IKM+D19VO9amIDmb2NZac41u2eJ1Yb6t96NCmRZYGBPYb8AJZ94CyGhfmoObHzzFd768Msm6J9fI
5UQMCMmKrUXzyWkee3pdtlfu0C6QYJ9zVmD40tEuPTW8zLNGlQ9ah06Y5SHxDq2VhR3Eby6PcMnC
bNnafEAaooOAQGHFzRjJn67cYMOejmC2YRHngZAQjeUQDezicdRCo9pcHsG5w31iYU4uM/iVLKSl
lwdi7lPUEXgKqnXditGmv+Daz+23U0uz55JQVjdYqH2jMWhcVaa7sh2IUJpLgI3zA0LKwUPs4Bnz
bgOq+9zpXKs8tGLNuyNxthRt+UvE8WetIK8KpBrEnd6RweptKUG26BUHClp6s3pphvtK/9aq+8ur
c3Z/AYkNkTXIGkEc6+11qzzWyxzw6MP4SaNRN/zK9oUDwGsP4im2PZk/uT7shAgxAnR5aMkDZbfY
jAsGzq35aQg7cwC63RtNkEiEC8Gm98Gqv9KbhQ181gQ4udAIAGrKdwkZZL/NhKUGO/Rp5FeRNoSV
/gs7FxIbqJNOZcd3eZjSrv3aCxAukOR2LI+19dyYC1Xgcwt9amLmSAapKy3vplg/i3PUt5aAtWdn
CTsV2WcAHN+ld8pqTFs7IOwAqqWwT+rQDiScyU+Dc6YLFpgQOFtQv7yjxpDcbnNPo+wAtNGqHnaW
yxbu8B986+9uyhMTsyMhWoLbs83YAbk3NxaNq3a+sO2wMWUbo+6abizFHnuG8yLHur8BmWu5dVQv
YpM24OpV1A9HI/3s5SwIRwfpIS5SlJ4KUkRjZkBKkw/ZCvkId+X1KJ0OfqJir4e2KaT28HA0vJ9u
Ip9N2nSLnpzCAX2ZGayzQ9VgbcRdK34WIfzDALJ6Nh6uaOKf3SJelxdD7vnlgTovUoEst9rpZrGw
MGd3MDq8/zQyj3Y7VAjR6g0jo5EboauhD4fY3S8ZgUzzpMCEgzjzJ6xpEU9UKUNGtAvvdPThXva3
09+/31x/f//sGNIkkbQWiInwOiZsM/jrJO7bvfF82cz5ufrbzGxBdCvpq5ZgGG35JaHXTvD98ve/
14v/seL/NuDPOgZZXvVcCfRd5Ul1hebBOLfH1WjR+5IbsTMUK1B37fNE9yJzHFapizyYXa0u/4iz
Lge4kz/Xah5felYr26RG92/B7yAkG6rksXeWakJnZxKod9QWUGgA3crbs5MQYICUyxjoKZDdQyLC
cpZYuM+O48TEFAqcHE+7yE245oYddCS3hqENE28PH7ew85aszHa2R9NO1h0GAh6RCFwxERSewCq9
vrwmS9M1298mUU5ipjWma4wRuPQ/rVw27buTuZpt7ADc3uCzrtiBDU95UCB1ug+qD/mS+NW56OvE
zJyUhPklPDsIug85UkFDZYYjAfGi+WWwfuEFcWpoFrOiyqDx3sZ4GivBamTXfNS+Xl6ShYV3ZvdZ
lgCKImqMpTHqVZcjXG2yuKT+Qon7vJm/H5izS6aEmdLs8cA0qpsR/dGF+cHIjpeHcn5Z/rYx7b6T
k+LmvbSSkbNDZ7ohlTea5kWkUFBHWMJRnN/Hf1uaRntiKZMuqVWK0STjM9W1Jzkip3t5MEsmZsee
eEGjtBYmKjX2odbU97LytpdtnF+Uv5/gs7Un+pgJZeDQC2gSfUubtVyi5Ti3JCbyx0D4eWi/nrNh
JWwgVW5iA+fGJgFzu5ndBmxFoI5weSTn7UxEQeADR+lo5r7qoCeBy3yMBFWTti0j6Xbg67uuf5ql
GB7GRN/yX4ZmHozbmmyd2oUH068bT0RMkV+IMU4tzHzYoJCI6CtYCJw9lAeKJWGPc4t+8v3zF3fS
6L3JwBx0kN5X3Xyy+FXTLeyraRLmYcypiZnbMjOjrFGMwvGo1l2JrBYPrgX8fas945UZ8fbb5dU/
d1ZMcAigODlpjfmzszKidtF5qM0duu7JATeyzT5fNnAuLkNkCZIFSDyBSmK2vYJOalkZlBWkcYCb
cTZd+pJ2edwGXxjQNJdtnZ081HQB/wMzK1qq3vqWvoeWK3XwoDS9KypiJwu1F7KxXkxzoQ3g7Kyd
GJo+P3FiVkbrnpow5Dch4qNhXP3CQFxwz08ggvfQLFRn+BhUbnkAWWmcWCQq6gNjX5TXR1q/1dKP
l82dHc4kNwd9VBCTeTOfjJp1blQsQH4H9T7y6BXfLn//2T1w8v2zTZaXLrQh2BRPonKlRQiRhmCd
87t6iRH77AE9MTTbbHaLrtDMwUCqTIUVudc1FlZLqMMlIzM/ZmY+9E09GGlU8wgthVtIGEUG2MQv
T9rkrN55ArS4gisOWd53dHEJlO0MbpXI3Su6zlFmrb7pY7nmXgUW/jISDlupPFkwevYyODE6W6nU
pU1jdlNmOQBvYBkrEtcWix1LxJdHd3YS0bcB/VioLOB/356gJgi6pJt2uDRuHYGi4CZrFw7p2bGg
ZQM5PhAqv0MeDrasZK0b5YGhMJAE1w2XYVbe+f6Hy0M5e3pO7Mz2Q+BSREqVKg+1Fj3l9cJEnf92
NJw4oMhC5+TsbOpEJa1PWnw7N64HW33QfLUQKp9dC3As/GVituh9BtgaTyXe/5/M9MGR19RdWIol
C7NzqXeKO2MNCzk5Qiyva6/9ZCENd94ERgHQFUhd5jiU1qOZXWldeeiCLzr92AOxLp9+ZaH/NjEt
1YnXh7IJcJ+Q6z30xj4vX+puIdlz7sSjk8TWXYizAK84iym1VC9cnyBuhRTlzhV9qMYgDoyPyvle
9eAmunXaX3n1nZqcHUOkkDVJTbyQM8KvO5nH7gjyC9/YNwN9vDx75xYI0SygQjiP7xWBSWVINGOM
CM4yQEv4iyWsEDXPy0bOnRY0aOnAJAF3915M1xJQiK4whT4Qx3rt7ojPlqKMszZQFQPebhKinkc0
LmnbvEh4cchDc9wsou3OfT20IyZhbxQn3smRyLIz8UhKS/BufXDaO3PhsJ/7+injAiJxA0Skc4xY
V/odkPw4J6IIyyGETvjPr8Dp98+ciTbUBS0IvKFTrH0WAi70c9+P/n8IbaLQGkBeHcKbs0OCKNIQ
qdvLG5DUhZ7/peqWGuPn98bcwuxMWBR0jkY9yJu83+r1rRs8Ntf5kvaEMV8HWMFjC6h7LIIJYPQs
0B+0QAVWn8kb3ht3Zk3WKiEfDIttivylJA9+Sg9FMGWujb2mfXSsZ8C90rAt84Ub/13CcfohNuJ/
/BiUkcy5VkkB9Wlj8Pz2JuHBsdSDF8mSNsyzxA7bnG50090Ntr0FJ9TG4/oXK83T0BndJRnIufP7
8TNQygbbD34PXPhb5+qLgAPCg59hQF4r8IJNJ+w0lqp/HOoU0KUcZX/fKdPQGqHddnlP/aBJO421
cBimJvEAIFcbIt/zRlUCWmt0fbbNzQis8ibp2nLvCQYKHV9FXpZsNFf7CPpe/6ZWYp9Q53Njda82
ab4ZQ/vYESCasiB50P0MAHOz1G8TQzbrBvXZVaL6+wJaUnEBTn0g9ca4ybRd6oxhOgzryhv3VjDe
4jqLPJHERZuhTjGwTevK6R9kaKvgio9VFULp5RWNqddOZ9AYDXs08km2HmtnkwFo2eUoPQlO1jrV
d4GJq0JvH0rTSyPNK74Qo80Xpuz99kUwgsgKEFpoV6Fn/O1yBW0yWv5YNDfiY0n2FvkD4fBfX4f/
Jq/V4Y+5F//6H/z7V5BFNhlJ5exf//X5lTUZ+5/pb/7937z9i3/dZF+bSlTf5fy/evNH+OI/Dccv
8uXNv6yYzKQ6tq+Nun8VbSF/GMBPnP7L/+2H/3j98S0fVP36+29fq5bJ6dtIVrHf/vxo9+333wJ4
qv86/fo/P7t9KfFnG/wEJl7V/C9eX4T8/TfN/CeKf5AOmNhVDFRLPcx3//rnR5DvAhAEDOLTAcal
8ds/WNXI9Pff7OCfINFEzxJq3RAs0SeyOFG1f36EuxjoETzMJ6C689tfP+3N4vy9WP9giDGrjEnx
+28zChO4MNTsQWs94d1B34f2qLe7AW3Tchg9At4p9AJeuVqSf9R4S2+9Crqk0Fq1YigHeBHoRuRN
oAuxb5wASSYn89Ynk/bnL3vzS94+Nf/4JTjE6DsEX5gJMoO3v0QmJVqYTAb5lyCvsrjLPid4fF5b
Su++q6JmUH4w08++ctI7O08JMl4oTW8apyfPUmhOERIlnaM9Chvikl2Zhdw1snutVuMC/uvMD/VB
GYKOMrDmgKB7OmAnwWTnCpSSLEwZ71q61qhmbRq+ByNL1AMBGJV+Ui9EyDMM1Y+5AQ0lHpOI+ND4
Pdc70jju/sS0+xAonrYc062nV+mDZuhaqLuqWhNXWbGWtJ+y3CVxZRIrtORgAeWboQnUh4BK2+fZ
ps+d5g9v8lPH/f97lt+c/7v6lT3I5vVV3rzU/wdOPfh0T3bw5FXeHPsr1RAFOPrLG1fx44/+OPm+
/k/0sE89aDj5VoCWv78Ovhv808SdZaPBBDwOYEeES/jr3Fv4CASRk7f466M/z70V/BNgBW+KnMDn
ifyy8TMHH8mo6UD9fXVOl7Xlo1MVkiJADkBedHbglMbyunbtdCsaCF6HXjaOqywptE3SgkzGqpGn
CN3C1m4HObbb3Gr6nQflegDtubYFyWR91Tdd8a2oTe2uICI7GEn+4KbG2EQg6uQrSbmxkwAbga7T
beUNpXnznQ8jdF/zxkhihxX2K8S3RRlCX0ZbI4NtAwOvPHAtirQjUTlwyGEM1keOHayHVZ1kB29g
rAiFk1EZBgmzPxE7SL4aPND2FJTRdZgJO+f4Qi25Y6VhQDnIGUHgqDdhWZGtbgh/3RYF/FuqcJyk
Yz7VGbVfjSwjG9GnbK2bZbUzh2DY8cFrishNdQpBRc89lqlnQWrGHFcN5JGe0qwTOyfT/U++23/v
groBer4r6q2O3mAZ5xYB83fb6ukHx2PFXq+sqXmk519FWbpx4wHZaQ3pnYJyYhTY6CKPyci24Cb4
kjUmRbt1PcbYgCm6fNG85VUWcN8uXeO9fK1bSkEIp1ulGTLNlLhPUvsq+JQiGaC54RTtZ60INBCd
EDf061JGbU8+Cy13brPxBvKUpHFfeyn1iFPjXiX159qjn2oJSk/NRKTmlgLC5Caa/drMCCHuhqZj
312NjJOQOcMQjl7zpQ9qNIe4IQ88kLHSqnjOMuGFY+NrGz/NbpzaalbOWEU5K68at5IPXs7VRxs6
vnngrBgIqxIybt3Swiz2K1tX28LNAWHws33qEnvPGPnW9zLuaABiujZxopJ/NihdpSrfiMLXrjmV
JNJUX4dpNbKo8F+RzQFetjm2pqi20nde2hqSI9z2Q3TsO6FelnZkWUmAeFxt8z79hBbbj6njZkXI
NWzDMC39baJbKzdNjIjSst8BIooQDeer3eopNHp6V3nh0HijivKRml9rkF2ipSEJIBYIUH/WHTWJ
/pYcqifUFO0ugHQHyBUEuvFlFldF08alMpqp6Rkbwi5Vukmc0v8g9CJDl7fpha6d349mWoIjusOE
8Z5+LVLdDZ2+lhF6mbWroDHbteYkHmLNJrOueqe9z1w0x+nK8ldonerWVJO1GeZl2q2YBaGnxn6A
ArT6hFrCsBn6YZcFaBlRlVgnjst3qOVLgNFwxEZRJh9bYpVP0rl3UpVsvEbSDSnc4KEr0LoCNhdP
xaWfNYcan6zqvOfQXMktO9RKP8eKdM3j6OImRzge2zpDV3lpFGvp1u2+oYbx3Us6sqN6ErW6127R
u07u9FQf4kqmdWTITIhQ5vRY67zem3Y1Rn4fWC+aR1ms1cPVYBpoF3DYNhflfU/Q6AOaBrVLBHcR
pCQERKf1tmBwId7QgOy0QCcJlfojoCxoGyy5eHFQu6aFExU54KN4sIIMqI3GNrhtIO6ydTpvqyVJ
zANymyuN4JSwauXndRAOxV3Byu9CS6vQIhxkythVToc+IyhHP1I1ANXEY7gctcMvHW7QxPqUSehU
Zz69Kyh/JhaGUzbdXvTZg9FiIklnxhSQKCDk96nyd6xlq6K4Hr3kOPQUOephjw6jlUXSj6qoHDTx
9MmtMoYInTSfs4EEUZ/6VVgW9ccMiFXLLcAkwF61lEO1MM3c/CYYxnFboEklg6RXFHQ5frX+7Lqc
XKFxmULyO7K73sBx96QWGQ2Npa7doHvZuO4CZl5pCOVjCeKHIq82ydhacQngUYTTih0P8oKOlDfA
fa0qLYuVqYFHEFmQjWYbce/nXqyPBbj7fbYtC4dFE7pbH4d0q+sfNCkySOXqI7xBtreaEYJhGo+Z
zNsNLxvwYivnk561Ty7LN2hBq2NoZJdYsALeT09jDQ2oVxpzoWnWiueci2elSQD/4VviwiG3CCj7
0IJOd2Rlttj2Pbm3QFC+be2G3yHsvaryfJWmDYtIgOwyCOieSprX157THAf9k1ZNDhEteAIwkVD3
1X7QPZR0uxUC6RuNlhHYMXDNBO4d7WonynOThbZDYjR+qXXtIo62u1buS44jFOSfzaLPcOb4qqk7
BQnzWn5WZoknsm98twplfR40ww31ytm53MkjXXSfAiNhEc2dz36Zrnwt0dF+yPRPtXvV2EK7Q3uX
wgZO63vH2PQB27vyuwgG8RGnA44wc9Xt4JlVDJlztsmp2HnCIRtHQDxdDyD5htSkbUGjR9EY3M7J
YxVYj16Q052onSE2nVzEtLO8p0TvryY9i9DIyFPaawCOoyvItnpQI/MuTnjb7fO27tei5mYkqsx5
LBsI5ljSRnK6MTY+1KHCREvEypZqDdqyPGpy+YnrSW6GuPPsDfikd53rrlKwnkyLd0MSL4+qoFeR
mY29HUF9IgurXGwhs21sszyFWpzwwWTLgjjNkhxaKhQEmaTMQafubfy6fioCs79mtLhHvoaGjbKu
XFPIjVDVl7zmn6EfFPNOEYDU6xyCefm4TklzyzxAmkzrTmkWjUlegIE1STfUE3ZUOcZ3mfs7q5p6
4wCHWHluZ8MWlB3cFg2pSWnESW4cOa/KiBlaF3LKH8H9vzWIbEMmuHdT1Z754Damua4Ggqb6pmjj
qun0awPeNnLBzquB4+meoCX4OukHoOKkRGNf4kK/b9Drj9zi4yZN25Vbq1CioTJMUm9rlqjSjqZa
1R0QlLWgYMW1V0h9ZCu3zey4dsfg7sfzoOzXrA66PdApK7zpqjDQ8nFbGeXG1DR3VfTOGj2SgF+0
VVj0wKa73OjDvLPVRpBkMzRs/f9IOq/mynFkCf8iRtCB5pXueJkj160XRo/UDRqQAAnC8dff1N6N
2I3d2RhNnyMSqMrK+hIJrEgYHHdZxZv/ISBvV0G4HEKOhRgXBY1NcDOFmXiI4/61VXsMD6i4ebnG
V0jVUkI8zbBR6NHKx6in1kmOI9wiyHpvt+OMSeOWJRn2XbbnvmNBsaH9wy3OqngEjySbWdPFLXA2
wWOb0bFWA+oHRH6fGMSvMvrZ+gSrBuY3cKpi6b+snr0mZEyxVBc8hBQO3GDGdF7QFmXW6H9ARmPF
bFNbrIHPjgZm1pqiHrnRBFWTSh96YNyyPj9mQOudUoNiwSiXFSLVr/BBi3Iy06dGtX+SniYFcCl3
MCbqdFfxhZIea2Feuk1YJaT+SXTtWqLBz6uZyeCD0mUtLV/f8c4cYYSuwGINq2A1w9/BJ1vTd316
JPGAHWcHFbHrw/8UQlzvO9gpEsbsEoCZtJaosDDGH3D//kBc0yLzXlCQmnJtlSx2rGEgJeYw0+4f
91TwjChU3GR6vm1sOe3zjPXDti9aIf9X9rDS3zzX+BN2QAOb6QYbHSfwbv8mu9pq1eXHcFef0xZm
l5a0a23RLzSAXXV/DHrmRukkaGbGV1DuRaKPCcahtBD+/inDPgY+27YIIo+2S7/5CDfbUbBtBo/V
ns3BW74kX1EbysOCkCpYhsF7IjtwS9gdsnhEPLq9+GsLInuUz+5x0etvskwWC+cjCz6x25AWpG8B
f4pHgWzlzB6HZD+gADttwfKSpu7a986rYz0sL1Mf6xq7DORbDR0vV07mqzfme6kpdLoRHp5aCroU
C5M7vMzBPhfbEv7FwjGc3C5f5Zkk/Ox08E9m0Vewc1UBFH6RbETm+fJJet4+ccFETbhMD1Me8SMj
/yKDW6OLo6cscx8b9bMSofXxkXD+Pv30JsmMsIxRzoh1VZtuGAx2nZyOObX7DUXiIUVNnQ4jkpVd
D1fkmFxmzw9qidF5vbBlwDKVr+FjfEjMjONmiv52a4KifZNHG/fryc+8+MlTpMDet86j7uaJSdRb
yobnYdziMuzw/BN3z/roVeHrvsHZjn+Lz8z/k/dQNVP1HYDc98QUqFXL6N73Qf63ZsNd0ughWOiM
Zz2w2P4BzwA5tri8BLx1STqj6IghpLaOgs5lxtBeXEDMGY6M7mnP1P5IZ73XwUa7C6F5dBywHVqK
lC/VmkGYVQBFL2b51+bwVATzbdp7UWSdqOm4olLDfU7Vbqp4BZ4d/4wIfquO3wx2qH9FbeaVrPM0
lhrxBPq8z6ENE/Wvh3/mteU0uBM9m29kcrMSoCrzEAo/VDgMEiiwaxteO5DWRD0nqq3d0itUXlr8
Qv7kchjaMPrqiV4vLELiSTegfNECO8JsC097PzZ8ZXlD1QC5SvxLBEi2MdjXI8GvYAzZe+d7/WEE
/QunhvgdByA+ee1ekRYZsXy1czGBs1HpXBGvQFDRKaLZwXXRXgRoTapJOKx1iaGBw5wdMxXq6ziI
k9KgAuKtUw/ap6KJDbj4dLFVO+D0xIwgOKa9/NpiUJDmAMuLOX6eShQQMsMb7Pim3KJIYJdVGv+2
6+CB8f7kRiMPwpuSM6FUFCHkrjCXKE1yXdN02SqydvImcnUL2d5kJiwxJHH1Qvff8y4l2Fdesjzm
7Zif48TUAsGzH5kZXpC3N52wwRCh7zPByUzuv6nDe1hgnPo9tusLWWyTLhEu6yEtKP7WnAJG5nlj
/NAPz2gMToM6egiu5uMp8ditn8XJAcn6xyA2piZd8NGt2THq9ANa1L2E8v13nfLGSpyUG9Bto4IQ
MO8BbMYpEOuBq02QUlDn2uTCOQ0rtKALIG0rGF6jBD9NdWW37OSCYCdbSqQdIS/XzxoCAx5z4hEr
+g3Dt/kiEggoU5gcVRYju3afTnMyXXyCKsbsxJ7bziPl6vntBybKXqGN5bJMlymoeUTGQm9IpQJv
N0JiJs3O0QY7Ngrn/DYodJojjxasnrtnmUbmW85DUi0p4ZUVefCSzwkKA/PTI2Dm6frGhHytqQgg
85qpfclzAdhty1JWQ73SV7uE4nXa1Hb13dqtJZK5+2ac0u4etktSj3tnGnST/GDycT5lLDbHke9t
pXSQtUU2IF1YdkAnrHF48MX4h3lIoKokjfHuYr1bF+2mXwRmMhcaJOuJ+BuKlIg1YdfxmirCLkgM
/oiIftrE4kqmXHCbAr2+LKm46qhD0Yt3uMjXAA0HgLpZ7aUmvxC9nLWiphQAmZ1Gy8UBKdK6hI4+
NL7NloKaoH9vHTrukHMA7RJff8cDappasKxIbfRJI9yqC8P3jSIAnWvQhR9AGaDcXBI4QgTLfcDZ
5k/b0kOOwRqSbbDsNKoz+NEUDTli0netfPAAPd6oQLUl3JL0PFmbVzRm4cHbp+zdLe6jsyjUGEv4
0aASgzEHLzdybD8txlP1JMJX7rbLFo4YIa0QZtwaF4lr+S3ExA5wtOSMwbNXzXYY0PLDCo8m1Wuc
SPo3iUMtW5cQ1+rMbop+YxUPlxHF4j5X2XzyhwVmoBQqSTCGb74ScYXnGoJ5RmwBCdOd/CC/GYmL
oItsWHoixH4uTHpxsQ35IWjliPItnq884L+A7dKNw0Ivug7lFymcTofdiWuI6yYcMBuY4XnGaZI/
8AQbvbKf/rPMn5oZI5zapyikhnQ8ezKPil6pGdtA/U0Y74sCjNR68q9iY+OP9DUVQ/e+5mSsggV7
LSSZTAFWUvjsW/rEEBD0nukE171h5kcFmwrnhaTitvO+eeANB8QivaWpDQo+pVHN/bShQ3aJpqTZ
XZBXqOhd5eLxMjFYsvJ+QK1D6Uugw8eJ21vPuq5WMrijTu0KERD/IpLsfUHQWWN7tMURvbYDPOM0
7qteZE9pmvxapL0P1p1w8z+oDfFeMgFrh1cijI8S7log2jkG32EZ7+MxTcxry1bAMNLEIg0s9O8p
2Kf4QFDAknkAVQsXBV5xjBRkhBKNWnrNF9r9aWML6XATdmh61tPfFBkRlQH3o4C0QhsZSdRk24TK
IoGPku33QFLvT8uG7ra7uerwX86L8dOqa733AProX8Fx72wYnZINf8cqurlcoqhr2vF7svMJbWBQ
UenQgekmGRCxvCr2Di7XEYLM/DfuwB4xLV1KjnSKhs1xM2/e/NqvVCM1J0t/is++7nMAql0YbQ+W
WPhh+yg4TKl9FRM0ylmu+gMfkZ94FP+Cxos/3UyhM6SEwTjJ50MLBFUTrln3d8ZgdoYIgW1xXGCp
9kC8t6xaIBgUMoSgsO361QgIVf6KdmBUqa64sgbKHKRN0eM76tz8GOH3DYXK3cMogTDYSX3AmsVh
nNdvKDFdHTAHACnZdJ2jtSnJHEAGNqP+XHAcFjhtXskaw+wz34dUPDNEBB13ly7P4Yjfcu7ij8nZ
J6+FVqN75WFLDtsMq/VNpUw83dXUh/fe/Byfc3+ITfubC3pTeH4BJvTuqu3CSyr37jndt/MGD3Dh
De5k9lmXP8FaueMrCDq2QGaHB81rmusu0OdVbzXBa/0GBGX6nzBEQqRi0PkiiK2xyq+Jb9ZHM6Nq
3+f1KDzxHzAu5czVIeAqbYA/ufVhfjZsB2di6j+hH7/Nkf2HI34s0GEtD3zWFegEhRExACkpaNoE
lgtQ9FleIOFqAZolXXB7CW8pe+go9Trk9gi693b0oAX3+bqhw3QGS/f8ouWwIbHHTOgkzHbKJ8FP
xpynsT+TDttm8IW5QuU+K4J0R1WEw76gLcSmsUX4ZDRWKagFxJOgDwXLpwdsVz0Re0JJ65UxpgNn
fEL9gP0yhMRArV7D9qcVMuAjs52iU+F3tiFsx2JzERX6Yt4ApVaXnO9nqtvxwrOJPqBQlJCXx7fO
QEbsCKK7csAIXrEFSQpv9K7jCMuA3BEeqfPP3TCKLUlyaBfysORYxvOW/eLG8E+Xbk+hc/9yVLm2
3/N6ntrzgglN0c2QMRLIz//mNniWa3DZIGnmvuhKsrXNMlGM8+S/WKV51Xr4XtGvyyqS/n2Lw0e+
G79x+dY3fhKwehhRi2kwAX25tpfYX9hjSjzkNizR/D1lmGKE7r5RCmq0cVU+BKjY3SZkIUg3Vr0f
3xLT+gdHw6XeNxxP8ThnNV9WOP9FfCDjhgPOAOKwSA52URseKfXLtOX74zjja8el2jfc+OWG/IuU
i+u8mBacVVO2sE2wFNp5gjr0Jck88USBU6qXFg3MNHUKiIv+4sfiR+hCJzPMP6pX2BZ0Ui8sTB9a
lJqWQyRHHaUwg2FHNXJ+EK08z6mdcJ9DuRtxMvnqOU0euyChdSB92swp4uJyPtgiptETQInTJVf5
3iQ9FJBlTusedXHoSVuHJtzPcYBCDFONpPHw86ttlU0cqZvMvRN61B8vvPs7R8PfaE0ATQ3HZ9yX
7DQJehB8rXqWLsdMb6WJ3rMu9P9BVxvRNmRjjeav/5thIaBFGVSsSxCf1i7xwcMIVCk1KoafIS3z
nj1CxSEaltM2Bq4AkoodwMc62eFxSNNjpPgV4IykItDYt80PCmzFo4EI+vkguoFWINLAAcPmR5zi
FNM2vzuGRLdXAvEPKRG09w85GEsQnX7NQ0jPCiIOHkMbvQl08EUXDZeEI1aLAVY8ZAvmENu2XNFe
fCUseqE9Bmr4Wl90klUo0gLk04x0EAWcItu9g1mwxDCtr1cnqjZb17LrOlkZFDYdNyip1ND+mTaX
1E5oWy/wvNRhEG7HIO9xyhm7vivLGHQxEy8vvlPqFSPUKxCbjyH4z3/RXt6XaQ9uajP99EAWsLIK
MKfAWw/JiaN0sj/TTMfpdaZJe3eCJzUqTQk9iOw4pOwcFXvv1kP7MypYJubdNV2eUul/xcyx2g7T
BLFfHzEpAJh5iV8EAOSQJ3ccn+pA8g0HKk/JHy/2H7DTCUbXNZv9Kp4y72QXhu5knTEA0qOfo0+y
/4nO7XVr4dHdZ3dAFtsd4izOAgUNt9fQwhBeCeuIbMQ0PeWMH6MRWqmJ0jLbMr8eRXTMxzdsLlRQ
xu44E71SLk6DKE1f5xDvjh0sK0ekZtRhtn33Wbuh14vGd5LEaFj10Gi4iJA7TXE/TrBIDGW7BhYj
XsSmL97whNULVQlPv+gxXopI0RorpI3V/OiJIC/9XIOstlRofcOSMxCN9wF0REL3rwxl25myL7im
aINzkCA51RoMT2C/c3L0Dp43eQ8wZoCf2N+W2ebH2GCYEHucAjajiSoGpbPTuIKrlrT7A1BK64Hb
GH+924C+afO8YCiiigmn3ESWhzaTH74P4S5whJSezF4Vx/zRxQlMhUPvnnuZjAes35pC5is5d0hd
XuEde/ejhdYdLrRyjDT8W09CrWfNw+cNE98CV05Yy5/kjGDXWelUGqD/n25jmz+ILHwcFXTtTg/V
joYIjK4qlgpryhGyd0BoPgYG6I5MBHOh11aWO5KKi73boSR4kVdgdBK9tPDjVXYDMo86vOzpVEJi
BHggDm7o7ou15ckxQQ+D8wYYtoy64BrN0b9JhpAsLCoUNmMmkuTAKgJQUuXZ3p2AoWYogdQiG21U
d+AoEuOiT03YrNkYH/PVBqe5RaGD8VPrCoeinlbBxMYn7FwDCbkM4RsGsBc6hk1igxKhpE+4Mo8S
8Ao8JJO9YmfajZBLUiyyATaP1995/gG9CD5uPNfT7IvfIVHhC6HTLy12gyUx24tqijNZj3wdaLnR
AF63XBs4ZkQ21JkLWrh84uzZG/rHDvgfNA3hVg02Dp9aI9znmqB/l6L1L5k3vUOxFRVKVK/svLS/
RH2HAN3EdJXeu/sY26GySfsn9OKHAMWJmX/hNwt8D2oUMnf1YDQ24+gPdE69DbjaTDjUfgrMmJrI
EZXmdV9+RgLq7CUEc6CJF60EpgAj0kfRsruTVtwX5UPQgOs23OyBjxAhGIHhYC8Gf/id4F7ymX5i
u33M3TiOpdrsUjpDv1T0RyULxsr9qGkRwfsXbF8kfrAopzRJm8Xtz5mAOjAM0Rm4uP2YB7IvukXf
MuyOif7cj2nTRfJGBnGxaqonl25VD4Xr3vPwOwsWc/PsMFb/+yOP7jvfGVCMsmIr+tOdrziRlHlq
W9bhKNelQOqf9rovYfgHTY6z04eAtrj90blOQfi7zZeuwmbhaXeco+QLTN4AiYf6oZ3R5wVQAHON
AYXvbSVYTid4tZbDHOEYowg3reA6+A381n1dRO0t8QOz9nOKY+jYcNKsYjz321ybnd8H02bnuFV5
Ee/RmQh8H8a10WWNMOTgWDDaMWr8n9Q6iQxqZU6e4oVg3KQQozT7xKvSMPGr3F9wtOY/zL0+U+9u
NnmVmDzG/27nd+P3W9kSryuxPHnpyXazaj5mCfsyJEJOGOiSwzJ7l5lkmE2NGTp7ueIfpq0rTdKf
seGqoMisa8EAheqyFM0rCXHqDPSIAcNWZytHw73w9JYig6H2fQD4i3TuIdYhz+B7HrsVtAy6NhFM
Cq+76SZYalaen5C6Fg1FDr/yqV+X6CMOLZwULtH0QIMQoZb/m0YwAgJmuabgdBYqG6bfA2DJH1Zh
lZh2PHlYY5g8Dn2w4EGavPeY9emza9P5NkhIig0wOTdhowhPLQ+3h5ls3ZWqxHvKdSh/swGJoyu3
+XerweIqdmvGK8QGvwFRAiMLt6jxJ7SI48+1dNMJw8e2JmkXXWTfZhHmJW38KjXhh0DbFLPfdKxT
J2DbIWzHkMQlB+eT8TtOdlNGbQoVZwnlfOBgmaItzTtzUL02Dypi9uDjsWuCqE8e4fSLftHwZ27r
G/GQkhiVTbqSL4tNcBsF+gui7Vi6tmsYxkOTL46LxSYSX4Yrvi1x3WYeffpIxnna9aaaDYt4yD3Q
KGsYRcuEINlWh7Tsx3E/OABDC7I4co8yFXxPICfXwQyGt3AtECezPGTJBLUfze21ZclHTrZ3OAZC
jFHbJu7N0iyxjv8TMT+l/s3P7c3FLeYZaTB8DsShikifiJ1eZg+5RlMYFiBppgcrUPTnsfgZsCb3
FsDNesC/xmLTzP83U0Mf52HBh9S2vearHh+cn9Upgwu6xBgkXZqWKRTW/psUGTWVtB4oCUs/lDBt
ydJ4WpYOaGFMSTpMHZYAe/pTgk6ETfYyBO4CHBotMRnKnzjFsiXH1RX9xOxy8/NaScx84d36jsOF
lej94Y+B8bLHRVANmFV+9iHaWW21QR8ntzoch+g5c9AbwI0EK3UbjvBCa6hzCCLD0DA5Qa7Palgd
ApT+MFS+dpzpwq0Cf2icx5gGhL0cMI3L+r/dIrdHJ4NgOxrBoXLP6wDh5v/LalJJ1sW/kZ6h4QoR
mB2Q+EtPaZlOZDpmP1JLt2vE9qbeXGG4hn7Yz9jZbBiEpSs03WlDHC2sad5Jjy77WFat6pksGFOn
zjuPY4qUXHijtzKePPewWrzhmAbMP5qxK3aJipnuiQOiEj1OobZ1dkWiwvmLjmKqlbfoS2rk3oiw
Zwc2R/ElELqvM+n8j30n37iWPtMoPy29IVeoD7jml8hL/rieZpeVzTMuNAfvujckmG+y/upZSm5K
L/aFQ47GrxfZbs8sDt48EyJoG+Ksvmol+PfgnDwCLDxF6AcAFpnm9UJ3hdMGSB5+E1E6Fbpt1few
deMLSZT6ZUNQSatYALpTQtyEXh+avdUVFW36asPEHHu19kfIVUOV0u0+MyQO/cQEXBa8+CcbOH7a
cCxf5tSs17yPYTYipB2bSE72Nvqz991JeLXWUdH//D4DqDkUBjM930a4fjcYU51p7X3uwgVA1H3S
NZO2feziOWwmb8RoYgQG1d8krjHYRdBoscegx29+E7cQxTPoKTp91wH9qQLT/mRGCDRTgpyHVSxw
sCTwu8TpErwgMKs7kW3aMKJCfwMk7i4eZwgnR8XcDl+YNhGg4vQP3P7QLIIZbrnRiBNBYsoH/HdL
GW+IWvFT8i29fi2JWMQNlu71EnhR9xYzZdIqo16PQqx7hDHL/6n9HMesM6X6NNPN/JeqWbwGsFne
OHcGcOwbTGv4fcPBW8KPD9ZY3uvflK/8ny+2AHY7wqZjtITqFsG8A6HB7/SvXgK9WyZePmJrtYOk
PKt/HXHqoWW7D2JubuthhWGOAEB7x7KdLiI2wSRi9fCsGUErCbDZcBwUcregjY/tc2hwFEkfr7Y/
zMEV75es9sxPi3GH5uUQcHSK1BaJsqcMvzFpM3yCnP72ttTd5jyFLQwaSbEma3/yu3Vv+i1ay93O
qgE9Xl0ys3ooCLuu6jRoxpTJoVq81D6LvtVwmvfTM37SeEFnl/xHErMiegZZuEjnWKfgDS6BAarj
FJPHLkueulR+xAPCTjq4bSuWdNhJ5ll+7FSQ3X2oZevB88PxsdtzfZsGt39uk8LId9yn37keRowK
o/whGeGjSIN9q6SEzWdNBr+JxnV6EJwDYM1XWmo/gf6XbvwKXnJS8GiidT/wFk65sXuKMpAcglx0
xx25ARAREIjetp49GDoNzRDMmCDsPH0ImOwvjGx5bZZ2qwcZlRbXQ6kUstRkkOG5spqUg83Gc8Aw
Y0OQZ0wfl16YT0osVEG3LLpY5Zb/p1vbvkw0BLeRIlyZL0v+RXtC/o2M6WcbufZRglZskI6UgM1M
eS4KPO35Edr/TzGUZewZUZoAnWWzYN/Trvt3DwO6uoN//ZLn6/jgdfJ9QNJg6Y0s/TMoy8ufhqZu
V+TFVG0AiHYULBMk7x0KKWHi0UV8LOW04q9hYa8xHs76PPDC153o3i/AVIlXcK6TIIQLF04r9LQi
u/U7B2M8jExFI739m+MgbpzPcZpwaHQ4AvFHAC1aHKe57x+Vtkk195Os2pBBIA1g3GMw3T6iee36
owcVai1gzUzvNMDpJadwa4YNW0g1It9I0XMoirrjszjrZMN5HUtsNOOx2b63TC9RgcCB4CJizDw1
VPDT7iWqyinseZZ6a4lJwl5EMyHnhIkNpJCVnly+q2us2wHOV0U0hnVbXHtG+L9akbsaUzOM3uRz
tFII+WhhPTw9Fe3t85K9BC6ij2Qc9leXEHmVnWFduZH4x4eHNHPHYvg29RxcBkwa6k3AjYdw+h2H
EvMaTo28BNp0TzOg2lXeorDToDhDT5uX48hWAbqcJfQyEUjzGCd7FcxwtJoVNx89kKCFMLn/M9yD
46n35+9oSLJn59Lpywo4wcuU/Ry1MYQUOfnfAzEhBLspcweUueCMz/M/Z9S8FHKYN41yKudfoU68
imA8W8VJBI8K0eyXRHzCkyNq+Q/NP5wysBNSEZ78/oubpOQRPFHOjsO/YONThcVfd3NLssiCJ0g1
TGEN/HmmkFgVMJ08DO2T7KmBHhuJl5y2sBxiOuy/DRgq41ezefkrpnrw1gp/qp2BiSZJWuIXuC/7
v1MUStTuAdlfejg2y9FN9ltEPylHCLn6D9pvd8foB8LwjkUwunHvo1c4bFnrOphLmIbTVKLWxPbW
A6KjMA4I3frXN2H4RiejGrqw7OomhaICmXUXAnfBETsymKDxFU4eH0Odwsw4QjAG7yGoDHx89vAJ
z/BlhEU0ettT4GX7nXpZ0qjI+j9WL41zYJ1EFXqUVBS7bTVzSHQKptbWBo61BIO3DQ+utjGuFW9F
DzQ8W4v9j8hf7q5HEQyb0ICPDGtdtfdLVK4xvOIXQ4HiMywVT2CQuWLdWCCrOVJQRfGEgFCONNkX
QPXjqeBGkufMw+BMrk69eeGWvMX9Nh70LjCfJR2ioRz2RffCzfYIJ7s8x2Kdv1SM0jNx24SeUarD
HO4jroUFe5iTSr69FlVwu7iDx7ugZviBFVVWXlDfwd7vyYAWiQdZCF1Cd/dH4iF6A4JMl/b4snIA
DeYpI7/gXaJXNCP8HgC/Dulz+Ck47bQXXmbzZ5qN3jNf+742Kex5lHF297flM5Ow2rodZV1KPVbj
5c9L3nKLUcrWX4c9SF94/DPaXMEZLZkUCJlBFkiIXmogTcTM8IvK5BwYvt7QpwAgJ7zktxZiqPSI
kC0YvGwMRxjdTs6m7mVYAw9O4i0IMXmHAvo0zPA8wSiA/CHWMgjlkRyOfb/xB65hZilIjuS3yiS0
14WEHIaKWYa/YywUf3XtgG+gT+l/nrOQ6za0UR3r2ybLYDKK8aqt5ziEpAmp19Bf0QJHFAGw65bx
bD317eLjlUuj7kgYjeQx96DGW7R7BRIO0CElXfK4IKu4ylo2wqrl/Ljcu8yHpa3H7Yc1kjezW/Hp
Qce7p3m3XhIJM/A0Egc3awgINhZPBZ7BJXtFCp2D0hJgXID/F4sCec4eh5ZJjM5XDFEyCNeIs6MI
rI6BddRnZaYZ0cWgWFXS2KkeXAzD3kJBAoz6DbomDAsYsgwmYG+K0t/pjoa52XNif8MWC1mHD2i/
d4IBbDmHU1aN3AXHKR3XruRJR6542PN3Iq16spMI8OHRaxYen9CHZFsA1ToZMjiSW5XVW7jGZ40F
r7cWH/2ChRhVxAvbfkFMHuHuUjAaR/BoVvNiIb9iX+Ul6gFezDKYdK1aLcSCtD8sZnrJwu0xJF57
UaaPavAs90sKwvWH2ElbdhvHf6QQCuUQppWhaDvRrCI0FCOUP2pYFC83l/3M8MPhuP7E8AW2Hxo+
w501Qvd5ZSTuSkVAlGuRV1NZryWPAXg9pxmm4Yvr8aNd58JG7XBjdxLE9T3t0BvuMLFOkJU8+0pR
SF9E4HnFJKPwDYFBMRYogC+k2dJelcj5C9gP0zfX2EYqJiDub0ikwqhXwkFUx9mc/IygYniedup/
RrAoPU5r62DxwI2BPXPyPASxKqHk+5+DNPoaxxMuQaf8x4wSWuIZnx6jHJzaBciCj2igWyNhrkEW
2NQ/GtQWZ4zvoTqHK/OKCB0b7g5M1Wnm9zUEgqyeR5I+5ia11eBC+rqgsPoQAgq2i5L2qkEra4Yl
yb4BlkHuDTzHf7Gm/H/snUlz3Eiabf9KW68TbZiHLWIOTiBFUpQ2MEqiMM9wTL++D5T2qphoBsMq
1m9TaalUIRAI+Ofun997bucGKHBW5gQcRfX1bOukeI7cNMjMW21srO9mnY4uYecJ5pgRty76liLc
27FFSl6QgYOuffrCIObVh9FocAarhnagI+x/k504vQ80e9iVxC29TGaSrXOMwj+CSisQNejtVSz1
1r7JZ7GVPgUjreVOdoVEI1GOuHHJkOKfGXLVR8NOxXVXKvVxLLTyGOUTqwCN2VAaJDw2lqKv8XEM
SOXzcsX2r33rwyG+Apka/+y7NNgMSY0ISDcMZ8WCBXszq6uQFEFyLgNXoMn7kdWawd9QFXwBDh3D
kjntVUmd6FcdJQ8sAId90xutCwq5+IkovblKRJwc/MgyG6R9jFNmWVuu3NYBDWVXRbcLHQqZ09jF
lhZde7RpJ60op5xQ+xgKGmwvcxhVt4UPqx16XCrfWcqHbw6qxidc7gS/E2hpHGU7YIJyKk4aZk+S
g6AvCx6DGH+l2yqSs9esQV+PFp8IlMPmYLAfdmzSi5tBxWwz1BPxNJYwMdaYVsF2yDhIY1KrzFZT
u2EjYn1R5uBBDatZoPXKa4PL/LlUzHY/CEVbBSZhnEpUsP0fGoM2ZUJzpipCFGdl0PFAhT54s9Sb
Ad+NCXKHbiD5wZgqN+ftJWtx7Nk/+EcKvco5uurfRYgff0t2RZekVXDFq1KP0aiqIt5tZZjaEd9o
F/6KjFzfa0Vnb1Wk0JzHOPleiYMSOn/Ts9h2zOFYMUBZBQEUONTzHovGyng06qr76Tuq/xSEBtGS
oIar68Gyq181OZRbI0Shpg41D0MelYcpHeiVqHM/uB7qu7+KjvPVEXLVrtWy+K63Oq1f4WWZ1hXd
1EdLxClJMKSv0Tv/pYaKlq0sChn9FbJKNd8Pc9eXI4dsHTguexU6IN8QWQr6v8qvjkxA6r1mh/w3
Q4n0J7MS6QvrF3tVyXa9/osza6cu5DDYC9+p91mptb/jCfUNumYKZUZAqcuRPlITpRcb4uIQamFj
3wiykFd0VaRdHgbNoUGmvS4btaC3Nb3VHO+DgMiRa/ZZz3GOyE1Wg7aicayqZ+mj4Bw03SScRuAS
zDkhzlq95OCXYx/V9VkNXcuGSPdjIunXdT/vo5OkP0LIyPdxq0VstQMOX2xriL5OVsnZJW8hJ1Ys
i+5ZSdzYbSR+RE4ybDMSVTajJIWPUYsoeVNanLQPGnLGWKsEOZ+I7W1EZOsuZ4A0bRB9yQbpxUxZ
SbZ1qh6BgYTHIqqbp2EKBxwbmX4fYBU65rVerC25HbZxPIb3f2ltx55ct6J9AxF4pVWSsy0Ny95q
WKkBEaDxjZUn5idO49vZ5tD6ESKu2pjYbUhV+zMI/GidElwfu1qZEScc5LxhlqXW36kO+Yaty7QF
C0Bq7ZippfuXbkQ2RkXNwRYjyi1zl3KvcWJ5rRqhDenD776i+i+fAoQy678ixDdDIffmLmb1s4vD
EDFIw8b4rxY0iB1qabgfkOR5sY/+WDLHZKPocb+L2MjsBM4i949l9/+7l/8bMNdn7uXbGTPwX1dF
/fb6nlvw5//1t30ZJ/P/EPwM4sSUmcEcGdjK39wCWAGzE/lP+igoCfzK7+3Lsky1JpqNcg26gJtg
zp6xBZr1PyZeaNsBVEKeJP/7n9iX/wmxkFQ4AZyZGuoCV9CTdVXOSrgHx6KRxSpR2YX2JP9HpJ1/
X30BuyJnkBMcv5Lu89j4lvFKuiNa5nfP+QPOwak756G9pwY0isCBTSvggcpyh9DJXjeGZVx48Zng
9A5JoNEpqDKyWu/zNP5ewgun64hL7bI7n7/R+4t3DQ0XnztvehaCNISvcKmdgw/9kzH170e+gMc4
xqTT5UiDB/ocRKL0UvGa5jJKGI5LDpfd/8Ln3vMJ0jTxEcoohquiT7ZWKvtnCGCnftYFDMguKfAI
S/17Mnnpkun6M7ECjLl/8UQ+eGVOPRt4BO8ffMO53DRGkXNvdQVrrZoVKdMniQuhfOa9mYfNv1EA
/3r6M4jg/Se0xTBMuclBfGCV003al+W+NhqF7nPUMt3NemdF/JBkK9l9/pVOPK5l5E5Kmu3Q0lO6
j4W4nZAm0mvRz4XWn7r4YvgajpbnuWFa9wSg43/vSCysja+f3/ifR/LRo1qM3wS2gLAa0d03lbJR
K9oLE0QS/6C2z/b0VNQ4gVmIJ3dJFW9wpKK73Kfip+8frHbL/xbOT+RGf09f/0DtvGemLHIZ/v27
LcY7m/VGnzi4uBd+hRKz307BlYQVOr4x2aga2g96yu5A77JTD539YrHVzxmyacVaTL7OHCxKf/+j
6oz572QcEYadxbnLSMbg79kff+axzY/no8e2KB4s7/xsCLvungPGg6b9GGl7mzwRbbjCRqj0eObx
a0q1jbBmK4lyBTrBtdJhJecOJ3LVGWbWH8jYR/exqDOIvGOpVkcO+LLZGuEgWK5cO2t3iskTwvSl
sh+hg3uPJIxWN8vZ6wKCFNGTMQo2X/fdoUWiZh6SZIvlx2XV9PkTsk6M8j+YjnflFT1Hgj64jO6r
rMO+VVuHHuuxXenolBDVtam86mtw62FZflGkVLhp0yGVN+JneBfXjVz9jkrnOiqzF0eLHtRRuhFO
9DI0wZPUgC7CgY8P5NizlqzD8cpWpBtLIA0ZwubQ+toTZy4/kkxe9zQSMKwO31GrbMK0WjshACCJ
007f39d2jJBqujXb4QvrgiMCrJ0Q1pUUkg8qycf5iUUgPeg53Dad2E26ch9Lzfcor27yknxDTa32
DsquMErvIxM6WiXhmEmxi6fpcy/1W8IyNrVB5BaAjK2aDkcjKo84l3dNV13RvbzVlPwhTcttAOMU
eZbv0TS+sAouarjSZwF2Q2J41Y4JDrrXgPMCNZVI1exGbnKdEyWtcX1MXJ//5qcK1bKwD7SrjJHN
PIfgWzWqaVNkm4suvYwdiXs8lg4rc0/veSGm1sSEWX677NqLxZdeZIltllrlVfiF3ND0b207evj8
2idGgbyo3Z3UYHSzjMoDjAP9gbjP8D7GHnFHB8f5zziQ/yqb85L2/XSHnG609GBsvLF37oWeHmM5
OcNLPfGTLuGMVt0oDt7uCnWxJNwpLR4ECrf1ZQ9nUUQlY7ClWAsaHJt2v5KMhJ5Bk8i7BOnihe/N
oj4Ohu2UALNqD+uvR7oumiEzP5fqcerhqP987oIMPmAcU+3RWDBcxwjqfV8n4WVrimXeOUfSMWm2
aeOlQzq3h13TDN4+f/CnbnwxUDMnHCM5FLWnoNqnCzV5QP/LM3PSxxeHYfjPp2LZUtp2PWUn9RXi
Brlz+NrWRWNVX+bYxpqUF3MPyEsG5+eU0p0oIvnMWujUjS/GaqrWY6wXUetljb3LazTdDQfDZ4rx
qYv/nzE6NlVic3HV8bc0cyb8Ls24vuT31J25+ryba31jqHGa2lSZqg732OSMdezDePr86vMP93/X
GAC+/nn1rONEpEfo6NEfFJA2yQFIky9VEl9xUvW716Nj3iITNejAnkHSnXpYi1HbmOY4ycn8sMrk
N+/TSsvRcn7+bU5dezFoncIKkh7li6fWJdXegSpQQBP9/OIn1mNQDv/5rDDeAsEssYB0rZW/5pkh
fZusqXHTzrc3UzXI24TXDCZOpd7axIL4boUZcpUYygNLhuou7wx/O1kcTg6Tqd2mwBfdvAQ2I5mK
4SLs6a85ufyVcFLFUaliXvgCLQoC8hlrGCS59UrbfgsGrBeiO5fZ+PFmjOTOfz4SX2R+7SBT8lQr
kfaZUVsz4vBZBlNgksd9LbDIbNJSbg6f/wYnfuAl+nFq+8zJafp5+DNdpZY5cW+BfVx28UWNINjP
n2lLTLWj6a+k2mrdxqY2f371j1cLur0oEoqGqQqXcOvhzowQ5RnZld632boRinLRhE4Q5D9/DREb
nHGaSU1yZsGOYTB1UC+orz7/Aqee/fzn7wtRpZVtNNiNZ7WjyolU88scMVB+fvEF3PP/rXNolP3z
6jDgxizimNRzFEc/yG2Bo6yPflokXrpaVU6beOjwMtlhcjNy9MEppFZt0pCDls9v4NS3W5SOwkqp
smZde1PWPBRlfSXyc2lrpy69qBuFFOt1nbWtV1j6z1LWf3He+evzuzbn2/ugftuLwY0aURP+TDWL
i0EclGokUEnLHfarEp6eADvrusSjsE5i66sZhvq6r5TKTShWRwlEIjQlLBrOhNsLd7r4YmW5dIMs
3d/2mArY3YwSMCk/W8HjYzr2k3o3qSYpx6Xs7NLQeKw6P1srU1+twaipm07iPCm0QwMFErSFTmmz
fUu3fI1sXNvasLzgyFQV2lujPIQ4l9wW0M+t5HBawgFos87UyX5JOO1n54dcWsOF+KUYh/bFT/rx
qFRGueYkYNyMtvxTjE28knsrXo9JU7pTr2QcbZi4JUznxeoytCd4i4D7dSAWh+7HEOFDrLLowtlm
CVVteikdx6GoPGQUyRocAHKONjtT6U5MzNZiPHBCbutd0pUeuKVsxaGuNeuf3jCv0nOAJoQPuPRD
kBrsPKYiDM4sTE9UqZn8+36Qd3WoN4Fslh6lPDxgoMDx5GTVYVC7M59wYjTMlOD3n6BCskyImkbR
U/vXUoYSo1DrczGmczH9YDgscx8TtS/8DjumRyteoLms0cg5lkTnQBoPCtGpZ36dU19iUcyHKclK
2VIarymrO1H73+W8ePx8SJ/6BRZFfIgS5GtVX3k4L7Rvdq1lD7k8AfYxk3N5tafuflHrxqlKcisa
Sw+A4TXepV9xYn+97O4Xta4uRzXuA9ZIdRqpV61AYT0idrsx2BxfNpFai5InNDWxIB6anhrJALHA
V3G2XperckTo+/m3OPGAzMUoEJKwxnpUTc/kgB1hxfgUO/2ZoL1T1168/5NlVlFXcm0pBb4q4vqm
bC7r7OvmYgWToHUMTE6/vDhd1cYuvGwzrM+nZ+/HrJXY0mhARPDSrj1kTv8aaM5laxZz8bqrw2BW
dSObnhU5CMz8IHHjHnjHZT/k/CO8W7PUjjT5o40RqwoVnFeYNFejEv6Njz/Z0j71Sy5KtNYPHdja
zPQMqYjXddre+qNUnLnz+Sf7oJL9mfDf3/lQtapA0echhCtve5+DlMDB3CAcBdiNA1ebBANp/flj
OlFzlokEGEiIyOs0w7OHCnVhjK7btmvpFsFmvv38I049rMWolRwnQV2vGF5fRhjVqmdJdd4uurSx
GK1BhEyqrEd+5EpKYJo2sPwMVFiXXX0xXm0T+wlQWG589DtXsfMvXahcNo0Yy/Ea4gVEmFl7eVxA
60WGHZb6y+f3rc5P9oM3yFgMWhMNRRiTwecN8XXeWjvZTjA6b9X80Q8hHZU3Q2SsZWU3ZG+q9iPV
vsr6dKWZ+MSQq/Nv1TGaEvAaZ+ren/Oyj+5nMdL1cCjGJM4s0nJ61xyGlQ0BRUEWNDoorf1rDip0
cWdV8SHpbvMcJTvJIKLSd6Bm4mo+xKj+w3yXf+02jPktfTe6+jguJtNMC4/FwbZIDQ1vVyzODN0T
r7qxqAu53kYlW8nC823jBhjcsVelc5X4xDGavoyBDcHnYRG1M8+GJfAThICYKQ6vNOejLZoWeqAV
cCTczD9Cv3vUlfIZbpb9MIyTtioNwFGga2C5JcAOOpNzq6JTorVWqv1dp+jBfdHw95rWtvZFUX6L
GlS42aB+57DhRquq9MIntFglDBz+G8Kvcw+L0G9VxblJMOR05uLz+/3Re7aoNFNWmBVWp8yrhvQG
QBWKCDZ24G2yVzXoLxu5+qLm9JwgYQTtU48cileBXczsnz8ftyfeHn1Rb1C7gklDkub5g7PJnBhd
UXnuuRO48eGz0RcFJ2rDqYIukHqCM8tDCNj+S6kV8Y0qgZQpITPBs2nKcuXYVb1uA2m4RQGePkAu
gnPal+m2Rze+hoFn/gijoru2tVzeBhGtw5adIFoI5dFQB3Xrt/3bUGsAGHoMFOsMu8U2iy47kdf1
RWULUoirpErx8FuIB2pIitGFzbJlTjjy6VxL6yDxGEU7CJDPRpueKcinfthFzSFsj51r2iZeYudv
Tum8KOcSY09deVFw5H5QLFkUsRfURrDRG7PGI9XsLnsf1X+WSsOqbd2a+sjDM5JtlIBgeCCS5wbr
nwSqD0brnz9/V4m1XDLKCaW4l1nbDkAIqxqaY/e5OHDkns2umBhSQfGqzVN7hOwWApeOPQ0/M625
RJmAgxlrTLL0D55tPdwaEA8CJ8S4hZhe+cI4xRjwmGBxtsuvCBtYI7uJpn7xu2rT0J3kk1r7pedP
Qdf+/bFKYK0ue3iLWtTLkoqiPE29YZJ/wD9cNbPM9KJra4sSxGm0EmtJkXh1V3BWTr5TpF72m2uL
GoQCNDClJE88vwquC7W5K8VldVNbFCCMXDHI6myum7R8bNDNwZA+XfZAFmUhpcCEeAkzzzAPvu5V
F87n2mLhUmRprvTmkHgakmM8bFlwQMB7LkzoxODVFmUh8YmaYMPJ1YsKfrh4oS/39bIHsqgLeVFl
SVZDM5enBEyISIBN4hxYX3b1RWEIjcI2h05N8AGj0W6K5Fb3VefCiy9WCGWhmrBXReyNafBVMUNs
JzN/5LI7X4xKf+ptDXdQ7o1lnmwDBNaaVWwvuvYyqizRZfRvrGo9JXaaTdeDYswciGOXXX0xMCe6
TgERURlgER3sf/4DkO65o0DFnK/yQS1WF4OTwKwkEWYeebIq7SjE1wx7w3ym1hqVfZDTmkTbQ0PI
DDUa/f8mbL8CZNuoo7oagwk0JVvsTLoPoMVpgoQpCJd980tLHrlCSmNYS41rlauYWDE1U+zp/bpk
iRw05RqbCukzvKTF14Ldp0lt1xIYqi3MscmjgJe5sS/EoZO3c6lurN4t5XjHn0y8FlIvH5g/Ki2E
V/t9KAprVbc3/Ec10VkgQBiwxx+2/0u2nxRfcXX9js3uNZOBNtm/6uFA9sOa6i/xY9kYqqs4nKeF
QswxBfqOT6+sFlhQ5Q58kah8iLNDwveRwjefnKrM+dkIaEh8DpdU6AVjbXK7+Ia/ZhMkyH0YYGzt
jBZu9vdjJA5TrrVdq7N+gf2HyynrAB9vY/9NdOWWB8Js1snl0U918vdkoJI+ZrTq2Mpbxw/41+08
x41YBLIuvSsUuFxD9dV3UFqWX1XjkPTBtWBbo2Sz8cj8yj0E9FcCHPqq8lI3OHBz4xu+ySs/h71Q
5YDrsUIE2AraG9W8tjhACmEwmXRQRZOuAnh3w6TOgP39/AgVQkPYlAl5K2oT2+i2bb8Bv3PlfrzC
z7VOQ+SD5Top8S2QxiNe7MSEpe9AA5bX1YVNhT+bpHeLh7DnuNeBp+g1cUDcjW98x+94ZuqeX/qP
BsOi6gfANbGIs42w2v4R6nLPCRQseQ3mrhvVYQtSAyf8ZcN6MQfYBTCCDk2IR0jcNXiaJz0wz+Sx
zZf46Gss5oAqqTDoiSbxTBHqB7yXoE0Hkt0vu/HFHFCKwTHBqbGPloqXrAei0WZnerB/wrk/uvPF
FFBxaG0YvRZ5Oe9+OIQrEgaODLBQGDjWt/OKp0nuQay1XbgPJ+VWac9swU799Iv5IR3aPB1iP/Zs
Lf3NmZfk+U5TPmamnfzWSHy/tXGSnJmLTn3NpZ65Hn3dLCcz8mzdqa56wprv88aHVYTNxRVCGm5y
O45WAQ5L7KcgIBmTinMoiYyA/KCIAx5b5cz0cuKLL6XOZOCmaZ2SAi9jb77BD5HeQipMXyJZB3ql
jwGxFWlz2bujLGYbPM9glsY4hzbUv+JKf8nG4PXz1/LERKYsV4KtNmU1IhZPCcASZo4VwKnABDd7
oA5yUjt7yUnHNQjH4kx368Qw+5OG+K4S4focfXtIUk/N426FwIXTxvTCg8Y/6b7vLm5bhgqgaiQD
ui++5dhtM1n9/vmTOnXfi/KghXUj2bpIvTkWQTG77/Q7z7xMpy69qA2jkJI21tXYay352W9i2EXG
uTbYqWsvakMRN3UrY/8GCyZ/hc+/Tav2zAJOnb/6B3VHWYx+xbcLkTp65NWWmh2HUcZpbRDz14Cd
2ISxGgWuhFF9AB9WqTMX+N4idRkympHF65DwuV1RhCrJB1K2lsaq2wDJByUdONWapoKyrwFwu3oX
mNuEL7HuVSVP4FpX/pkvcGpLvdTT1s1IMFbphJ4A154YeD2pJCAByAKw3SG/Zz0zIqjgHzI5hknH
eQJLrd78agBPiA1vXlFNGImY1ZvJUxNw18eYjL40BqYgb9lUt2a2SayMpB6CCvTNvHTobH81r7Yi
7XuWPIiGUC+dM/k/yaa/ZPHSiTPzwomfXp7H/LvBYGaWXBox346FbzTulHODTLX+qJY++OWXgt7a
Keqe7mjspUoZfhmjUmxpnk5Putnb+w5KxYYUzHqTKBnINaDJu1yCeDGjfbSdYssYFOHEssIhm8uB
gqyukFlkz4ka0q+QGp1Ik0bJ1lHT17d9HdH0LkzT7awYS7AIyQNz+u52KIwEaA3SsKo0yBXq1ALz
u9kqW5BgyVXf5s2qDjL1KNclKxG4Jt02RHPIL6RLT3bhPMipvDYG5S5sSW3QBqiewC8Mt53GFFxK
WbtWWM441dwq3DzvILRGkXYthY7GSp5gVszP2pPe69N2VHMAwKkU/ZZEH7/agDzeuqIr38Iybu4m
7O4wIp1k44D43iLhhswqFPGVdL9gwwixXNIoc5rL4OOjeJCvfUT8W7Mc0oMWS/a60ICwKcaPONTG
jY+rfwUIqMaoGg5HdHZWBRwhJv3GCXZJVb1Gdt2Bg+n0G1vP3nRNDZ7DKfzmEFjzlTwa44q8Qn/X
Q6DfGnKZreSMxBM31/ruLpfTdte3g9iPpjDXKQKV1RzUc9Qxcq7RVrBS7WF1ZkX0jPG1vI0lGBlS
6lfP7IksQg/s0nzVgR/fxW19z3S9aqVQ34+VHmy4du4qMhFhySgU/gKn0vBie1JkimSTWlZw5ydN
dBeRH8EmvJWwXcff+wH+2phQRsYMhGaXjeq6lpRulchN80WKLcZpqf9GOERUlxrkd1wWpUctPYkU
QXUSDKgEO1gkx6iLxsM4RT6u/NiUfoASUtdaLshPaaJ2rymV5AaTJrZRZqnrJgi7fZDkyiHWFX4d
/NXA7NoxOMh5au1MLRu+yaAm106lE1OSD/KuddBgEfUGj40Ymo0MRNyTbJH/mHH3mH8RBG0x0sZH
34wDF303qzJrHB/TPIW6LEsh/X1YKLACUtNu3JrainwMeI9oHRRIsKLgQih4311ogX26gg87XTvM
ofd1qwdvrekXGOBT7Yce6HXGvtAnCg2o5taRYLUTxSfvCl+116MjwXq3B4iDk6x9zYxGw34u+e1r
nGrWIe/LYNOM6biKQ5nMAFV0zW9ZN3hDCzk52vjtXoFqdyt9ZHcpZnjDqEjJTlRAKToziIEZQGGh
g4v12SjJ8+vE0O4nuCuHGhz9q2/A7i17C1hBkZYDI6LVj70FzKnu2PAKtlRaRTCY+mIAuHHU8FDX
EGGzwez3VWRNWGUcB6BSmB9zZ9K+NXKk3SiTmNMDRyc6CgYmS88UnhNYk/uwKZ1NwGyyk3u7qTZx
a2XPSpdr14akAySGH8mJGYkArmOl2puR2Jm5ijVZbBGYNFe1oF1D4zRSbsPQSfx9p8wRLKU8JFeT
ZgCNwMujHCBo53d2JSfORnVUtKOGkT33uRHvMhw1T20zg1sNrSrwkof2QPBAlgA4qSIcNBOB3Icp
VNmbwS+fvoChMldD1U+/GmPCsYILezTXrTHI4xYkCiYE284UxK+2xPSj6gVIKrMMBDrwof0ZS/CR
uJAhnoWT0NRK6v53CXUGFKWYg1A6VRP39tSYm05Vs2mTOmmzFnrVQzOuAGgPpEOSOzlhHfRFeVup
Wbeb2kLbGKXAXaVbTbaeAjU/xuTlcmbBt8lDkn/rRiNahFjITU2M0XVGwO1V1SjSJitqmpiFTTbM
BOKaxKgh2Dh5L+5lGoTrITblTdOiaku63llFuUbgH0AjkDdW8Ra37fTaoI1zjXHyYUUTk11VK7/A
9T7l1yX5NwWhO4jKcl74gfgpydrHjVDXlgRAczQdmAGR0euu35FZBXtJDn/YXYWTqZcNTwsUc3Ip
FfoabwFeurIl8cwADQXgD2C4SiiXMAQYMJPIoVQJpxWZPaxfG7CKZdiSVgkcoV7rcdOat0pTqDPP
of3e9q342hNbdR0gxd1XlhjI4vLt5At0Iv8+bKOOrkkNm90gr2YtVCeE1uLjynL1XB7IhuLMhqAF
8IBOCvwrMpVXbTTaHyMUshWs+uq2BebCUj3IjvpAlIcWDnQQlJz8jYJx1BhVCa9DM+/MMWoGNzEL
ljcj5/K5Dxc+rDtSI9VO38hOlj8Bzs/3IY7/2xKm4u84NLHpDcOd3fisW6JGu+NbafAahv7N98fx
vkPkvGqJGvyRxbq9ncZO+qoD8Dj0otS+CTJhebtgD4LTpLYB3HeDWP6uRPFPObPuwpis3rhRtPu0
0CdXHztSOBTRk3rif+lVJoBMByRqNznxD44Rr8m5LnnzBkHqsvE66aPuqrBtVrY6pMSScIZhh9JE
EgL8FmRy7V2T9Y3bTCwru06DeaiRUxgp0N9TTQU5g3XCLcOQuBONtV2VSGBwUiSagMmNlbCIBmXV
6o4Zfx5or2UeQ6XIVqTJZivC18p71jM/5ZzUptiYIbqZI93gnK8PGerYdVoaNovWAa2LunWq9DCG
dbTL6vkbBW2wrUOF1MyAUDBZtnPyM1vrtgansHWSUn7ozVTZcHCXbBLd11D1yom2i6Cz8fk1pL0c
LPcjIY+ati0aJWWdJSRgnpqlhmuyOuWDP8k5Qs6x3gph9iuSe8ztqNnf6k78LAh+A42r+psU7ujO
ZO2+0bJIWqdQcnn5h+wI2p4RwRj1N6o6tFsrEQD2/UJvN4VqONsuD94IIATeaEWpDtAs76JVlEGg
xTkZ1Y/maAM6ZyewDhVySMEHJrvGKcYdxYgeHqGNuzonbzOevZkRFL6jpnQgycse12hZB86hSyvt
Gu3agx4R5aRHRuVOukSkNgZmlA7V27yyvcWoK1wY/YBHyd8IDJIB2UkUagD9MazJS5SJ0ouM0thJ
GlTTMg9BxUJD2WQihjnCTHLMChUiOED/q1RyXsIpNg95pEvXWdk/BXIH/h+176GrFO2b6RC+EOvJ
73okQThpi2erJJNZZyFH6zRBH1JPhvSkw1x8pQMqr+rSyLc5yznCYuA7GbUDYnfchoYtvjXc4KrR
lfw2kgxlbxeV/2QKWKsT0+d69ncSgfiFYtKvW2nonqpJDn/aYI1JPxumg1oF1RZUZbNmxBYuKJiB
wdE40U5LG2eXw/hbYbKX4KIPmnqd912xrXILcJDW4RR26pYAN+ULCCwWig7e2LKxzGvClIKrMjYT
+o+5doxZmxCLWOc26KJ6eHMIr7RWfTOSjuznQANcSYeJolAg3FJPe4sVjcMeSrLHleiN9LYisOfa
rAZWv4HSCYIAB/uxqGvQuIEaaT/Jz1C2ZlcHV5Dn7lgzqo9x1z2TG+OvemT/EN0CeU30U/YQJwUr
DfQiEN815672a/Emk455DJzot+mU8kYrI5VcapCDLtZ2crgCVdmH0GBR9sfWTVqAfyWMhM47GKrx
2q/YUqzyNKzmObtyC9GNLrXS58EAGJb7SpagRVv5tyQncmhlQn4n6DtKqIXga8PYIWo+am7HKrCu
wKlH36EExjtMzqY7ZVm6tqJw3A929psePvsb0YRXCXX3SuAw2Q4teHPfz99Sw2ohmRHfxwMLb0eN
xAdfYcVXql2N6lQZt3VsTOSVaQ4GiKR2dXIL94qmURb1UOfUtieZVogJjtw0QtGy42E1SpETbRLi
jSjYjlpvnVrW21WoE03DgTfUp7B8yWTfvoYLy+qQRQzW3ORnUXUAjseCzA4yYHmjZKDBbqdPOMtz
mdVF7ahXfRhkbmyTJxbM3t7CGoeNFCVvOuSXe02rx42gQbsdyGVpSRmUskfgYxkWiIzOOvf9S5RZ
B7cuIK1bja3tUJfmDlJEdqhSy2G9K/ItpFJk7m1ffqtMgN9lRKCsZk3E2tEdh9EVAStKqmYtdb3Y
EcHSXPfAZ/Yw+/MbMSjFvm47MLr+SNAWmvhVbJL+LTpNf6pJpL022hrCG1IA12l5pQIMFaRNUt5g
CaZsBogHKwqmm1gaCWLqCoLCAZkzz/v2ilMH62BqZf5sE0PFusGUr2VuAdRNZCI/Z0VsjuDphjyt
b5UwaNnBcnZW6dC09aEI12B9CKWzRPIlHrkDOufWAQtNGPHbSQ5MYvB1Lvmt37Km1bWNXQT2c9Va
bewOI3hvm4C9m9rvp7uUxccqLS3990RfYYLJBIKYfazfPHYjiQa2PJi/AvKKAbJa9SoxIf/ZgwX8
NgiHbWSYL4Xo7VUnw5/QHem3rsnyFiCMBkvKh/+FKwxIHa7pRydg1oOwnl0FujCvxkJW1mXhQCRL
Ifrz9aYteNz5kKg1j3KuIGspc/VHAfmtzrF81ewY2N7Eyl0/EbTjGnoOPTFqZuToq5EYXQEuOg03
MKp+9X4YbTJCr91UVcS+aZix2xKEpCwa+Zad8IQMHktlUlfGdkyoULZoxrtOUN3GEq5tHwfjA1sp
52FUJYJm4nDYCKmP1rnMD4TrAeQscFBOoSaCNHwLB4ZuFzf5vCcxVOFsCOaUD/9L2XntSI5sWfZX
Bv3OC0ozEujuBydde2gdL0RkZCa1MAqj+PpeXvfOna6amZ7pQlUBmSGdTprZ2WefvQzTF1uHROhT
48t1AznSeyp9SnpWIYq8xdB16HP3PbZ9k25jBhxw/GjJkyCcp9pRJL9RcpKf1TVMrNmVEfqY8naD
RSCuBloYwuVUr/k849tgIQdSnf1OkmUI9QCtOp18K2JKqdxZgV3v83rU+0YLazvlTAbX9gzaWM/t
rba7jEz4vv2dNnH2DiE5ObNRypdGDcXR8Oxrua5c0lYBoK1JHJM421E9rmNzJCFsuW2CEqZyubp7
B1Tgbcx33c+mBhhdSBVZPjbI+Jpf1o5wzxg1mh7o0XLxm9Q49Npefy7KERGpizRv22C9zxbaP7qu
vonFMh5EqY1t2zXixV+r+NBy/D4r1N+Nv1JMzBVpkv68cupw/Gzn5sxIMSzrPVctYcBr6cYPuqu7
SHvMP1QcTzjll2kGR81yHmEKEdKPv+mYqLVjHNDTL8w0U1VQaRy1q7utUNP75ArG6gg1pIsofRqV
sj8MbFCwvbLxHNNS2GSLlAB16bCOqvZvenOsL8MMjWIQwQL2sEr0YbGwHNSV23Nf1PXeAhsLfFNn
73bFZaqlB3CmkC7ZBuNnnBGbyDZQfcAI7Xc1RKBOu3e2XoL9vKQEcQ5ZftszjreRzWTfg2m/h0Vm
CsKxZ/dkNunYkw1pwr2ZpZHuBuW/ikZaxDtm7z7hkbaZDwB/1l9UYO9lGn8UfVn9Jqk7C7tRRpmc
zWicR6Bwglg7YCrzpxmDnfcZA98WxB6GDlGaYGDB+NGNhiiFkLPrs7bYNumsGQrS2WXxDMaQDB7l
RAxqy8P+tdhpsUGz8Himgl8xuWFIZQAarYE6dnT67ITQ9VDgwruG9NVb4CbgtEiXnTclp6LtmBJl
UY6l99zZnX1qalYrt54Oy6zGR2udjV2Z/SDpd2XNg/ZZuMs95ZE8UHjrUF7jicayecvT5M6tNHdy
109UZ2J+G3pT/gSrbPNUjK3/WNB5Ptu5YT+mbsZ8pTNWrwBT3Pt46IBakqC60YQ4bsHB43IvoG8i
nFiw4CiQG5M4zd4M3vtxvXVS9xy79PHJTm2gRttgkBqxnOO0yKKJmJaXCrnhxuRo+jMfQTgBoMgP
eliCzQAvt2jyF64ZmWtu+7McLIWcFIzbqYICvTTD6zL4TxzI7skSoGy27K8sKJ+Hqs6PmHllCGql
hq7qAdRYY7aaeUKFWJxbapVhw8NyAy01jKe8hly4lkeixBv4JKbMb8bM6C8GMz3oDTVhhqW/fIJu
ux4yOiscACnBa+si1XigW4JLMObupqgNCfQmHvkakiPXcYFTIEieJ4kbsTsY01crSEmS9y9DaTvb
YRDvwvNeXNebXx1u10NmNd1FVKl4RurPiJROh70YiPftqtjn7fSieBz3Te9XP8dkBIHcyYkoVMds
TqkoiRivB/PgNo4IKQbAuy6CfOCpxn6y8Sos2VPrPFyBS2bt+1unzgiEJyDlZDg9iQPU81FTZRAq
yX2MzDRwDxWoACBJlbcjzxQesKrSbck5KBKGIcnWdJfQUnP1ptJAnEabfu+YQqHI6/x2tftlIwnb
O2IjOZntlabWp+yj1rQjpnW5kJVpPJCin784OVeddzo4+zaEwjEYOAUY9p30LSpFz+Px8gmu7Wsq
SE4D395AMHbWuH14hZyzbsH2ZfO8Uat7HuPmIq3MApehMFfUugPqRDZh7CxfRFGmYdVySPEkEPBm
rsq94RaaE8D6La4qFG6/J9mNQQj7Rm6kT0o1faWMuI3u2+rUu5FebYlmdqtnrH60O1ZUUuthLquz
7cTkEyTO61pJYlvaAJqLvKiJYSG7Hy9d10Gq4TbZkH996Rsi/CFDQ4DS1rfD1qbmlqDzChKJqQ1q
g/FTo6Y4nEGtOX5wvYCifa2Wg1l12RsAD+NK5knvWgqK47Q09plQOS8cpC9CEQTXtPb0JFf7JHp6
ura1VyAXLVRPaamXVNn+PfCWhqXF9E+AesiLtKnzZrC5dBk027JvRoUQI8zE4JilzbxNgZxsZHHl
KHjEt2Mwzb+tEdxRa75wR7AFGlkGTGiQG8s2D9NAShaZNZz1DkKXl9VMvnoHoGPZ3ELpyjeVMRMg
/NCvgoDGeZ+lmaI9MeH28Iwk8j3R7VzXPigbZoo0gs2q6uu57x17MKHCdRDphZV+qR71Gp9834AY
mxLqrzhmPpTFulVOcB7Y4IbB3y14g5N61aS71sCjqu4uJ4GxM2qiI6vxhebpPdk6ZyueH/qed792
ATpZheeGVblOB62n+wQrFFHK2RgtXlbfF0XQ7KZ51U9+IlDEs/U9qe12lxlfXZt/rQ66vkvaQSgI
0+WXIm+Vjl6282UHx6FaT82i9SEluHqT5dwqKcc0IG5B2b6OY/5c0vPqBvlSunWkeiL9Z6P+kIX6
lfQlTmo2i7guretU5iVjo4f6Zd0YdfJIiyVcq/XB7szqaNuQBwabZtqqSLT3q/R1NsbfuXYOjsD9
2gYzBVD3iFxQ7HMx+ZG/1ukmmfWFmu5STuYAUM86QNSxwqKI01D2QXGTzqZxK1N+fWtat25unhVO
ZpaeqgACmwZP62Cm+Ii4ZiQuI4SS27EObhkq5W2JNnryxqUOxywmNiqooqBDSZrS9pAVCe5YuwJ2
W9Tlpi7H4U3Bhtm6aUy6QZ9eCmUeSId/Z6rK3E4WxyTOeCOBmH0Q6jJGfVrmm7bFvGvNPzp3OHCQ
NEhLrwDU5N+iC/RpHdIRHaw7+HO9r9vsI1fZhfr87C3s/fGQts+x5ZyV/Ol59ltjdifHTKJuvuNo
EBUZYogIiuyc5wOuYKR56prJnGCO1H32Vov6uwdhyVG32HVO9j7Fgzy7s69P/oDmZyfKuans5hEt
19tgWX8uUNg33bSe+qEbcKgyBm1YkxHacvrIbFYX5Qw3RUs71Bvu3aU59U3ygfbZgJr7CuoGAYz4
amzzakMq68VUlNRdZlnHtLOvgE3wfF0S6YzhFj3adwSEEujbWd11bcqPamRWI1jfqsAEEDC1+wVj
S02uVTjSSwul2yruM9s9rcBggT8TagLS5Z6I93Yz+58s9zex82vqgWFjq+a0N67DzSyJh3bL+Vfi
BiNES5aIxTV+F45xsGyhjsyoHCl56iNOr5xWy1j+mOKmNE7aWnxvz3hMjpC9JrKL8IWVdLSBj3OQ
d8YNZfpLawQL+4rvJCyZcg7wssnus7dhvBu0puhyOg+prV+AT/NGk8xME0FSvlmty2HF0Dh72gCB
VoM/KBhgN9R4u3SU6JXiBEG5Xzyj7/8ySqM9GEyVKiLuo7JowWpT/oIT3BQZY5qpaXpbR4sPpHER
2a31uy+DR4F90KoJh0vScggRNdXWiZtqr+IfGQnIizE2kTF3PfJj8bZYmR+6ZQUm5oJ/3AxN+JRF
zzMLnyrZSKBbcNQ2umx/jZz/TJuMMxlbipNsjUduMen8mO7OwLIObQZqnSfOJaT1JqG4AqVWMqJT
nTWXSC9Q2syMeGoTABOfynQv9M7SfLpuZ7aaz6PZ1XezmB8ZldmmzrCX7vgmg0xuajkEP0n63JuC
DS+mEKIn/p1UFrHs0/IrL/qNCU/j2/RhnXQ9A2sLUWhGee93yaOpKLlbp5Y0JSFriXin/SbfLnF+
IK4YrnJVpzdeZuf7wB5ep76T4SLqG3qcwNdn2iSOJtgk5kCNOvOjKTHDjeyt65UulYCkzaz8A6kL
bUykBcl4NNrGUUW9Af6hge4uRLqw9lRPxlw8m57D9elvHQ+DRNx+DtyfYa+GZx+AwTatx5Vp0/VT
WcEPUD6fdtD/oMe4bg3fbkOrnuuIDUbAtmuextW+5OZPy+0kMqmXH1xc1ZdxKsrNmgzwlurAfZk5
rG+dPj1ZpONFtU9TIzcc9UhovBe1Q3OosoHSKQUNWNvo4jEAhI1hqfJnNnde2JbmW6uNITJyRAe1
VFXorZjTlMMGJe26fRxTCqeE/G9qyaV7owp8jEmR2pMujMVTzgWr0uIe/NjowkzqNjRdqziIUb96
jdHfmnEWb1ffworq1QAI52J+Kl1VvELxRBh20/7Jl0hxaZpMN3T+xNaYffEkRy0f2mb8UKm7cP7w
QQRwQFjv52aIbyht3KfKyMxndgLnUSaQggNwRtBWZxJ/OkK27ZEjikjlu7lqtZdVX3OtWctjc3Ie
VVtP2z+OqqSbwzdn0me8tGyBF+C9uAn7pXl2lsbdel7+2PhAGQ0CaTdUJXW0WmPwMInVP9uqZiUh
iWqTudkXo6z1vuKQTKj9RJSBRRsLB4K9p7MA4VnB/F1V9Qy9dWDldvRD2Xmw2ue62AQjeX1pg/gN
JtgYjP5GczQ4i1ZmYIDgQzZGXESFNYI+Ajh/WKdmt1rcvUuaG1vROck7KzZgy7H/hE3uQYuAfcN4
mEHQuNdARBSJOltF6x6N2ba3oJKWkCCGc1nZfUjEdnBbJoGNEhiPDJ0wOvecWm59se01I5+EVEpZ
LA/QfXABFCYDd46Vk9Lo5WyUMZl5Ze7cYUyYH1JlXN035m9n4P0qas95dp26jDxjoPHYjWs0V8ab
mukNTEPZUU3QpJ+C+EkKF9lOs3C2IY+Ho3gE8yVCXzBeSM1AWJqZceYGgoQtew/ktD2qg6XRDFAX
hRdlvr+e55SLqBevOyYxTI0Qm0xiR5DBrpApN3uui345NZ7RRuXkTfeTvEoO7iQhP5c1Bykje51G
kjHXpQ9gck3PqAvEctNGd1nP4/EArym4nVc/udgDdJV4LvETTFO315mCIAq2GlCCR05W62TxzTzM
+VHMmfOlMneNVnLhLxmg5w4SLZ0sEAlsCl6a7oeMUqSgx7an6+vwnrWVe87cOEOGjf2NmkT1M+5d
ooF0ZXFAxEdi4xBfzfgHTKviKALPPg6qX4+TPboX4qSh56Qir74nHqs7Prl1w1SZ66vQA+lN5QD4
TPTmo2yG8tMtbOcEe53qNI3bN9efnB80yQQeGPDDOZ28EHsXewWKqRtl65LeoHwm4Zwk9m3td8HG
c8wKBVkgpmZMwF7segbDNUJ9bTPJ+FzR98duLJHzFu3v6UI7b11lWveaN+VoD/Vw7jjdPBec5B8D
lXc/E20v8ARJH4/MyhyuzTb8+BYWl2zAOmNNyohWY0zvZ0Sz366RVntrRW4FoddMOgQaj/BdxkEd
NXlREhejDJT8AVRwBr7pBns1hLARW8LGAlt8WnWR34KDXH86az3wjHSkeep2/OpMRX3R1MGhWExW
RqAfe7LZ3V/c9XAhErgV+Bf9x1UPfehDXiXxn3yoBT3a8z4ScNc3XefXu0KvlPhWQ9zuhg6ty5hW
M8zpfpEpv8OUij4ChNddJmdO74c6sS6yT4yoymSzzcG2grelZYcY6u8VrxNvjiPxv6nZ/xpdUR2s
HuE6G8dr3ABMbgOB2rY/hZhhUfl1s/yKS7yhdAtpliZ18qUNOR1N05HPUpV5T8SMO0W23c/0a1h4
aUij8aEGCBMQlhsgAza++p1z51p53d/mkjcTW5zrf3n0Wh9oitZfdiam302g/U2exwhstu/dD51k
oVdz8nsWbvGYDZWM5OjQ9ovj6QR7VIbgIujkWE6+q1yOuQnb/aV0eyZwlulcCqc7lsLFOjEXQr2t
DZtPUP5IE5n0V+WmPBi2msJJdcSzBm58KMCfTrjcAX0vDaqSwdxAM/lMuvvpLX2x16Jl54Twxl1i
xk9lkLcva7dAL0xQNZpt1Vfi200mpCWD755Mc3kKbNbhHKz2zrYK6wLA1Qwh9g1Yz7DxxKjdX6YR
JLet1LSZCtiEtH3l3ei4RJyoDkpfpzoYm2vGmpiu3i+wB5rxNnSWPAcPGvgAYwHrVDcwR4di09I1
uW+w5e1AD6VPfd9iEcgMzAIQPlDoapb6q3F714Nb2jmaX8cYk+bYMq8apb5nb41CUarLxjnXfpx+
5QVNSDMt35KmNjY1K4EREgrmZZGyavUpE9G8TVyTrfRmdgfmiwlWwwK0aGw1m8yoi71K+6+pAMrX
u91n5st5z+x0f1+oqQegHdgHm+TK29IVzqsshv7gZktFF85BmppbTvq9t1DfdNbObIDwSV3i9PDK
KazWFrcaZCZ+FQ6zqlk+bW+5MmuneEcXx6d09uVW5rAO6twqcOPTL15hPOwC36BfPAXDTb8WgoYJ
vaEkJoLZmpxho2jc/IQYr5GiYUyNGH82WclMywrqZO/EM0KXmRQ3ifTgQg+Ok+xtx+WmzGovEj2s
osznSWB/Lj9Sp+vumtn/FoPZXewpYVHor6h5YJgvrPl6mwo0z+HZJATqyV1apIKucY7xCNvBTWVx
XtDILrVN13yotQHTo/tdVaIiiGqoLtOUK463OZmc0zQ8Tfgz6at706s3xzkNTpP+BhHhDCQXCDVO
3fQ3q10skRUDPSXPqNiJkhg+m2SqO8/tPrj95RFC2BxRsVWHuerNj8KP9WlJJ9rJEu8SdAvzJe8M
nJxF+8hxrIWTDX89iVPjbvJ6mLjSlxEONYvCryxoM2KGzeIh2xBoSV2d9Lz8HEsnXJPPMZlWDEHC
4bHo6q1Mm2Y7+B31WtsGt5j+890gOU0bdLfDWJQ/U7/19zpAtEpTE8AmVKMDm3F/FmxDDZ22yT7r
ZoJGC4v8MbMXSKfNHO8dI36P48Hezykwqjkd7a9YdfxRDculkNo7poxp7wG6p8cCWt6+bXTyWMzo
Ahs9ecZtpvQUutrR3wNkyobX5j4FMFjJG9Yr/po0a/cyXmnjd/ob6BsmYqr9ewgjS0tn2bcuXiLz
cPHoSCnHck8uZh8o6/3YfRVNPPMWjtQRMIK/i9GqzwC3xD05nRjzC+Mdhnt5GRRtSdu1q62KEZwM
qQdIO860R/VbbtfcGKOkqutwWIf13UlSGaWVdELHXfon0OTds5qqbjd1jnskkhNUGXvDRzbVOxxv
YO8bjXSShm6Gy8Iwx0eEdGTw3nE3QOrUXTxbxTazhZ1saGjzvZumC4cqZTm0bDjU9CHp121dneld
myqcwNWRRng0+UsKK6mvT6DLuVqTqZ91uaitoZfsOVsxjcnEHr99NCpEt7U7qaX1tnKJ+WOS0YHg
DNFsvNl95Uv7k8eeC/jV/k5xUXI9B70XcVZ+reTivUxuMexYGOJLN+r0XGP/JHDCCbZiZexhsYrh
y8JX8Wm4vS94cvo4qrT5OvKq9lxd9zEG4foUCF+lm7Ybs61qVhXFM+Dg2VDbBZzN2dJEjdmDvTwx
KLmQIec6kVzK+qGzWqxQRYsn3lZ+fpcEvncgDo2zd2eNJ4wL8+N6hRzn8zJE2lbBTU9T6o1SmQoz
hQrzbcxgwcO4pQ5qc4m0PdrDJbf0ckcF/SKdatkTpgqd3EpGdUms6aVdqWtttapQO/6Xzjz73JGH
fQUmbxYajwWtSFyRTBs+kqHz6eXNtx8nOVJAhr5KWAOyhWin36a90vop4K2yqNZDRK0KfDilxiCt
z/xhy9jZV42XH902aBlto2UYb+wkcSDu9vbcEQPPX0NBNQ6LlxQH3xESJGn9aUwLHtCVjLqDCDKI
rNmCL8pn0lG2APS6uq3pv3pAZ0R2b8UNHS6ZdQ9Lv87PmSSkrqVbx8gdHfO0KqZ9kRuf5eznIU4s
7+C1tE6Ka3bkntTE5Fz6QJFpijqRk7A4EDqq1S3+5ZfFAHTeuW15rMnNDDX4SRj13oeHdeWcVdp5
93zsKHmq010wx6+inH9khPdFRVW5WwwRDAM23FJd7MSPTeEfTO92gjSdigywnqiyW+V39aPXCTZK
mEiYV6w1M5gbTFcy6nG9J/QuNqI07tayBYnuOj9aFuSQ3f13Dj5y8PaJejCdfri1IaneCqYT11Ek
2xi41tZP0uDGLJcfoLXryGo1Ym+f++xdY81ui25XVpISBzCl/x0oktiAmOOmSlfglYtj9rs5U+Ty
oVNsBw8TaB/gxmPS6l33DYw+eyR0x4ylEWH6FU8w7rs70JnpvcIB8ZFnzfrbXpr62TYxYshhtB4x
dhQsRGON3m5IMI46f/OMnrFPfH/gLjE5RpjucWka9iEejfZkBFSA8Lrt8mEoZ7xEaLaKtl8s1Y/A
Zj4Wu067bTFhHSxasPi0M8KyQTFhDy6tEB8s28fUuPuF2VRaXEZ7nyLNHefAzg4LLEiaO1Z/IRec
IyVAgrifqnNZTjYUwzGm7Z4k09OI8W6P2YsdaypjGNSLflZmU0ac6pdDG+dJaKG1X9LMTEJsEyg+
mgJH0E/Z/BFSGxvIEklQBEi0zg9/iBHapGUgIxarEdxNMwfxKcmDfYDZ7qeix0o5vmJ0snWx7XVW
vyrhNvgPO7SQcIQ5F3lC2XumCEz/nPoF7buS2uKmWHoAEAxcZrhthPeQyYG9koyHgWrid4+Mfzu6
eQacVWj/t6x9LGojvp2Yjug+rlZxCzgR6SfL6qfpyq5nXg5VcsiXHwHO1FNjME7YFsiH2mMcJ851
/qIxTiFI6ek8dC1GiDhoxA6o4rSxgAPxQnAAG0vQ3fQ4V5Hic+wGSSkfpVlhKTG0vcln3HycVMx9
a6t3xEcYbg2Q3DXBQr6m+ieZItWPwJyHW2rw+KVC19oHam1OzVrM7GcZRUnLDdplYjlQEdmh5VTd
KRjrLBopjF7XbAXf0OuBfQgAapAKiPFN0Z90NzEMIHO8HLPt6b0P8vW2juvgS2tUvU708VZWc3dI
C04zjW5m4BV0OE7rpO0DIxuaw6vgPBNQoqULHsq5SNYcedhXH53nrtuZtXAj8my+yIxBRU5EAiYn
xweACXQ3HQtqKfi24ddgG3MWun3TvCNXV49zj+2jycBJKuKPttKh17tacMKGepwu84iZklBRZmYq
apIrBIweWCkepZU+paaK92ad04+rrA+MNGMeFmyGvtPFBxyzzb6eYus4tBIHl5s4+aZJhPvkAJm7
LDjmuPe7IlQ8R2g7wAQnmH5MWAmUfAOk8ESE8BsPeX4bu5hPKZKr1yEgcWBjT2JBv/H7dBuMznQH
sT75TPh4mPuaqjhn82zamBiPJRtPVuXn256I4G0bJMBvJ+r80kPVSEhmI9GKNRe9/snD2h6Rn0kf
McnUjx5kBvVAPh0SjNuhZSzjWVvw7lQ2Fcc68Ptdtgbzb+nFPAsBO+ie7acNQYQWNFcnaBpGr5lJ
6fM12TKOw7rcZyVSTbK8gTGUIfrw92qO41Y7OCtNJ1nSkNx24+AK9Qm6nrYlBqMtxh2QCJhSJmZE
4G+gkzLiIdX8c/JWGKMF7c9R6jTKpyzdK57AWzNfmTYazeGdlnG5bQomQleK1aO5+OJUtn6OkyCu
P4ui/NCWidCZsoa4kqGOuFk+DKNZGY1xPbzhvRG2+HkfCyYYGKEveZQXT3oF7hFgNSIZeRxc0IN/
jDn+t+Bpz03Fv/96/Zrvpl0YRkqHf//XP/1p/6u5/ap+9X/9pD99Tf/vf3w4+dVEX8PXn/6wrVGh
lgdQJcvjr34s//79//GZ/78f/B+//vguz0v769/+BQNzPVy/W5I19Z/wZ9eU53+Sma6/yT++7voC
/u1f7r+6r2T8Wv63L/k7Mc3w3L/ZngwCEGemJQT//U9kGr7/vwnXFIIFi48E4NH+yUwzrOBv9hWV
ZhK+9PcP/hOaZthQ00yBK5x/+L8gweqPy8vLv//7lB1X7v8arngds/9fs3jC9Rxayni+PbIBBS3m
v6TcLAXqDIBh5tCS8gkPHpqQUxFlFoO2/k8X5h8/+T+Tif7PPwl6nGk5tND/mo1F2q6wDJcdvmB4
6bYdGaJg/IL4hplT43//R2E7hCrHFfQc8ZcRU9t1x8EeeFFYYe9TLJahYXmPqov/Hxn71znnv148
xwHSxrygkFzDP89KBoEHa74I8i0mH0Ic+pmyuYaFeW79gYcwT4q3//qF/Xlw/O/vlkOmoCOFR/DC
X/PZdZ64GRt0sfXqrrwLGv8zn0g4NXzH3RXp1SOZknXxX/9MC4Htr6/Tx53Ie+ZL0/Lt4K83SVz1
ymAkJN26QPjuqbLKX3W7xHi16vTgpKn/hK1wQm5igtcZehrbeABPc6vlbSxHL/I6B929Laq3wMr6
HdrddNKSUNI1TWgIVp3H5jh2x8CkBWklQj7hycWxSW7Vpu97zIZrFWRkcTTtcG516Z8EZ+yP0vaq
LeMLQRkW6nrw7RDUIpMGWgWlb7beKZ6HsHMK+YG+Vu1Tx6D91E+9cedr17/St9xPl7cu28gVhaDq
ALfR0qV+l3E1fMkGdaDQhGA78lb3Mj9ndkCEVlsEVrQ6Q871kHJDzqMVqgp8ld915cG30COJcTPe
LDf1b4lmw+xW6WEnxKgyxBo5v+L96/fAubO7YsKhVrYiO7ok/R88s/oyG8XxVk3UOIq26KspGusL
SAVZcowrcKaei2FECljoQFoNFtnJL3erh6fZcGM/2ZSV1pEhRhKBA+C0flja+cgcDq1JvH1z+QOL
IhawQagL2V5NHvajSUenMrp3XfbFI4Fa0zNDrAynLbnH4BNYsU2HMxdAMh4cYrJhoybI4WucIXzY
iR/R/SKgZfLHb6wheHnS2Ho2nJZNhkQMLwvBv+cX0XTFQTMuc+wy39zaq4KO1wX9KU2c4g6yT4Ln
TMVHi1MpSaD85WGsTMMK86oso65ZvB0QUlds8IKi/5S2PrW6H56WylOCYrHGSdOjT5yG3Es/Esuh
O7H6ECJWXQoOimBXHQYXT8AqUYiTHuJVM+T2t44tpPAC3eQwxdgsN0z2CnzEnX/g9MUpSfVXe/qY
WJFbwRc2G4ZNe8gUoVrHn7Q6mlM1B6PamAJPLS2rznoczKH7xeRkf87jRByFycVdPdfBOUdCYGgW
U6o39VWwbO2cSqEc1LsSOjkKnTubzNYpnjADvcUZ9RqV1Au0W7I1cpg9PwSz5b0O6Ff3dku/PU3q
gv2/jd/8gcFjy87Fu+FW5gn7S/Hq4culbaPKT2ocifog232++r8Gq74KgJl8txphUTAMy3MWgHQE
oyEuQrvBS1wR+E2j2d+TWZ6cgiGtb0yePkYFYst8cdbURFhu41uLvn6OrbOen9LYw0bVTPHPjIPB
3exhYFvhmZ0Duq0Phtf3777TygGdvlXl1uDX6L+Z9W3Trc0pOT8M9WLiM6pRkiO5gquCU592cfPY
Fb2j9nRjlKJOEnP1oBE5rrNLhjJ/1kE5lejPeoz39aoYj7paIGlDBk7T3KQwPA+F0wf5S1E4joVN
sDR/9joY5Q51N1m2CQOVbaho6Sc3bClc7zWZCx/Az+B+rsoQA2fMVcpdjaBBhzpGIThRqMt+IxL/
3iSIX+amRQ/WdpOBIdyWLgZ9AyM/0AOdqy8fMMlzphsXGF+wFnLruTaj1sxTVgz/utV0Sj1KT0ZT
F/1WVyA+9pZw5q9K2/RQGQSgQavoinyPZm6s+7HuHRqEcSBPhUyH31XbM/mzVKnznBcxbYW6EgYe
CAL/mYM1jMIl1Khq53OaO9YQcSIoH7skYUgni1+yK3jAbN1iI1zXCON+uHgmg0dLwoxk18s4GocO
J4OGOdBdp7lVwwyNn+4o1rnh6iV+dXTWjWGV57/ddIGd1wK0XlTQliG308wntj69bKMZ9onnnJgO
isNiDMyzMQrWC67H0dDGr9yT+qJcyvChzazQRCPPw8azaTqDBeTmfyq4vRqaDOjeBc7APN9bs+Te
S4PnfuzvOiEOcV1dh/4M39xVqt+3iTjZclaRX4/oT7Fr3dnu8jper9Ga7tmBtqRxnqmKzyI1SHuV
Z6hRr9Ok3j3mbPdzvHx7iilKBi/zwcXGrcnSbV98M8U8Pjd7oBAHmtrlUfwHc+exJDmSZdlfKel1
oQUKqALQRW+Mc3Me4bGBBAXnHF/fx6JGZNI9atKlezUiucjMIA4zKH3v3nNrNE7pzV7WUT1aYDEL
FgEKrwLV0mxRYuud+SWZmDYLPwhW9Pi+4oY/FUlC/p7atrr+1RTgLWx5lZJCblo+FlV6n9vYWrQp
kVhj6HPD7sutuXa7ZzYr6QIU7m+kRqxxlz73f4VyeIrq9uoKBonO70uroxlk1ai09afaQNihfVT5
E1nlm6Bp7r2ScYR03zWrIxl/Wx+kxnKOw++jiSa0m4A9/uxKJO2V0qtwTl+KkkZeyqVxkaQxJYoo
Xfhc2USVn5QaXyPH3dlSLftmXNpUHudE0JPPFrJtv9Y9TzyLU5hM10zWhzpsoHxNgvMmt1fZVpum
HuivuNeWQstCmc4lQD27yOzurKRnPUq3XitN47Efn6hIIvdQJLxXno9sN2McWaSJd2KDFJWiUTq9
+vTXsfGkB3oZa0ksNUZXxrBfGNZy6HUBPtWQ226kgko1FkNmPnBlHOptTI8RKS+SZktDSvaIZLdc
a1tUpOHEU31nhHH1SaAZXZa2rK9d5EIvlB3ljdEuTumMLsGqZLrpu+iAmhwPXxUSYpmkT5HiaGgm
+dmpKQckab7pEDaYSDhUE37FXfkjt82KbiHGFJfurbRgTzi4r0t7EURO9Kgz74h/DJWDEeMmGQy9
4wfw4ZF0uz7t/to2N25r1BvEK58mf/opy4IDinK6ZVcEiMjDLl3OzdADihPuPbK48hKZcbai1Iro
yqwvJZWDxaiN7t5sS73XhfrcGDFfWTMdCRP36fGY+2rOzG1Qtu1DXyMGKYpqICzU3+nZGr5SrAjP
lTu7h24a7vwo302mD2AJ+8w5oQ9aeUaxi4Z5Xwf0d3AsfEFub+4EDYsF+ppzPzv3+Tgku9oKxoWW
cfyamB7BkvT1Qt18DrkhkYFJShFtye3kDw951iSrtos+t9ppNvUYfiZliJx3fsBy9FC59tELTpSH
zJNHPaAg0FZBuUn7Wxo81kW4xnlwdUX1tR04F4SPkGkuSGP2dlbea3s64Ns79aLGV587eHR1mA/b
qvAgCKR4D8zsS1oFR0fWu2IcrkWFi3PqrBM696dyEr+SaMBrWz1Uof+SUoexlX2hu3Fy0/AOeX+/
6eduLYjuoiTY2ZBXxu+OifBrMtYy8fa6rXfoLLdzJU90rpgsHp7+JjkTTXIBHBNvyF28AJv+Zo+4
7Lto27cxarGJJUgY3hchq4cAVfhSSfeKDGGNnHBjJeJaN2myNF1CZsLZODlm/tTO5rdcOCYt/n4V
UnRaFZTgGbJDeGhswFw1HzzwaPBMI+UuJyUTMBy6ZDnxvbAvzadqFKc5Zq43dc1aSEDPIsIm8eBW
7QXtvMBx24ldiyFhOdYehurS7hdt2UFSKK1noxH7HB/d2qxnd5GZ/bTXg7QIjLJ+UMt7KWiHLLQh
x6VIjO9lKs2NCjrnENs4erOwecYa/piHHfKD6Jaeikp30WBADhe1XUf3qq7mpbJcFItIitCRIV7t
vP57H9D7B9dyxvtsHKLBWNP0uQ0VTB1p/mVEbQW5fX6E7uwh8MMSkiDdWDYtIbXloOHH9OknWkeI
mYrhdcrEOUvZb8g/57stMxRyViN2dK2KVTs28Q+rd79ZbbqlJHuc6uKrn3vTerT8K8vUWiK5XaRB
2m5wQaOVdsS8ialKbmqPlkgV9I81WWyLoHT2fH4+ipNf4qj8mY7N0TNpJvXOOC1N4Pe0UhBnWkES
HkdSgM5mTNKNyhqYDVbaHH1kLxvkH8ae8CzA9L4o8p0TJ/kWgHts4n4rY86sAa4uVHgLG/lGNoM+
SVK6/7nd4ROg27K2iBHetn4H7IOyP7aUxhxf5nQaD0hH1HdKfMlToutL08TTsp3q7HEGtrGYS0yz
Q+hbpwxnNPes1ulezNxFe00X8NZMG77lteUFSysLxTqzC+8xskxOAAF3vttcZNQFQYBC2Sl+ijGc
T6Tmqpc+UPqXG4T9th1scisdgkRXU0RjmXyrVq+9Rs84ndPwIfQs52tipuOulvZ5tslEGgD5X9LJ
in7G3ey2GBIaoqMd5CwdCg62B47VyxaHJPFlld7nXjjSg2zMaR91AkF7PFreds5zLk2ByKxT6I/x
oTUFxduhwvYVtTPkeqffOIMaL3VStI9t26ir7SbZuU70a4FkH22RibInFQIxKIosNBaBswyo/i0L
3RanmlVwK9siOZV14jzWUx6vTbtTlzZHC16QlruhGV2tSqPCtWMqGD2Ul1+mvpnxQIW4IiBrNmdn
6N1jE4kGAQ/IhnsKrXBCRWEssXYwncBdfIqm0DrmhhD3FAdKOFyhnZyxKERPRpBw/PVNbM8YQ/xk
w4h1v0thFOuSDfTTyCj85RItvO4Jof02ajs9mclM2dOZyiOehIhWoIo5W+g4RFZTBUOGgIu5f0iG
AQ1EgGW+kn57Vn4LGSYyf3ZNBZrT1HQT/dB7isfRvlZaVI/DbBnolgaOZxlacAXyI+m9H31NhHzA
QnJoZs2LHq16FZplMR1VgHi0VtmtquHGY7VtYjSUK6LaRXSIZGAMARMs5NRk3aUm43bCsIsqw/uV
N1ARirWnGA53bgjUqcPMBZFlWFXOnMQrl/Ym1KLF5CBfW1ekMtTLlDDlbD2mblpQ8TLEuakVEOVb
G/9TC6RV0o6OaYz3CI8eMjmdhCIE3YFGsTdDkA8LKyqSbWtV3qd8UhBX5yiAV4iykCWmWDs8PQfR
0N7kfm1thEirE1yoEN+516y8sTfXxVR1a+Wl05pkTrKaM0fhE4WN03cmxxOsIrU9VUv+jlUxlOjE
MtSnhYix/3p2u6JO6AHOkoAVSFoG+uJgOQCZxK1t3BZs/PMyjq16gRbprJIS3QGR3YdEeuWWK//j
1I9EqgSDt/enCCoX7sC4HYJz3Iyv0pt/OhHuVDqqaCPs1iDoLLQPYelvZT0/eAmXHMs2D0GZDUtd
BP1pxPS6SmehNuNYQ0cru+7QonY6l603bLt0To/hRJpvFEMEMibb/uxr5/vIfN4GpkKHaUY5wRRo
LjEK4N/L5ZNvcQhGMIlBPwY31wKEWJYj7CS39Z1ja+XeUimjRxfsljencr1vC4UnL/Mt9kqMiJcu
W2MpIR2lBVbjllOyUGr+puuQkSdx3WV0sDeTqJhY003+jOntXkl5rBEZrT17PvE8aqnI61jVjKNq
UeiiWJWeuZ+jwj0xlUc2TPQXRgKWzUpCea3L8jJGhd6HDtLEQI4ab9MgJgRAU/ypKehCL5oyGPZd
nX4ri8ZZOQCW1o4n+nXjJQXe0kqCtL9pzkwbi9nQfI2mGQEHUj3aS56xCf0g2kP1qa4VircYV9DK
rYOX3kSN704D1J5q+jK2yORLk4wCzB56x3x3d8HoAC+u6HzoG9YuowzR58L+PGV5tfF7UBYjdYIF
sOgLpc7pUlGpXXGrBMZRlt1RJeO8tJvE4Eik1ISIj3YTJ45lBmCBGJrEX9QVxCI3oAfGRe0rJtNf
9MpvDc8Wsk+WXlBFeOdI+1ePHKGFqq3+1dZGvNdTOKaLord/QY9AS12JLn9WPatgmgX3ZWtGJ8/I
WdRmG26JGYc7TyrzVbAw78vEJLohr9wzS3y8VPh1dlxjyOzzQlpHnpsuRwBH66l21d5sMBfgSB8/
z5RXyRjzphN18Owaj4Cd3RjCNPF/w72kNB8vYog1r6oFCld6wt/7fPh1U44Yu6yWfiklfH+PojM7
WObkbsy6NR8QTsDpm2pEDUFmmM9e1bFZGrazjmiDPuY5vWLu4uW6qN3qU2Cg4hBGVZ3jIdd7w9fI
qeUcU9iMS2w5IF9KVCqZ518MZwQ9VlUvU5fM+8lPbNQgLqMTmxfqzJs8a7g1xQX7cAF8qMuql1na
FxGU5hUJvMm6pDmVuRUsE1g4A8HuyaTdFxy2KcJd1DEjPqiDrR0cBEBgKEIUz0lJmX1GnOoXoYs9
oJAcFjH+Db60VtNoe1jl5s8Mh3jX1Gik2gEJ8yIuNASjniNoyPRYqJ6RIjkoN+ILOs5ihwCcojMB
oQvm0x1Q9WYR4q7cdAn1+ljgo7jx5+76Ks0usrYvdZmnsODcCd52ZDp7o4ie21Q8C49swyYHuNQX
aLETbA2YhWpWCYYE2mOYO/Aj7NZ5qbCXLnLcNfiSNzO3xCHJ9/SbYTmUr27s7WLfvrMn70s29t84
SimOuGAKq8Frr/A2fshylohdm2ztS5drR9MgMwXqkpTTvoqQQZSV2e5FPag75lx9RrHTnmq2+F0W
08Auo3TaIZga105pQ2BH9GLeJVaRHKYhwn0yfbKr6asB8pYb2zA95rPZPMiBAkfVBgERu3XmrK3W
IpcAuAtA48EDoIXdSUbDEbU7dlaV60/ohsZPyi65R9meAQ+cw3MayYVbju0i8HDPpHJ8RErw4mrn
WIgE5FKWYC1S7HB1AJJjrF6BolUryx+2ZT8eXPcWwTyuKOieJld6X6qJfTQJYVqrfNe73SNgR/T3
3ipL5genTLGpUJNTMaWQyCzO3oxeoHdAzqm4XeZ1FN0PNbRsi/ww/hBio3ERd9V+yKO9O6oLoWif
oZwc4wH3ibSAHcSHoKKvOmdPozQ9vOWADqNu1xWslzq6b4zuCV/Ac513y7rwdtRUEZVmeD45xGT9
ASQgbG5cyb742dIgABeyQt1+lxuz+mKhIaoHsUrFzZdZNiurMtZFUCPAnuZPsYs6p8e1jLI87Sea
3i7iJ+NYV8zeXB9tV2wyH8kgVYfNaIxLRsadp+0NYNSXMiOoI6pfp2BYQDe+teRZvYJDkGP/VeUm
EeZGQrVDj+ls6sR6dKoGOZrVgomy9GHSzrNfdkulIa7KjlE0r3RSQcooOdCGPvZ3Y+kgE3RAXA2U
3xdB9iOzy+oyZrrZDVaxYtdAFzeUnwfbPmSq3ob9sJchu3rkj3tUXcj7gG9JYDQUd09tARDB4GxC
u5/4rAGhO/QTcgjoa2/AyLyWcb0K4hidcbTK8vKObuhn12AZ9AI2bdM5ZSp/yBsKSNpsKa3kLN4+
1KlC0BUQvIxuGUMnGt1mGzr9kprHHWYSCJExcIOQvhEmWUMn+Ymv8qyV/9S2NaeM7/aAVzmKEDcl
d1A6j1XcJasmbZ4cP71DuE11eeQvofrMZUdb/aYLglOgCxpNUfbom9U5nah+saPbrbXCZdOvRgfG
bT7Y90HYoZDSX+CDLVMmX8DmQX3U2I1WvIZRAh7CGU9J3Zwbr2S98M6QgdBtVqtUMZeNYp/7XPs7
5hiBr3G9KIeuRkSW3SMzONk92Mumu5sCHL+R1R6seF6GQnkPFNbBFJXpisivdu0o59x1clwYxq2A
WVfIaPsRtZxFWRuFgJzb+O6G8UsdmDEcKUFFUkCwKK3x6ZN+5LCv22Ofhw8VDNdF7fbHMm3WYUch
Fgstxma9KaU4jhkyuwY5CAa98C5X2QlBYgoCY3jo1fQYpv7Kja1j1OFMz224DJ1dk1irWU19o8wX
YQFVs43MXRTi5rQZV9xt104sv9geVhQ4Xa+F7F5qydJppCNSpgbvKW6NVZDWP0Acsbt0v8Zw3NcD
KsNCr8Y8eu1D956O0bOlQFSlU/cltfvjnHh6Ty/iSbJqlfQG6XGeAWd+m/rpEPZ648fO3YT2KfB8
lkuaPQJ836r29cYV9cOgKCpYg46WIhqPlRR7lWRbXysQJsbVxVi3KIw5WDSBfOwiELN+3S5lkJ6x
B/yMC9iJN7nWaFwRN33VDaps6i6ErHDxu13l4NccBqOAUSpWYN2OQJ+Ovh4fEqd6QO5lLkPVHPKy
ubD/fYEhKpeO8J5TgD3bzGo5P7neOqAriMI9v7p1cqqtLtmif/lEB3sxZOMx090VMObMvcI3T95s
Ro+k9Ai0/PF4mWe6cgPGX04awPke5yh7SuJhXIY+ZZLENIJpMXHT2ocS2ZCrQ70QZjKdBoFcMtXz
pawBpeJrVlxFwdo1U+Vug1F6l5Q1ZNdWrniebn1BMwip0Auvxe5qtXqfjrJaWh2mZfSPebgdbqJK
I55iODyuno+RaYuzpVS7ROafVpuiMsK1ANrBEQj9I41kmshVmuySNg0fs9mPvxFNBH94qqj6JHoC
nDr4cE+iyHpAOwzW0Q1NPgxM3F1GJuTPvidYEYvi0LEQ+VG8RNRfbioz/JaGo1/vwLZIG5N80L0a
QzWxQxLIdSeqrhyWo/aQ+7ZWYu34u7912LVRY+X1fUX3cFcklourHy+yYygPV2HvkdNciQIDPjdm
HZH40fTSXId1Ot5ROrRffSM0v6DPBykxpBhhVOqXG6cyoTnShkv/xcDO3JsZzI2Gh4o3s8aolKz9
suFQZbGH5U0QfdWVa1OxmHELYwuDylvanMeRxTlxOx5VN9ob2gmo5ApfPyjsOvSYG+6NKYeLaEHy
tb0RVElY2PvhLHsrOmM1cHhHuTW8pLk/LiECuYdeDd7XEDr8RllUQYME4p3ndf1qwCv9bHYYZQc7
+Bkk7ALFNAFDaAc2AKHNctdYeXfwOu5EQ9T8iMPwi9uq9hpRPViLIameukyCFgNh2p/0mBQAekFj
1YrCajlEFGWoq67gVAjQfSrHZVY+YgvTfBNpQFOSAqpy5285vcEBYpUe9iMOm23ZwOVsTcRioETK
Y1XcXJSUydaAdVYS2EtBzX0zUnZ70GT+HCMUtggT7mkN2Q9hNnMOrmp+u4mqZzV6iDx7Ttufxgb4
Xooja2018KVXnGH7tQpSCurR1K9bSqgry6bU1NsUGyqcJme/cI3LVCDdXrj9iPlcRaBXQjCEV2sa
aJnlMjjKehzYOwb/tpuguFhA4O0uUWPby06JGOCMjO/Nwv2CLaHaUP9pNkHipFvOTnppuArxsFmw
sXdB217M3kUo7cQNzaZEq+TQqUQ/amweGH66ovkxC9+sASzX2YaAmu7qAd3huubkkA9mq9vCYJ05
9HN844rvEusim7rlWBDTTK/DgIXGpnxy9mtwRQ08y4NMSMRjfs5gcZ2wTPpNNo4xCaysJSuNEJSz
P0LRJzTwEKnUaKNt1SYVgDaY9TXDf4xvEVQvJ8Z2uoxJR1dLBO1nAQV8l/RRuNIK/i9eO3WOaNTx
dxrOBeybiwc0pkqpJlTFXozJ/J9zjmKn7ASlBG1NIWM5MC2f9drnKlGkvvisndgJP9sudFjiruls
rVwUvPb+n20oKlHRilwHPQIr2hteANuFjr55cSq3abf/TDIMldjH8CDGN8hvCF6yW4L/7kYo1lP4
Evg2d+Lfup3/kRbvHH2vi6b41b5X2r2R4137n3Xb1T//cf5aNv/YdPmPry0yuPd/5v9Hdd4tzuv/
rc57BLUQ/uNY1D8JtviX3G//47/+Q9z+1L8EekjR/lNbJlV4ga9Fe5JfGX42Lb/Jkujs6CpKYKqY
c03EX3lRt+F//Yft/acjLBsnq43oy1aCX2puP4pfsv+T+rONeRFhneBao/8n4rx3Wa70YHg0zdNJ
l3uwpcx3QjYFZSqYDSO4i41mugvVeGunZ/VCdYNx8bu5gASCarn2WkQjAZLbhVG26S7jpH9yGpZA
X6ZU7GjvD+cSaeoKM0uq0WC74dawzPYj4d3v8Ib/q4j7/cDI4aR0TZqzqMXehVLUZYgAsEXJA+LZ
uLeDmw3WSrpNSh9v6XTZ52qU9pPMNXU1A6vftgqgqP7lHf8boeFbkdztGeDpWnxj/MPr+x3Y+5cE
gxZ8WStdQgGN2JFXf3YtRBSi2oPhhCLSmAlN6KoNP5Dmibf6xtuP5QWh2uST3/7lNpL+GpwQRmNT
BVZT3IVNHjnXFlD5q8oc6zJZRbQl49E9zWUZPEVJFoE27gth0e+aPQ8MrZ9ELH65d2+1g886ngTs
FW4tLn//zbzNa/n9iKgvPQtpndQKJ+TbR8yoKE0dxY27Vk/5aZBc+GmmNiSGwZmrdiYHsf3Qci+2
+1uB7O9/+O93/3ZsWCgIXctB14rGUL/LQmnMOrZd3eR3XFQvsVmGTzLB69wRJnumFhEdHDZCPJEV
6q5QinrfVOBLdRrFh2QKxervH+etdpPvwuZma3m2QC/g8O/vplYGXJEDqd9c8bmWr5NOCY4EGFnQ
xenKV5k36oNhKW6hKW8+v21bqOeZyxaLw79iMf46Ll2RdamhhiszlRGAXrM+pHmZLOm/WMvCyJ2V
iiLYxqbbLzocAqsRkKsBifIjRedtKL57EkarlJ4SLrpkfZtBf3kSH692YJTeeA3pLZxar+G+1sEe
Rt8T2rRkzOiME9tfD2xcpzYfIigkEdCXvnDRcsDKnWnvfkZe9YGe9o/xabNoomxlzpq31/MueyQb
JvQEVWFeXWeIEPb09UFaNGgs+HmvogAwJvWEeKuYo93fj4Y/Zy8/2lE2HFQLiITlvZu9QnWBV8hW
Qi4v3eey76kPt3mRL+pYD98RnYmLxBZwZ0Me4hIAwHo2VDLgFcA3ToGK/mI+DLsxnIqdF7jt+MHs
uemw370yBo5jo1p00BuLd6+sMhsc6pUlr6Y9tM9da+NDqLruC56Z+hSqCMHPnNw0hQx4cDGp8+2D
L+i2Nrx7gNt3Q5UJo7TNpvh2zJgOIcDwe1hQC218aqYMl57XcJhFoLFh34y2biWic1AbnJ6qeKJD
EPhoGXOhh2eSX8wP5u+/GcNvnuddRFHnUVlBkiA5CDqfoQ0ehI5/ffCZ/1jS0cVzLGCympQR/xgU
NEni2gs8sHz1FJlLb267je+PlGGACZ+6gKJLnJBwnpuEeWPTVLtg7isEWXmyDyECdUshRfujgKy9
FrrTHwzaP6eLRuHLcu45TGZHvFtQA6weqZSkrAcjLXSZIKnkaAkFF6uHiSwrNTWWeTeX3iEbE/uD
9ezPBVSjAvGAgmFH0Nb7pHQHre6csm7f1YODKoqqZ/vspZ55cQlRoGlmc/z4+/dh3T7QmzEokV7a
jufe9i7t/A7W/Mu6FSYkpmVeF9+rKK2XXRhw924on2xAf0IOvS2j7OwlOUGiPaduS9u1giJGsdZY
u2VWvs65hv5Uu5QYGw3Ib4TjFbpzQanHde+TkOvvAIiUjtf88nv/TYrOfPr7T3EzkLz5FFJJl9o1
yw1S+5tH4e1McoGIlQDhuivF4vKkuZsdlaxg/zXycWq5bJdoG8Gq9+CGgSok37ukeq7FzC4VVMFN
XNGqvYMPYAWIASc7Vu9w1Q8OXAmdnYs4/xwntabZJpL5izl2NPlqzoyB7VVPXmgPP5GvT3d4UIbv
RewUe+1E88NI6NIPsL7kiJs3sHgyqvFLNlvWp6Rze7gVvjoSZDTuTI8aXelV9s6aKgBnOC431dAT
Qj7g+wZNpq8+uDRQYASTt5Py1r1jlLc7j862xUA2paen6KvrjbKm/Ja29JehnW7p//ITYnO481zw
VvNcvhiscqcYJdu6V133mEkOTLNCvTnHWJBnvYBQZXzNYETdU1ijOJ3N6ui1rei2SW2G3NBCsGdW
m/zCGpE/u9Iu9kFbWoAWxr54tvKSyj9W5lPbxfN3L7TEa5T57p5mX0UMKEEieaWs6INR/H7eSMUR
QHD8wq4shJbvFlKlh3yKQdReITaJizF27j0qaXGJJW4G3cfj978fb7/j697MGtt0MRop13UduuTy
Nh7/Mmvm2KVL2BbRHVZlxgFCwuH7jALrYuqxyTahEZCMgRX2udCVhXqJkKCFpcrpFBhFHpyTHPHN
quun9tn8+Ej6540BzQAYenZ7zkau837j5SZOaaNrvWt1O3xxTZ8v3mA1r0L00fY30cfrQHqQw9Ee
0zg2DoUokg9eye+z+duvyMNJ5bD1346nf0zJECkCyiwLhk9ZB1tHdeWzwN+4H2C+3je54LhGydu7
R0bVVvTtVQJ8pEfHy2WnuJvCEPOvEaeoYZIgfZmkfMQNOS5K7DjVIusIzzKYtEc8KsN3fxC8cVmV
S6kleoBkfKrGboBcX7gSwDd4Rz+ujoMpynnVMS2jxRDk2Qulf24M0+1FmebcPlfzNB+p4dJqa6vu
IZx18QoFnUeNB1I1FmU84VJJImtXF9F01UE+fDCy/jyTcC3mjkt33mFcmfLtwMp6J6nlSLOAtqBz
UrmZEAUz9p9DaQmqmEl/QT4jyHgpkf82Tf7B9vfvfrxS3PQcFlFbqdtE+8u4RgI223IYorvGCI0D
dKQEEeOkjozSelcOBVBZoITVhun4vaTue/f380r++fN/m6IoBNiWZ9rvzVhT72u4IEF6Z041o6IP
EeBWWt2udWoevgtPEkRwG9QoScUFVn/+S9QeyP28SlmeC+m496UTVKRrgZZdtZD56eh0jcDGTL4m
GpGJ14jOCVMSvt9qb0SjuFBWirYBrOZ0IYif6FBqMWdQmuj60TfG6dPcNTRloGwCg/eQPUJfUCMP
ZWS3RQY9k7fgQE+fMJ9bbLxZ3YtLV/vmuEQf3z4rzX//3hyIW1NHusgZatu+em5BcB0c2sXH8PcN
1qlN957w+vI1i0r+/r//dv/8cj3t4auTzu2wSxvz7cvtVWPnQ62SO4NaBjx11ri7UtjB3lKRICJ5
nr7lqEGRhk/h2pgC+cHger9Jcz3kTXkmixPLpvn+qNHE9qx7B5YcF5D2uR7qaoueCDpPVo/EOP79
h/0dQvt2/cHVR3GXshKdGaiNbz+todoRfRG8d4D0vNiobPoXrPXh0ctwfGSsPeS4EeSysNHc7ViL
e0RrlL4ZXs8eTIluoSiwbgKvyVcAvBpwsEFNfpAZNNtbrsjOnEJayx889fudjO+IupkUNgfBf7N0
z4r6qkLVer21O5BhAHVZ1gzoEzIdHinXDt1f5Ojt0QVN+uRK+UPfRkoHWO5XOzjDweJ4RaZ5ki+c
xkifeo42zx885B9nRh7SYsuleIbJlqd9+9XO3iwor/CQTWVi5RtgL11yN8k3UqTdNkjRt09a+09p
n4oLPMUBMh8d54IcXtVHPxVGnI8iMG/1wTcnwNsXxymQooPi7C5+//pfVi5+JnELFYybZlbq2DSi
fR4FthofmddjzO32OBFJtke2MC9dIy2+9C3l7IUBsM4zY/vRaDv7FBctsxU+wXcZhv+rr+13+dOW
Fgej9zGgitI2cshUUMcaxAUQTnqHyuKTHrAQdQ3eDiS16Y5It+JIA/KhrEtuybPj7dm12qsRhB/E
kf5R1OMr4/5LcU1SRoGO+fY1BgjryKEdxFWXgzrKPCpfe79klUxDUIQTBhf4BHyZH4ye22Hs3cR0
XA9vNAcoPMvvi3q6E116g2Zfg1wH3+iakrfQ9emSK3qzNqx5uI9hXB6xe7n3tjWTj/F7bfxfPIVn
Y87mO5BSO++WB50MY2CMBKEkgFnTRWMjG+gMJ1zHjsDv2RXfzGr2v0LtJx7r9v/zrm22/+OHoKAt
qJ3fiuJavN9ukfF2ro0H7sqGHB6LgluTmD35PYmkuLj+UADISi/zTeg1KMWRspHeB8/wuwD09nXw
DDheIHDyIKjg344CdxAleD9pXkfKNWSBIKx4zW4TN4APgg8Jviz5nUnibHJsVhcZVuJxzKviJ5qJ
cF4xKctXP0jYrZuhbp8Tu2vwnUnr3iUN9qhuRb8Aj96+Fk4DR2SAY4c3D+ndFKQRTUFhWpSFIrZQ
rNIcD291WneGy/3R0irs2zt991H5mLxxwdBjCXt3TUjzHhpsN/yfNSIFT3GRbhltw1m595PrimOd
GwolfPU17tz0gbuQdy/pSxw7g/t3ESi5jUxrQhZmPWIckuvRQAFXaCJREdDNBBbJ4WfdDPYFiMfn
2u7Z7McZpWiTuXdEQTQvbIy3CCuQF/+6OSC2tq/VDH5r1aNXY9GOKjgloSTl0BqnB3KoKhIvLZKl
4pksOHG7ZIwowyG8FLY6cu9LCJ/pQWPMxhGDSnXoGnxWOmkVMoIh/1xlAdu8F+b0rYtiX+g6QSE7
Bgx8wdhCOfmjFVo8/D5WGbyqvQMH/kCqXPU06bL7NbdkRgOwwgnSW8E5ZN/Z6tSawRMaRK/1hvEN
b5MZLsJbscDmv6nzAY3n4FWonvit3N7GQIbPPjbXLZUuhgq1LO++H/Ji79FXuK80oVxZScTWnPgH
GbifTEJrCG+SSIsDUsuMsou+Fw6RF7/LDf3ccu4SpXewqyI+1G4TbRUXrTGLw03itu6BiJSRtCOr
2lp+Px7nwQIpdTsdxl0/YOKupp+5GyaXKOZKlNFfx6ydDsfKrpr9SO7cJy8ffuZzoi/DZNHXNCYf
z6dPLHBoZ18zfJYHKlnGpmsTkgQRPF49Dbw5A7iF3KKLJvIz1J1I434FV+gUJZj9IY+LYg8Qtn3O
Krt/IFeSHYhu1IuLthwoViPGZR26t5vR7TdJMyVUM6zVYy0Scr/QQtdu7OQIIkgXqked/muvIp4Y
K8/tMlT/N3Vntt02knXpJ0ItAAFEALecSVGiJGv0DZYsyZjnGU/fH+i/e6WZbqvrsq+qljPTJDFE
nDhn7283oNc1DCaveOnsfUor4jb2Q30rbLy12A1hKHPQatOFO7fcwsDM9+ejVImNnrH8fNNEyYX0
qOR+RHFsXdPDVtusxpXUdm4GOYiGyW7sCcHp66um8PPvwuuuk85QQBAdcOV25i3Z4CS9FxvDZoQA
OdE9f4v2vnkopgGJC+jqY2jXzqGKk2HZkEu0iM2yhiVlpbia592I2I2QUXQJsiDTMvFAU664Nsa4
3U+Wox2KJMdv1VvWTYiIfzlyRPrR52V+m7kcMX005asQYdIKcTSZ0GFfrFTnN1uQmcAFGpcwJJHW
7nWZufcd2YfHzC2xq/QYiUNt0DceTzKodB+cYWEFxivUU/IX9JGgszYFkIcpDpOuZekBtDdFR3YM
tWBlQEpamkVlPddliEsDoo5WWEhwYhdklCyISSoloN4+fTJqZbKUem+pn8T3zaDUW98GL17tG2sn
s9KtT7LxbQJdaFngDSNjjVUx4DV7ZBva0F3gi4VZuwJfmi55Gd8mFuebEn4HcIfuO2Nx0EADGrT3
yqkBCM9tmqgh9QNkdVcBxO7EG4jk+pGylwdtPnb8OuEOZcJDCEMFjDlaibe4YvXTIqhQ/E56GJ1y
tkaJvHfyaDuNY+UfPXDuW0nz6BGxb7Z2YWFuhjkXCAZCfRv1JC2OVuOftLTx91CAihtkfumVZjDq
RN+i4Zx1cLCifLcmjBQijTZ+5ZTPTqR7N14hA1rdiuUljBDsqWa890y3PPS6LF4hGLIQNgOn9WXB
c03+jmQAJ2x2mbqKyteghEqFl5aH/Xz1klFCyGghU0dT+u6VYQ4Szw5IBk4mlMV0za41o0veAbzY
L8Ku+4/UH/LrQQudk0xz7RtY6vFQ96a9qYZa7HVV93vDmjCleU29RsVVoCVUJKyOeIZSLyqIEatK
NCBJ86gcxEwETFMyTwHd7fNSNg5m8whGE30hEZvmLkhrRpYRsPuyHewDW475JFNWdUz3D2aoX08D
u+yEJSVbFBq+VzMkwqPFtSQ0YzqkY5lviZaKj1gReJr9kU8bR6N4sjSY9gNAvZ7fmZOq3TaEBA3u
S9pYxWfReLSoVIEInfQP/TWX4X3Wm+NW65E+RUF35fjC38k4sTZVMjnXjXDE3jJMe+fECGjNDlDj
nPKdhwX4CJOkErdy7LUJceoaff2tlH101bWNjTua9xtKAHfuPBesI98ollSEamuy3CJI+2bqCMDo
Rq4pSqdPws6na8SD+a9BTTQXR1GIyRjHsFqG3Kpt0gnGIgKH0RIcK+4IH2CIRNt1ZHCQAI9y6y3x
ekRilBHUhUILXkixPSITiwjM8/srvQexmPa5/pAyp906TTm+Z9R9K/rZYHuiiTBUyBdN/Qi5n9Fz
65YhOlvjw9KH+tnKCyQsVQSKU3iGuSTVm4EGBqeD6VrtMqhUuu3GilaTV8bXVUgO80SSA7Hi8Y0x
tALJe1zC4fSxv3Y6NM60/8zlMFwb4IoOMZ2atSjpbCbKCr+ZsS4JfmnnsPvO20CC9u4TbWiuTNXk
pyQbGYxYHjp6Z37rgXPqj3S2kxNRYD7D6dHovpNcWZP/yYDpXO4R7RjelSJOPydPMM7PEOBndYy2
UpMShbflLZyYM57R83VwNMCRtNAbnhTzZ1RTUP8atx+fklHTDlOR1TM9sLrJWZq3HGvyvdIza4kD
2yGBgAu5b3FUOMizahrlvODPXuvFC5qJ7nV33iHLaNrXtPP2hRA4YVtoSwWCqYi3fEKutBU5st4Q
VRpU+vldNina/DIX9+08csgQux4IY13Tie98bJVcqdZxGCxGHAEFr5njfhtFL69aUl62lEHGo64R
NxsDEeOxsx2GsiFyPqyuzl3m53NVPK+/vS/ld3yNGj8/Dpy7wTR4Z9xEN1FWc4JZ4M1l7wbkwDvX
cI6rkCRM/AncA06Ucx1JelDxCheXf0SiTcQbIB0MQDV/ikiUbU+N9Ytf+zyBroNEjfhf60DfO8B1
Zch3lxDgm8qNWy4XELc9hLT6CkKoiUtmqssfFpY5xka0LBlUTfDtkdg8+IUDnCcP5aYU00AqkzFl
+/zc+TQ1hfG0I4UO8ncnR+vWihktrMeSiJ+byAPAF4bxcI+2/xR7AkFu181A0tBW3TfG8vWH3mrd
S0MD6YhGlnQtWdKYdXRcYftzl4egWvMjqz3tRafqBbRTivpOtEX5mVfYiIHLBMk+wk3/vTNRwIHp
rRskc6TSQgA1N8CaJyIFy+GVlYdsm07ajAGxCpLS5VQoWAv9O2xcX8DmCPqrYTIfkXlb98A7bwHt
PKpEuo+jGJw962gHvLfnyxu6RtWFSzbNaRl6tJxNCo31KCNtxbMOv5J6xUecnxoYUXJMkISBJwuh
CpSberyn5T2uy3oGU2jSfg1U0R+N2LE2gej6jVBY26Y8OFiRnVFEhOGLo4I39BtUbgGcndOockjK
2A4BJCDmiZux3FoBqbcJ0kUFEF5U74NTzKF8vpzgc2Za9QMKawnHNGm8m8zuRYbjWVgfPHueuye/
sY2wrcdOtZT5OOxUSmREJgv7BvJ28TNzC9lvtDEMnssU4/9zAg+GHYB5EYT8QVQvThfU2jHup45k
4shMy6MaUu07qSJqVRi1iz5vGLdJnUBvIRtgAZ/9hPUO70vaHkynH256SX4t3B18UJ7+iRyX41AU
hcldkkH1gBGRxm+siGKEbjG46VKGLGZrzHnmcXRSw130mDPe6o5anqDEOqgPcZZZT4nfiHAVQl0+
dXXttrdkkwQlYug2KeOtZZv6kwHVl7/PGZiVKpRUC1tM4bZXjC+TksNFN8beEnS6hcYi4QQAryjD
dDX3ZH/VD4ksa2fh19I7FaFoT+f27XmyVWpEU9AQzvel5BxrjgNVdOppvN9m2vHqmGnOq3P+1yDV
hOOKuM8czTWGrIUIDIRI59qjmJfaKOWUcv5Xa496C5k87zszRmflEqO4sSpzbjSK5jaGtbOq9NS4
YdNEsyFpSqVpWL6GUdW/s573iDI5yrEN84nefGr204KiwMndZ538FH3VS1IxMAAkxSvgxKTC2xDK
n23YA7A615JJNh8IMr+NroTM7StAWriIygG5W5aG+VMzH3j9tKcvy2iGCUvosNZZo8E5nUAfhtMt
kcqszXPvr4ktlp2hkE3BS1W4DQjOJiYKAEYEQSf1SbNU8ygw526k6/MaYk//9TXyouYv1PzivEpa
XLV+bvlPxQiUC3yrcyCHDKg8fIIb6Mm5t6BXQV/U0IK5g8Yvx8NlYT0r4Zy407CD1vOz7RzQo+UA
5ECp277EGdIZVbZPA9fbsTqoR7+vKBTClk2Kn7ig3PV3WuwlB61zI2LLqK00J/G/YQMxr3lnFRZZ
F5NGZDXGfd60zSO3netHtYlXcwj8dYMzCAePmd6lljdhspzw1haBtulbm3xIpPQ3Zabxf/zk7dwJ
MXqbw3iNmt/EdrlyJ04RjhH7H67mTNejg2qdKgZRfBZCO8eAhIR5cZ6HKGd+xLK6w3YXiatBE3jA
Rpimv25sb9ePxmDQOlSx3CHQn08nYCfoQdn3cZGSusqtnSJd5wQT6x4uS4uzfV836Q9F4f2tQ8K9
Dvv0WUsCjqvweIlPjIx0bRmRfEj12Nhz/iNMctJpfoB3W+fIIm+iAPPqRIXwTQsbNlvWQZ4P3wvJ
nYk5NaQ9k+PzExzFNPV8Qsvwuoa4x84bxa8dVZCiuSzRK0EzoWMRDGrY0ykfyS/JHwMt/KHg4Jxw
VpPZ6tTWuMJBPWNnzPbY1+RGGihP7tqxqt4Ji3Du66DEZCnnC2aVrvYJbw56UtIz5CIZiplhj2D6
xh+JLNDkFIyLKSIN3YaHsHOGulnAQkbzUaTl8MMgJ5q+lk6ZOLZesgEdTtKbD+XHCiC3OJpK1ri4
4tNURVDQdC38fm7Q+AkJyDMZAKrYVKrx6dc8UUnSAbwuEY+0sZ6tZA6+jgGWftfqmIzKRjBjOk/e
Et/JPpLBwx8+P+4ldJW7nNrCp9zl7Y6T2F3SDRF3zZA8AD5goixzz1+ZRimBCWs0BKRPt6TsNVYj
EdKEK6UGNVzDtnv9azkyTBABaiKDhfexUYu+Cad8kTAQZUxnulsdE/ocvaJvGkKG6IBguAitkQLe
1vrKWCCwYEwxcexOV4I40gV2EdjJg1dS7OiEwG6aQJufdGBC30nF7jAkiOB0Xt0sNGg7/CbfQgh2
EAEp+TbnLuH5iESno8R4pRLj1hOF/VjN5eT5eMd+RLOQGTOHUtSGd1DGCGpil/SOuR47dz36rUe8
hywplc6PzrzgKmpy8jaDgeFfi4bqYGlDd0XqJH5vkzRS0Bf8ERHrZV52P+xKemsRlvqtrlcBxnYt
frXhC+7DwVpXBK7e0BzT7jNGg/AQ6fQVggklfqdILXjW0uveLqrXxKrAWzABxwDaDvfnzrZLvOUV
GAIONUO66Uvb2jck/52y89hwbm2dG5JMpfPnBLvfQdY+4VH9qC0rIKJrLZ9bRHWX1/cxIak3CWrE
u87t/C3KlO6mRWO3ddS8sBbKfhOmSq70eeMDct7eBC4m+EmPYMl3wEhUh7FPxz+wsQXpCAuidTzS
k6igh1RPb7EWkTDWjAEzCOG+q2mkZ4O2tMtU+2NM9XZvj/mNISZjpdoGX6ere1RFBj7AmjG/iuBt
LuySqrxzgGMsECMFN3aI7sYCUUrSKCyqZW3F3KWmScK1zSI1rmh+CR/HRNJ+GATVWACPIn5NO0T9
e2sjSInP0/jzPq+wxQgaxnMjQJU6z5pUCfdhHgDlbjizPWy1BlvrQ+Lohi3dI0XzQh/vz88S6mFj
k7sWTQOi3g6idattRg92j0PK2TmlXexLL8XeDnGyyPBx4b8KHrq4eBvDNjhS0FCU2VF81JtpR+qM
+aMurOYxmdVrTqEsmMoEb7lVGlwbnA7I/x7Gh9h0hweC3eMb16UwkJlwtphrrQN+MnOTY+JSHKqP
LkitD54n/HWoTa7OT/wXA4g/dMSZ8jqO7bDMIIe/6IgTrOfkBCAzblRN8kDz/MOBi3CoexIFOsPO
DlWuO3jEqvQ+DLrnrusYg2IEg6bkZt7nL2FLibp1m8je+0IN8G8tHsMhR8cPMAvxwLP+PploBwLF
kiKeTjrPK/ga+RKfxVmWFZhkA+RxdNUSQpWt9KL03OMXl2aefv0+LECAoFsUNNJBwyoupmNeYmey
V6V16vwQZD986+L1vCLTpdLXRhiX13qgP/VZAhQqbwrM57i2PwHf5Ojk0nDz9+/z7/kmrgWHvpNy
1R+G92Hl9nAYNVxtinpskRbMLfT5yAhoiqmLxeL99w/8t7Yc5TgMXtPVhevqprqQx1Jud1GR+tpp
1Ni7EnqK8WIIdffDMEf9NBa5da/lcxiK77jXRIPP4ZJ8uUVf4vqVoXSf/v6Fzg/j73eEL8TUcB7v
4hUxL7QxZmhREzSYP7FBOXfKC9z3aqK/q1dev2nq+meCtXDrC4fQignEQ9L7d2PjFD/d2UGI/krH
ICQLeEGaHq2HuvKu9Cyg4g1D59Hihd+1PZSvv3/rP+gQHJ4iXRkCIZT6lzZNx/xErpcpTkDk4/VU
F81OKwP6RjEJQ2XvfUcO1Nz6WeQBppNpt/YgTBwhwiVntBy5npOYyLUGfwdQ07itwKDueh/853m/
cOCQ333xlecL+fuF5iujZNddhvyu61yMBOFpZuDwA/ukYpUclV6LTRdY8TbE0gAui5NQ01NdO/5o
vw5DVWMu71/hOXMq/p+ekrOJxzH46pWcn7h/fS92DEPhhOHbXbySmFQKcjsq64SnMXrKc+VtIyts
H2sggCsSjM27dIhWEQwrjvXSPcCew44KUVG7NtpJHnDIGTcCnf3KE7J+b/FurDqiAddfXL9Z/3D5
PTl5Sr4jGip1qUWYLQm9T+zrKT5PeM49sBDf/yvWVHhgkvnD0uQAhzX7LQujeAVagE7rPM/7+zf5
96LhcKHmd4VHUKhLgTk1F5uOzsDzPNAFrjl94E7mZCX89AYk6Vef9weFEbIedFFIu7EKORfCkN4k
Z1vrEvMkci/SaSS+M46Be1ZE1m3VO/YVHttq3xNawRCGouDvv/YPhgNHZ4zO02Hq4OEvGeUhMTJT
kvGqDZ7R3PSNpKMNMOqmdROa2E13YMIQH53UAhk9oGmO7bK8swOXTJMs1d7xhD44pPLcoUb66sr8
4U4YSFO4CbMnQl7q+ipsp7be1/IUJngNzrLqszqXgXHxSqJ5/fj3a/GHO8Gagwv+vF8g7+AR/Ycc
ZqTwtRCo2yeXvXNnC054nRHm39IkZ4yT4lAlOMlaJ2g4D7Zlq8XfP/6sk794BVikUfrPq4iA5/77
52uVobuycOwTZMp2j3DT32VOkr2X3lgTMmivjHE2XjDifYKlnF2bo/NQuyWAibiXO7/qui98Wn96
OPhCNFmlgbTekBe7h8CtWIhCyhM9O/lYRbmPqFBE/qZAUEQjQ6qflsU8Iah4QbxR27Vl3GyNIIB1
OJhE3hhNEP7odb+HeTXLHf5+xf5ww7hKXGqsKCwal5tbAcZB84VyTpYRzz3vymKE1ab9ezQPaWMj
Ht7PxfJ5vRqGidHE37/AH1TDbK54qGwDCxPt0ItVvxlyyw2D1gbkHo33tT+CFoliQjzG+Cq3m+Yq
9SHvGGLwduEwJNtY0rb94rn5wx7voLNgBYHU7Dr/0ki1bZHLiUX91rWhjxlBxjxuaLbd5DEO1abp
xZnBOSXm53kYaQ0bM7yLZdxeCaid0SqpYrI3zfoNsjjgOdJoPiL0Riep0U4pvalfhLGiRfj3S/eH
fQk5JRpni9cFDc3Fo0WUHyfJAtFuPa9xdKzUXYuz8coqAJwszmO/1v7f2/R/ZUZ++DoY5P/Nr7z9
/yg+RHD9/+8G5au36S0O6ubt98yR+T/65U921H8wbCFMZzlWvNtz4fvLn2zJ/6AOMpFDSQfRKI6C
/+NPtu3/UHtj1kLrL+eXg7/uf/zJlv4fW3JIoCN8jg7h9l+EhfwtPOTiWZqtk6aNPolWNY8SZffv
C2cWWLDQm27aADEK5AIuUPxpFNDTyRPWzKvGTu0btOFh+MUzfHES/PW5OGgshSFO4Wb9/XNDnHAe
3A5UPZIYex3dwqayJlozfSIP/7gft792gX+mllzsheePcqneTF4XznfGRZWQTgzf20YfN13Rq0Mi
2ie3mZqNORFRkJnaf3eK/PVpuKpcjnFImi+Lxr7kcAODA9enAvIUK8NfdbRDViVH703R9/2SiCO0
9TL/9l//TCpAdn3OT1gM7Ivja9gbghgljTvpqBw2iNR/tjId12E0GWvoR/kX8uo/XFaYrOwes3De
xLD9+x2s0DYEXsywMw2SFD4cXA2oPdXU3UnS4twNqbQQ1P/+Gy9OClxcjgdoq00eWF6cyz2jlg2a
rN6uNl3cRFu0SVAecuMrjeLlp0gqJ93CVotEkXfjUm9MxU+8cKX6DahNqI5FE+zKKJJf7MCXbwCf
okx+EG5MSYF2af0LrFoDP0jwLFGMGR38ZAifo4KM9gVGFn3/9wv3pw/DTc/BkA7Dv48yAC6Iv5TY
PHWPg7wMhkffhJEiQvP17x/0h2uHU8miDY7QlTPYxVNYiCgjkCIdAHOpE3bKiqhfd/ji0fvjh1j2
vG7RKGHZ+v3R44mmx1Q3AHKF9S6seLjyJ8/5Ytn40yXjVMrVYlVEv3nxISLwEmIh+CUGpN9tMU0E
x7qA4RFibv5+zeY35R/FK+qSuUDkCCzhLbCdX6zBEhwM2cMJbdM1E9wvXpmLvxz367yz6HTcqLW4
9xd/ec8hDGh4Gm8wSdZYnkPdq+6FjIzmLk/JVdoNDW0UchS8yMZYlnfFE71nb7j/+2+82Gfmr0EJ
cjZo8wvRWv1+yzQyIJ2JsNhNo/cxZVXulVATQmALS1JFnGKnskB8HwBdyv/u0T9/Msu+CX7DAMNx
eTSxp1Ek1dQmG2aKsLoZ8W/GyBmXFQ/Xw3//I1k22OVnP69xthv94xTEUD0TyEHiTRlo6lHz6+qd
4rPdMwyeiI9I2/u4dNovThp/urLzKy1Zh3ExkSX229HLi0w9VF2VbPKQPJh1q5rmuXPjYp/JBuDQ
4JtkGpRdLj7/yx/L+kvKkKKfy/2kiLj4XFPPs1gviKBw/eabJhVN7CDLXuukL7dA7BBHmon1/PcP
vXjzhY3GhdM2hyoiXjjpzf/8n1e4Ny2VuQb8otFg6AIpOFmJPhTdF2/Nxcv/63OospBv8+ZTav3+
OUHoETBQa+lGb30PGHJn3RamsplpjPkXb//l/QNBI+ne4JPiWvKEzvvsP39SkEjkPi3otWbZfA+/
4DHMvRf+gn8sLwK9jsnKgm+GEwNAm4slWbSWETJYs7ZdEzCb0GEDH7ogJpqgh5iRLqK4Iw6EmQF5
nyqPTAbzmYM2hgXWyBY9YV5ofGqNkpBhqPYIFTl0F0Pkuy9WA0Ab11xNeglCCpzY4JOIRYEd6bPU
5KWC7pe0hyTOR38pnGEg/lbUxqola+apgMOglvDj0x0sW4UdM67EoZ2q2r5G763h1UQZgiI2ZF6R
arJ/Vr6yGc8VZnCfxS79+drWXr1htG6MqLHfQT+rD73TsztM7S35ywwXX8PYJswn0QWp7QR32hWD
5MJFFVz7k7UsEEaHK9nk464J8trGN44Mep3SZPvGS+zdtEBqSUGwnaZDHRST50yE1pwU3FnushbE
PdlNbaOXM5oQKI3hxcOOTCHS4bXYVViScNKvB6cc5NI2fC4/Z4TB2mW8oDjsXW38wejVfAkSAdRn
zIw0gXsZhyNoQbM8RCzt45ruEnw82bZ5sdEyn3grhZ30xQ+9mS6r6cldqWSBdqo0xBUmMgQLSQQ+
fUdAmC8WpdMTSVyV9ZzNSrus3dGIIpmMOievVl2v6gcvBkGQhUxtVi5g5WmRVDqTbDuW0UAYD1lf
C8z27jYR0DCpT9Jkr3yNkNhSNlq86ROn+PBwcZ+YtenmRow4xvYacLDrgnhTcRtXfn+LbqbvSP1h
anxsQ5KmWPmRKyz6scqyneW0xscUyrwmkj5LXofRFN9NI+ybhRPQJiNRlhEfSuIMwJyPo5wII88n
DsMbkiS9jkGhEfymur6EWyu6fCOZ6t13cVyFG2sasp/4sgtokR5Mt2VA/fgKYS839yr3i+gWLeUM
fUxcbcsAk1oP3F36StFniG1uhFG9QY2r1bvEt8hiHfsgRRYva77hIHrM7fUktF0zO39XbT2OSIrb
UluIZgpsMkBlUhJ+Vmr6WiOKG11HWrbvhM8bhCDRRMyWg+jMq0KagdoUBjFx+Dhb/Y6vEzHc1usW
HoLX0kTr69JQSyUnQMVVyTBx6fcFXZFByf40ZbRylvhsx+8uuDXaKb4a6rXlZU19jEnBKrZaWEb2
WhsI4sVXoupVath1vvYZvKQbgfjJ2ys0Xw36qan277Q296zVSCviwJUYCUmkSr3yhsrNCeBpjRLf
v508GlAyYUFltZ4dPGPkkZtlk/ZyymmFE2vr9iwpIlDElJchgLmgn5JuoTH7hCnQ1CVyLzR1HmcI
S2Cgt2qGrGjsC79YTnrj/6iqrrdXaZnY1gYjrGkuy0T0wTYdZJM9uFbeIqEs4obQjalDjaQ3DiD/
oKpSfREkqn/Brq9IDBFB+2ygCLUfmZWrJ9LNdH8Ti3j80NzGNheTpTfWvsaUDVjXGXIA0iKsD0Op
bHsZ1QBsPHLbm72vE3S3zJWsngkqSeJVB0LmI/TsTKxGOwHtF4cxUT2FhUJ1qcrWIrG5LZgaOck0
PVtU/ses1Emks4madMAEo/qE2ar71qbXUzi0mSyTbUVyTLC2u3xE+Sc1y9+A9m5/9h3ZA0BKMeJ4
po0A3K6T6bMoyRRA2tLaT4WRGu3SyTMegaImMHGlVBO8dW6Q33cq9PmPE8/FdpfjLL+K5YzIyVMV
jmhrZdUT44L5c4sQvrP3vudqHXLUMOWsPE2sUdLwqpbYD2AcB4iS5S51BgIa6JWhSGX4rJPkaMps
3/TnR61OYXpaE4oY4JGduTIjOOBLY8hxE8Dw9cy1CXL0Vlp18t7FJA41o+JfK/WIoUU5xXg4kV43
gl2qsT9bXWrqiEmQJ59sOtddayWeu0VC66Bbcy8C/nzMwmDpVJ2QSG9aSfhy2A022HG/kTujdGN7
i/bSwF+UI4rCPVNX2mIaWY9SEgNQJgHnjtOIIHv40h4K+ix7KSq7mjOweM7tttHwY7u0Crsm/EFk
+wdnhX4ZKk8/pdj8FhkGkK2YkjiYw8tRHfrlPeN+AkzyRA/aFaULs925ybLMEo88dnDiPVcWoMl1
TanAdxoHDDpj2BVbl1DDGSLSHTy0b8eWcoyFIV+3tvuWaXjL7NRdZ2n6gW8Fa1COWpJb/mG39fSt
B6dvOmoT6NAXQucbwOKcSZn+go+CDI34hUzHHaPce5uUuKVe1jVwgii6FugbCIm3Hy0ngeOBDnGR
auWxDKrxaoxZ6fKQV2tkl1sqWwOw1IOCnC1ZMlZbxv459Ou0Oladqp4Q6AQrK05vMQP5a1RMpHrU
FX6SLmQ8aqPHQK0O9M7P6kM0cp/azN9oxTTCRk+DE2GQ3bEfi6le1wEL37KOqqxa6TbvfObk5aco
jeJD1mk7rCOnyh8qjO6HVI3Ook453SGoTcZtTW7tqsfs/F5PuQlnW+dZI8uiNCHhes29lQrq2NAl
P9GAC8TjTcMr4odssW/pW8PNopNV4pyyANK7saeOTJy608Ab5C/pr4QvPgkN6MEYOpzIMvM16qk+
DZd901gfpUxpkIAO8/QHwjJBenJBEAr33fjm2QLWpn0vW1AxMeYYmFSw7QPzW+Po+TKuB/MewJgN
vssby73shLqHDCtQHZIEwWBtXOtkcRMyrq+mgV0J63MOUYA8R2PNMK764VHKEnJk1t64dOJZATx1
lb62Y4FzKuN/tBUyOPO7qIV+RH0cWQsGGukO7iVvQ95DKMfzvlJjUxIpMIkfESqv/qlJx14QUeBV
/tpr8yRaFjout8msh8M4TJ+5rdp13mvNtUcHAIl7aj93vh5+oDq2P+vOaYggjCks2iB/Gpif3EFb
lf38ivC4RTrW8s6HdEfzXSB417t2zpDSfzp++H1wM3FnEuUAbGfcUR4la0MztJ8awY7H3PWIQImN
l4BMwGdM5d0S8OMBvic9/BjfBcuUP1U3M88/Kl1niQa+vCubPoQk2loZFYqb7tBo/ITaqi/KkSha
8n/MddyoaY2kD+B5q2HfwdmJtsYl5i/GCrIWlui3IRKXpY5u4xMWjHPrFJMGSLk0+WAju5ckiEGd
PTnalJDczuD5UNp5hTDbk/KzDkZQ7xoUOayMkKfe4Agm3VJUeb+mKtUXkqD5zSg7d933OhNoIL69
xyzNMgmrwE+VrEevssOVA0dsD3ZKgGO3h+LgTSmvrFGQ4dgK2pGtdFdx69mozWvdRMXvyaUbDE9e
K+NvJIxgafILdzyUOlpX19PRaPde9iri1nho0HAcnWikWI0HeRu1mOUy5YX3iPa6mp3CIboqbAxS
FKhuT+FE4BZyFR6q1Onjo8WetlBV0R4KWC3bShCxKSeyW4dRsKTYDa8caB17p5EIEmtYEJ2OPC5+
c7AZJpBtYVLX1CsNgQ+1SpfobEfCv6CUHwAl1CeKwGpppyl47sKW3DgiNMlEFFq9HNvEvo2QPj9Z
RT2IhYjDslx6Mgm2XoHiHw0inmBg4cU6TdjQNxMJFye6uZB2O0LTiDaLOkT4Zj6yajQOrHzu0iZw
jYCsJYbMvEdkejQdVSABawlJ8SQaBcnSliTrrBWCVM4hPaqByKYg3+Frtd9TI+/CqzT1cDcJyXYK
NpgV0190ZdcfRepIZO3wn6hYjEysaf+WNVmXOfWHQ0LPOsw148EKNCDHDoXtolQBWVrooydCBgx9
SjdTWOKGw3VmjjC40TRj8MTcCyf61LLqV+sxlZm+7xmGzqrzmEfBqYIHiSi2vSt1qwCnp30WhQ6T
biR3XtTAyuvW1jZC5Clfw28eXWqczzJ323Rb4sC4J06+XudhrZ96K3ptwQeR3RCfQixhCPEDg02a
smypfKciiyCUHDZJRRu2sxy3RcYfYH7yWwquxei7w+sUt8glkYVk26Ef483AJjsnpiCb7kAYL9KS
82sWahr+y3mhlTQ8At9Q+ywwrrMpeiY0xSKiGFl+JqK1pPg5JEGhrgnM9I+dRsoK3i3yZq1pIgA1
SYMdNF9EKHGVlVhminCJWDCsb3GSF8ewtcBx25V5i33VkWtZYELZVIDPKX8k/9yq5Y09GMVKs6td
p1HaTZGvQz4Off+WE1UB/bAiW4RLvNMGbgvxz0l0ilLtuSrqfCvUaLyXRjo+2YLMt9IyOR3ZqJwJ
SC5wfLE+qRV9oGLDFXhi1qCXK+EDKluQfdfnm8mNU2vRQyMgbjIBtwgy2872lIZqK6rSiha5nYNI
ioJjFTnv5uTDzTfdaysbU3MxJJ0fEycQdjtFAHY2ovQPDa27gdev32IXzNYEpgvkusMPOZTpqTDs
9MQQe/jgyXqi04ZBAWR5jrtPBUeQ0vKA/RjqRdDdMx3Zqz7UiJPOfa5t6/f63sjIKwmz/JUh67xv
6sPWSByMYYFhTHeeor0EPGYC9IXyayf8Vi6xrOTLLEvNZ4qH8KEhpk9bEBzbD4tAa/xiHVVe0m/d
evAfnFS6wHTGjpRFIt94Yqnsv7MzBnwoDgKHtZRKKqXAUIR0JQZ0cT3z9k4ly5e+ABS/jIYmewTi
oXNZyVRZAtnxvsGV7nA9Sg8VqkqVXBcEBxwDQVwQMn3tkUxdfVigeHfCZZem1apv9ZdZAf8tyWU1
LPukextrvGAtZb8fexNuvTzCTYKJPcywYMP46YsNGPRj2JFwBE3Oo7bM1VDO1kf2H5nqD7jb+8+w
C8Mdnoz/Rd2Z7TbOtNv5irhRnMnDiKQkS/I8+4TotttFVnGeyavPI+wgQTYQIDkM/oN/6vZnWxLr
rfWu9az3/koVjgIjpa9RNBMHqfaxtlbMHP+asLtmVTO99hRgLc3yKug6/8lcgsLowNWn9IkSDzIk
AGOTgsFclQV//YWS+KrzOr7MNghzgAZDk5OcBLYFn5Lj+9TmmRwHef3PUzLfNaY0bj3fCMoTcTjj
saV/ZdrhmF8/A9cqmcYZIu7SMkynA7paVSblvLqveWb0XCuY7r5EIJ1YlTTUWz3xxTYN1rfZncSz
bTb+bkQwmhMMAmGxI0dYSDz510ZvwySCuakquO9WVVGBNNjQ021qTbNs60K+V8uvqInE19aozYib
yiA+HW4ZjRcGvw7M6z21hjtj6a2QEAqvflTmIjhjubWWveNuthXraQJvu47e8DYGklEfD4936nvf
e3cy7WP2Hltv4okdwP8nj0wjlCuXqoqnDSCBT0xF7nmDFDNM3LK8tTxNNgy8He3fHXyLP6PNRBnl
TVc/pGvgUb9L85RgeDJNFZfbukLeNzfxnfc81GMsoiD7TVBQM1musXxRoSgYQhthjURvxQwuAxe3
THh6EPT2qSp5mhda2iMg9mUV+c2EsRWgmvlL0zJ9sVs/kIt2e7+lrnpJM0kOsxBEdJZJUXPOOICF
sHXqA5KCbjgKlCeSwveb35Q98RynVMM3kURvusVVHFxo3OMarJTPUz0g+v0Q2nQJx3hyzAeD6Av9
B+EI8XRuO64SzHLLQBWAXDoKt212Ymi93AotxeUkSyfnZSo0VxR8/psdddjJ23h1xu0DwWYa4n6m
87rgFa/oSHGXae9r2AP8OVfetxzg26FeMABxk1koNa8pwd4pNW8Zqw/c+chLPij7gJgBHbcwlmH1
DK3NU8WhjOWG3Bm0mE0hwzA9mu6lxqQcokP546PkqDIQYhYueA6PWtplfZ9K1lUXvnFui9VXid8N
TQNDv+5eiqL36LNcKJvY+UsR/p2ugKbd6ORcPJD+JhRtu8jdOKy95l4owaGJo40nkmeHdbmjPIru
RI2Vkl67cCq/yJDREJkvUzlFyzS6v3Yj3Y82pJxk1zehMhKTrmeffHJNN51ti/XWIRNqQiSzW5iz
/lZG2hzlX76i91tnFqMmpaLy07WG4Le3l42sdVkte9soW+g0QHbWwxpqij66tfcc+LAsBEn9WNea
I29GsyVINNhRD+4n3xO9pjAu14QmG88Q7tFrq44ZEZsvoW3hoDtoMa4Xd2jN4SqCoW6kzSanBGVr
upfrugSREYSU4uahYQRxCy8fvdotqYPqmIr42FcEoA9g18L2phpb6aL4Fc5jpr3cvsGfVWw7OWXV
wcUlSBh+aaGrUXmm/QffVXYXGYhbBWWGNTspgtZ8EpDiqM8tbG/98v3cfeVnDp/zYAVz1Vo2PZ5L
HnbdqRonfiyMqSsHp99o59zOpQb7pAfnQ7QZt/qBa+wH8CeDmFnqWV5sLaP3HChr5UtJrBXEcsxh
hU6kpjYqQmt8y0VHssULh8r5uwYYKO4Cg8DzLVOvTYE5rLZ/iznSRtpsE8GoWQDFvwwNEjl5c7o3
l52N9OXEbZ+J/pDWrXUmhW3zjwBYDqVjA+D+y5Rq9AHNWMrtt8hLF99sH6SmBD0/h6QZSs5MXJdz
nYiJNBilji5rxOGYa36tdIK7fm3IY127Bb7iCUDGSkMatsOHgMMYsxSyO7fpRnNltwS4PPqPeCWS
Ndw08aUxwPVR2cz29NPaUBKbTtiEEuu+LN8JTJK9rU3u5wep28mPxnChaYiVYW9GVLSXzW4uRDDF
WlPBNNBDeP3JBzKvhOKL3D/1mA/NaNKVvErhG+7mc4lDuE3StpDLx9S05nZjDTqgv6TiqhmT/EKh
toxZZUlpbBPIki5tujB2nMk7ZPZs1++Do2bmD0zROW9/VVkkg0WdfXZUVGzkesiIJm1jNvUfzpHR
PoO8rn8mU7a0YgY597R1Nli6IAljYLB7yfV+aZhqcbb1AezbTtvyHe2gS+/0GJQMuzXFnMm1S5yg
MPceY7do9vjIBJNs/2mnJ07ud0HlJs1S2uEn7BMWqbo1e+Yr16HVQ/MTZSevUuO7UsgjEclIB2ol
x2IeG4Ya4GKs62afpjJ1IMb419vW/ZZdOa2BTIMB7cp1Xmy3IdGnoaf8GyZXPDWkjOrdlK8gaNIi
Xd4t8InOmcQAYMPUXKrw4iiEGx5qmX8yXHvxk3ya/CnqJxieD6OmIRXdl3jTLlt6w9iLJrVqzspA
hrynQGkm9LaGFMGZWGY+Uhz0kh7uyRkfHDQFffD81IARYjiUXTX0z/0BngFKkLeS8JDMcAgkjlT+
r5pHE8UZbSMEsxJwXOzILHlOPPE+ESegiS04IM/XLce/ZsSeTY9tuBgUXJ3argLC6dLOq6hI5VIe
Gz6Swz5dyqY6EtZYfhm7c4czJh3Dx3xe7OUrr2RDX21jiiXG11HViQaWYJPTJ/AJdaz07eLHAj++
MuisdpigZRo9D9hrIpuk71wBejGz52C70gQwuZPIhjjfdeTg2ib7h78IYDDm7f4Zvi2mSWf1zefN
gfG082uQIRsl4fWhrjwCpIMrKU+j6dcfotaH8xmbNWnh3ebSnnTjzYOO0wq8ybk3t83Z9WKzH0qn
cZ4Lz/F1ZIpy/KH4GVLVxuYs362qNR6o+p45f4F2Pztchv+4Vlar2zXb5K8tgHjtQKs2xlMaBN6T
UWn6htahD8PP1YZz+YCcOj/Tj9p6pybw2u0cwsSSx2nlDnkZjcyhg3gQdXiwbX+sOVaKbVZJR+rF
vW91Xjwv0p/MfW+vgny+haE3vEpCXKaBk4QqHX/QyLiBbx39Z4elQyCBrzOa1V2ajZKrPO+0KXKL
zYGbW22uE/W8u++3Pu1oXtYEHSGiUBrUNlVABEGs3nwZG8UJj1fI/czt3Gi4uXKVTUwCh2IXcJXl
M9mq9JvRZTyXIK8a2B2FXE9B12UTbUNO9izbkJM5rATzozHQoaZbw6njfmM6TapW6te2V3l2AM/W
MaSMwkD1rbICNceE96Xxtv00cunXSGYizSNM8W5ex46XGhXdZ0Jbd9yK2YoIpNqBD7pp72FSlr9C
hiKLgyF0C96WW2XvO0tMZQytsTRv9KqKYu+OoLUjj7RlIynjy8rpCC6Qb9VrpL+5F7tSDP1qmPwF
hzWRtGipW9hXfp639XM1msWcdLCo2H+sqT0Sgpu7LWqtSn6UVUC4KyxZUu9C3qrTGfM712wfBcKB
w+Tqgmv52BfUnLvqK1y2xow7SElf1AMxu4hr8VcC1Ebw/oN9XRZ86Gi2vpPkdJmBSXaK84BBmiC+
s3n/3E24TVTz31VM29E43OphXPydvdmtSETml6dhZWca28Je/jrlps4s8jQ7tF6Lcwkbgo/8TKsl
uVafC/SEbs1YOGevJinG6i7M2FuzH9DrgZeE7U3Km9ZLTJRDPw6NfjvmA6170ZDW7gp7aguNZCzp
4Lx0/CBM17ZDSTvDMKV9rBOa7NQurl0etjqt6I9did8fFqADoK82E9V/Fg036J4zcd6NsBC+rLlk
A8zuA5kdtQcdhRWngd+eyuTXGlquOIXKCeaTk3IBvdkCn+lQkhjrEhKzY5D0ASGk03X/jelTIY86
Xo3atwifdLHoQRMl2UC3R+I6c29S+JuL41zM1T/RW7gZM+ycG2NSpkjWNw1NH0Bu6uPsSibkrlmX
S8r9WTLgjbxiE/CK+ggf2kFKpTDLp6reQP0IkV59ODTOqpOiCKlm5yEnPtI2vZJwdUXxZcmq++8a
ykUnhCprBK1+uM5fqDBlAq/WM29zDsdmj4MVIlLH2ftkeTOVgOXM5BYba1t5JFNtyuzykIc5pz/g
7IdianhHEkdtzU92tdZLN3Ic2SI1wqO3uYGOeqDDBifW5tbxoHQ5PHVMOOzN0tL4t61e5RyJIro3
RdVabwwl2qXIOnPLGAB6+urU1qpjftfXC+mmeThcSxfGaLBTZ00Cba3pcVwm0uQFNODyBpW+RiwM
QFT3R8377d1n+77uVI+IlGDqAN0zUEZOg3xBFdxzTg6DFb9HVRuoCs/duv02e27xhwRKOjy60IUv
lNqlzWUkMiMj0AAu9znDotcQAcn9qvRiDjTR2nQCto3DCqFlhpz2Fgw579lVXXg/Wu40U3vs9E+g
eKh39ylqJT9bNDBK2DfSwjm33vxCKek6HzIxuO6pM5wgPRq4A0PCDLS/g2gAWrtjetro2OQCTVDO
3ObmXrcE8/eb5CZ/NxXlusTwMcnJsiCxVUSdd9kko7GYSK6rG9REvSso8kXa+Qd/TPv2q6EYz/Ki
skKRAGCCoPOBJaD/WjIKZiN+jyzslV9fM/AjNc86Vc434H31svHqUYujV8twLq7HZzaBjebfrYUk
gh56a42iSz0BZhk3LcdDTgOGfVPTSumx2XdRgBJ7nWHjM2D7f9vA0dSMU0jnAywpAWq4har/SAPW
85ESRCwia9GM6jBxkrYnqzCQxbcWW+Rpk5kjvlIz682Lkbmju6LYpVSCOA3Ytzd/sxCJLxiMlyV2
Ggj3b35WMonswlkuVNypYOqdaPZL7l+mlZfzOdvWMtxNENrGPUgwwILNUlvTadFc8xJ/3LL56HGm
TSVGG8f6lxJ+hp+R2ZoaNQCc6qYfkOMicDPq2y5mFqTkyF2syovXeWd67rof7c5FF+ctaMtdQQ7X
fxy3fHOfwZLNxW71rjwi1gL634RFwmYdwT3sBNbP+jd0hv3DghMNpgNP1B5xqYzNATGrG8GVbb4X
5a47n7qls8an2ZqWT1Z/WZFAlUphRE1Ti4QvMue319qgWM/Mi9d+mcRr5nrzlz/k7sPA3YuxFlDK
X8xM0I5m2we8MbsuVa/kSa/00HZmPwB7IIt96OorvBRWZ1Stmsuv16krN7AWfn+jpGvNSbWwF6ff
3gNHmFIhxxk1mM4XYxh6A6WEZXlB6mRwwm4DN4APc/kB8Zv/aHDrw3rdBTa7KDoXMlYRXTsKagwt
lScmv3CPemRDBXtgc2Z3iz0yA5vi2lC7yNejjdpLTjobQ3Qvo7Yce55/rd4gRFujGknvuU6RNKj+
9HHZFhYlMPNDFMy2VJFHv2PFTO3zGIZsL/2jkFJfS9iBIu3yrF3CC65tGg6lBhB8ZGhOPxAaeqYC
DdYt8TAU/nguIbWeR0vN1Ri6eAKxqyfvjq3rT1+aLW1mZHVaOmgr0cFwnN12PRbhaG3nPqPNOoEc
wjhheF3NknSdaGlYLYoI2Nb7s3XeitRBsZ+b+iyR2MtYOJPzFBpE7qLSCaszr76i5DCTnNsaNtRP
rntIYTWtpohAbbU1UZGHEEZ81GojqnLkwSifmMKjrWhLvmumOSSsjdfprByTubey8hQr/sjfvskA
47kHg1rnOSqssbn3qI30Ih//YcCX14UZmwq0FvhL3fqR0QXs88lMt5eZLoo2FkGRfQd+v5SM06N+
9/uVKb8r+nRgSc1WM1Kdsm7BBxnf1KS1r3gjAH6lji5+TQe3zH5oA4S6eXF5yXp3Xe8If4XWPRZc
dGi+LRo1wNroHY6APt9ZruE9LBMTYFxV9fw1IkdYUcDk9DQ0c+HuahovJcK6bTVUd5QuSCAuPA+T
rLy7gd3lG29jfDGzmmsugnJp5a5lNYuAUHb2i+N0NXXx7H+pOmcbyhXbq6sHOxwWhKsiuI40BabB
XeuJ6SPl9l/DK2lkf92X9vcZrL0Ff5jmDWbRK7PPPWf9Fq7lPvq2tj9bt2Bdo4yU4SdEY73X29I4
iZTVHxRN/0bP47K+T1ng/pk9R/7z0UAp0q4H55KOAsR4UxTWk1goBb2vmtZAOhz5cMUKwe2b7KGm
lxuWAFdOWXrfLjBJ46EL7YEaRxM31NFRqfcbQCgtIwMW5570boMJaptqxrCV/lNvyRHqex4NIRdI
w0xPYz7q9svr7Q4xPVXk8mSjQSqqumdzXuq0n3dmC03rsd0M4d8vIMv4Mz3f4y51U2KeJUg468Li
xKe7VfdQQhvCdnxWHcjAzPGNextol4JY6t0Z73AVM2R025D/WnyEpx1PQCLDuGSGZo+vKzBuutry
eI37HHmmlM4UxLBcxFFx/Z6ipkTZunVh15ApqPIwspRvXTJF/dV+DTProS5N8Ruaegh5oK6KV0r2
9S0pPXgakgj7r1tq/Qr/lMc7LK3+h+NsxE1hEGHYDc48b8ngbmaF3WBQ3Qv4O4fi+N6V9k/nFKq9
bFcF+jfPlci/26DNdVKWme6iwakXHRUUrf5lPVqW7M5H6Oi1ZALe+cWE+SoLl/X2qtEMcTnO6rbF
/KSwmYo6f7VGL2M66DN3O/hNJq1v3AUTHeLoc9s7X3GFFi0WrjmUrqJ6shgB8L3NFbacug5K/CrQ
QvbAHQM3NopiWMtoKPvVOfJzoAVObhOALgz9BeW/BxFI+7nkqgHssmttwFQh/9r1TqqgoXQZHwj0
PfZvbG0yGtcF2j02hdR7J4BXup8hmP/t0msq1vBa+G7iK3w+9DtUFC5XAKtyKhBwXz1TkTuc+xRy
UqzBsCIZN+O1xG80lDyy9nN1LHxv1ceN9xn0jnwxipggF8ZVx4PGtSMQPqVURUlRMPRX8J9amzmU
m5qyZBbNK/p0g+SLlAYnRTLwfbWFv23HKZSie5sEuLl7JhxyWIqTrPxWGyTDU9mZbndLHzcMpdu1
yGs2oKaulyblZlYHW+zKSbLfpJPXSgLu7MGlBIwsjxj16upiAOZFSnH7tU4JvBsDmPFxwDbIqBQQ
pmk8YcAMCwMhQQQx+AGIolpDckhqen3nfM+eTjnRNMxr7jJFGFWNycLjJfvOnFYNJ9g3fQ+jcZkh
P8luqb6ZRaZu3y2u+mzBrOv9CPu3Oy68QUBsYhWJB1ZQKPbG0v0RWyWLBxNnjJ/MmHXKc0jlWYkj
bqYl2vGcBZJDPXfzRw69b7xdK6sej/j9QMZU85biNF3yWliHVQv3Q0lp//a8i8uoBTq2xLK2iutS
cqKck9e1Z8cjOA87HlZGWzw1fBQBuuGqneNlI5x7ERza77x9l+6QsmT5V3hlnp5pUpjwZq59hfRb
cOG7SZUHGoif0Qv4SGGpiRRMYtj5DrfMP+UiAyeG3uAHUYYBOhMcIoKlv1E2nB/5xPvkzoGTpbjV
psM7RjaMb7bSrMOpe8nlEV5SgCxr8Opydqhy/OuOIK6xLm2Nh5ciAymI0FFNJ2B/XiAjkm1+f9ys
xjWYgKe88h9xpZTIEptjf6fovioRynEE+k7FLxgpQ+ZJmlFNDfW30i4W0gJXVxPDMm22veNP/keW
21gUVIkZYN9qWEEI0V4zndwirNa9J2u/3g9IJeUJkKuqjqnDjxM3pS447A1azWNzWfsQgW5U9G3I
ZQ37JHRXYzz4A4GBM7bChsL1bQBrXHprhUHIGlldDrKbQyrfsVd9EgNmguH+s3ZHay1FdsacXVlx
Boi0YXOSbzJhvxRsCW7HktloRfHclRkX9ftRDJ5Nb1kjqJzmde9vYcbii+SlFuq8WDOFWS0WWR4z
5DznZz4N2nwR1nJdUIK2EgwbVK+mVtN4F9NIBVCYbmvJoQYcZjet0Y3mzuNEN+DEBCSh4NsGfPRy
BK3Srj5Sr5PtueZ2ioADjk4/Nla65tzkbDSg2mqM8r3vN3R6/O+y/2MotoQPuknr/o2iIWleQkut
hBfDZoFfZtYgTH9y2CcjDSEZgrjJPFYiU1uzs7Dvm6uqeuzn2hzfR2n7VkX8wwH/uCNFPWyJSUdo
/+khKzLksbSH5kMqtgA+vzHk8O6fTdP/mHGdeAyBTZ32MYzZZnzh/S8mqGeiCIcJPtNilXcO6YUC
uG2BIcjIxlViGkJ+nOIwN7ruRkGck6e18HFzrE3ToVGwxw9+6hwi6Tvcc2HcjB73sEeac1bsK22q
M/N+m2kNwSFCofpnPWjTum1EHgRxuuU+FFLs4rjkrxR5dsCFVtuwnmvpSa3PTi17uiWmsIArgDPe
SLsYjnumD41DhdMdKltXX1hZuvm752OjOed11q/3c1/j2KvKsA6vR591KTcBSLgHOnmTQ2hqdx4i
KSbEUCnoR7CdjlyAWRzmTHE4QTrMilfoquHuBLei72Jo8A0CimoR29B+IR47XIKHif/jPAouWAaF
9TaWcBxMLtaA9DAAEnSWQzozrTbPocqRnm7UqCq3OrIIscruTyDymk+kLnAtruegMYkGbO7UjY+T
EKOFluSWhT+8TWgtNisiSrKb9bvsa25/ex5tnhhOsNKzNtjPy4BMxgHmOjK2zQ1E8B50R2Zie8jX
vkimcvUwgjZNGjLGZq2LH6CnZbzl6WmxD+Q0lh2w2EJl5Urd/EJrwXrIhkmGeTILu/ee0jTNFEh5
cv52f4NBzF0eCtsSHBUT31v4bHt5Oh87FiuUJ/itRBcF5tlBzO2Dw1Db6q3VI2vgXEjxONtb+ZuT
iqGaR83uP461yWEkbYN3HyD2V4hJd9w12Ipf1BiEh0WYW3csLUN/mV3rvtPtEH7QJJxNBGJKSg73
XcZosJsGSqATkkQmKZa8BjJcsd3+z3Tp/1Na//8uin/f/Kueh+7fv4Hu8P8fCsPJfP2f4/j/beyH
Lv/zv3WF8xf+R1W4/x/kLImlAm2hluraCPWfSfzwP1zbJSNOEMsH5UJ6+38m8Z3wP4T5n7nqECYY
RUT/K4nv/QeEDOEImkx8Yn/C/n9J4lue/1/SbWQUBXRJj+w2Rj7+7b+k27DPDBkpSRyk4ZSewHHA
2l8xX/oftPqS1vXbU9j1B2Ef2HNBxXCGxFm+/FyN0WTB7i/MKnvhpBtBOxmZfp1VjUEeBUIugE5f
KKnQWIvdQ2rXUQizlxSBi98P2umuwOOS5y/cYZ3YdIabyZySzrGx2KBZk21iHTjdjFDxLFzjvVtf
7JBcxkjxRbDj7at3ztLpmHOROhM48P5JZ/fWGN4sHrEAy7Juq8qKBtjO15O/ct4Ns4fJs0aF4d+0
iPARz7J7B+pyZKv8HXJjG1E2ECGRMHHfzkZIbAswslYnUayf8EaHner0AfP3vjVU1HE7c/r0YwKk
YukBOqzieuAyr8qvusJQPZ/M5mvg4tPkwYenE6fRu9H+HKufBidEtbxPYErjVVv20Q/LeOotveu9
/tSN4tozcKj6+XXUzjfrGqb/UL/W28laAywJOtwHGudJL5ilqprr5XIOtXGEBB8Rxt5jF5Sn2WIf
Eqrs6MxPEE1Oc1Ytb36LRyJ4oW7Tbzt+TjeIxtJktbLcdyqDMY1l/AAbC1uTnz22yuMBIo6G7R9a
q7yI5SubVPgIjlG81U3QvphGPt6KFJruQFdcN3xJftBeiA+TVtlCtJ+W05wGLuh196xIUaHmYOqS
KHdlNsjYkw4X164+FrWV+OFfCiVvdb+dh2Lh4ro0CVrQyYWyEOvVJtOaIe63+Vs39hGuh3LDtN0l
sP4fujV9w/jZ/t3acf4XNADXy527rH86rbA6Bw+jKh46C9mlfTQtd8eZuTPY74f2QnawbJjKGp9L
t1+igG5Xzrnz4rOefgOw8rriASIOQWgwr8lZsXarUMcFhTW1eVhsk9mC5B8znVu9QuNIZrYEW/Fo
ec2ZVdkUlVsdDZDhMxXeEcBiqpV0E+THUrmPTZiC+eJXCsZLA+csqLfAAIUufJjr8gYwIyDv28a7
ST0VXf3KnLxHWmli1oG7zipfA97cZBAVCNu6Pmu/vO9LnJA2LkO6iaxxv07T2WJ3jqr3YmVYSorv
TZ7lql6t5swfvfVwWSeQZmJv+trKv2H/6DnqRHIpXnC4hA3rF3JStJZYJpts/OkErs647P+a4GjF
0i6RkzE58r9zfVVcSqOu73iRK7aOPX3T+Wu7iocOUyz1KXdic/YbZT+mF9krS9NsIdIFIyOoikuI
H74Nm5fWA2Xp39gLmb+UaE7pmkdOeC+SC8U/lmobyDiSg9BejlA4f5fcz89uoB5M3d3aLYGlPP8q
uzFLtlV91HLzD1kmknay7xgzB5ZaOYg89ovf5tbKj61pCPYWYLwKXGax4LmBBcJ8Ye6cTtsS4PHe
wnHPhpDVt23y0QKITGXW9eISdg9W7z53dv2kg/mWi81BMWf+6m1131jTztisCKa2VvqCtZY/b+x4
wZocsKnMyVFlJyn645QZt6MWVz3pmmr92qYgQy7wkMmtv2bRHYt0OHer8ZwOgYp89emUc6RkBYY6
mOS+KvoRv9JqJnLkhucY+LRamVDylC4j1t/Kj+rJuq/sX1DRqHHe8jE65xqIM6uC6T2wB5lMnsx+
5hQ7q+2aBsm0bg3X46IJe6RBTzdKVzU7JsavedT+xeyyNMpIwyR5PyC7ahEe+oq3aRv4I2kb14j7
FjgcyiF0U7DJ6cBtx24/Sit4ycxOHBSLS04KnIVTex3P64K1+NauiUditW3fLb/9UD4aY5p+dOXJ
oJv4qc1/mr7g81zQnn71uPAhU8eJD0eDA471m3+Pw+LqPR/Dw2B/IzoOko9GwxOyPVOvQVfE9OUp
mmlT9kaoEyfd0+rM27ChJmWz/7DHwceN2kQcFlYlGYoC76CI6sW5LWb09nSTXClZea8fENwjyzc+
xaZiv2WLT/pHH9ztWnfvY41Yg/nJTANiEt3FooGnKdUTmwM8pULmERDN4oyYfuc3+Ve/4KfMxuUS
8OMRrN9N3XNuXQgHj15Kg8DJElu8BY+BI+nNzGPuPxFsAYKfF1pjW56vrcX1UsgvJvDYorDJGPRB
1lh+w/A+9BQpLepiLr38SIf2y+j5ULenyfZ3boElmnF0Mv0kLIs487tYG/KunYYDgivSXvGZg6j2
2teygKLfsMDgKXiG+8CyQ9prUtGcuguuPuLGu2YTBv+OFX4WOYiv2XXlvA3mvOvn6WLM+tHin31D
dG6IEMq3Y7NsUenfVXI++Fl4DdjdFQ6wURyJcg1/nLXbk5iKg6ALdsodGNKLgoBUfl4U2X+LdDEG
Bd6xPvLzNN2EVc8WuFBr3Dj6E734JZ2rv07RnJcOVXsu07hUFkKqfzE2j71wPT3jxNxnOvixFo1T
Tjo/gxe+DyZ9HLPkKsEnH4HV4hJSdvTuWqZBfS51IRUtvVx7sLOxmjYID3uk0kghQZNHb3bm4sOU
63Kz4IjDlYBBjgSOIjdgxWKiuldRU0Y/52Dke/LzifK7D1byL4jAj2YLD75Ff6X6h+0azD9cd0V+
IA32kQ3wyTjh2QVHw2bjXYRIshxg1JM4ajBKjm+DN934pcMvv+GuwK7sSi1lMtmwBQUmFXzV/ahu
SO4jMc+WOCAunJd2ZbmrT5U/HQvNktyZzznmxYCvauc3HGJUPPfpnrJimkHDGOX6nnaLHZaRf6y5
dhQbkOLOH82yfW7s8hHh497ylicjq5PFTstPiCm7YvSedTt8CvFblvZhrH/N1T7RsWXKP9KlQ8bG
9ArAFJvq0SeMiozBE+HS0MAiq9usuZ2Cr9Q6ienN5BPNHj/Ky2RuTu76XoWU6Ir1qNURsx/u0Cpa
uQMZ4Zu9ajZULI+CxO1gqdGHxl+cFhnxcvLaOfECk0MVblTVy3E2M46L8gvPEf0mosLsX7ixlbpR
bZPUmSE9B8sKMSqQO4bts7kVkT9hAjPGZzWTzMixmQKG/GVTE2ejPktnvuR1gG+9m+DH35iOf14K
1ikIOHfL0sZEO7477Lbhwp43wNRgDljTyHZBzTk2yE+R1eRx61YmH+FHT8OSDpa/rCOOMx7iXUdk
lWrYk5V7NwUydC22Ze969Wug+mQI2iezv7Wu4dnMehzzX1/oeDMJMtXi1GfWyd6qh5BdbryVAYsk
Ik44oN5aaTJ/DAlAfhNfJ2Z8d943efjmTLDBGZ3ujCJv2OmmbG80D07M3mQz4XglcmJ1i47QRmLB
38JrAX45gMDC7qA/2e7tWC7IJ4X969GmVc/8CFQ2spcY/adQ2enRW2cuFYrFQbvQBlA+uk331wvE
1XrOa0LT9zlXxlOBWQdRItlM497qzPth1Tdz/cNNOU5drg5l5tSnghoJi9MWk8/zuL1WDkajjl9o
3d/YOoyzzbLxrwW3ouhPZte9DQ5OmnB9d7P5TfvWbZGbZ86JaKYyStWC6jxBAi67BWx6tOgu3Jnb
eF56yuQaZ5p5Zi9sHv87eeexHLnSJel3mT1+gxaL2WQmUjEVk5obGKtIQssAAgE8fX/obrPuOzaz
6PXYXd6qokiIE37cP/cQ/U2KUpKM5HFuNmGTEajBtN7YA/KUOyHbs+Cuh+cM406gUT/dp88Tv3J6
qDaiXHwqc3WSlblA8gs2CyQ0YQIx6w56Eo7ZDBG2mVZ67GyarP8SZJ5W5Dz+Mrp2H/guxQavhX5h
J2Xz8JDVLhWWWMvBsKuNFuMGxnOFo0LzTMx/WvvggWfax+aE/cyw9hBfMJlk8SYlb1K4c3yjDaha
S9E1L93c8cRNlkKJqzaRrlIzfnrXaPStTapiEziY0GbdZpbGkin5PzR/uFWw9QYy1Tz6mjCptDcF
iefGrikkL20uDH61xcF1mDsLJM/gPCt27b5PAwpXDlck0XB/22mjwdbDhbBfzfva5+BXs42hdkZ7
wzyBUEYi8FNzg1umax1yExO7YebXKfPmrTnmYvFHQ4vPax4Hthc2dX3Mg+judZa+quvmkrBxIN5T
3TBW5rA2vjEph/TxmCzwGytkr6TBUKi+DDfLbmkWi2/DmcXeL/wCs7FBpIzRrbWsGYNEpu38WhOn
3iPa6Qo0YpGm6zYdgpPb8yLryOr6SteOuEufTTooNpaL5YRO2r1DcMNT5pc0IRITWG/3qU07D/aF
gKgE6UJWDqR3eQw3RsfDr6H6TCexSjOIz4e0bSoAB+587dv8kHrdo9CDa8n4B11mZeTye0lZw/oa
CHbGGxwfP1aVn6rZvXpDy6zJzWIO3tosmR57Q+P0R6nSstViA0oIYIOgr+36no8tmiuK+9CYtoA3
SNc7U8mZSHw2nflOYcLdasz9JLxT3bZhb1VXxZX9kKe/re1/dPqwHwPvFzAwOdb8h7zEKhXRl+8F
e7P86wev8Wi8WoZ46gr7GSpGcoym5K/muV9OJz7rUnx42nCnHivDdAj6N+mKsJvdrwZpdtRTHN8J
I7PqD8JsNhbr1jT9LjnEU1FYk1WNSJxIiYnfEbiUJqqmAK3z62WQyIb5rdOdeFtrKVP7VGwyv7lo
Gs5IMT+ajUr2VvHZLLJ0rMulJqq/1mRXQlhaxcYdxFlzNOdiCkoLS7/eBhwU6BW947VY2UV+NMnG
lunwJ1HL8hU/AQ8ZV22oduehh2qh+mMdx29FlTzVVXGJHHFpoOP8+ya7mb8JsK8sXrwgXI0Ie2+y
YUnHGsRlaJvGcPIhURTZjlP5vWjkltYaFnze9DVqcj/MMCA8P/5NGXNwJjwUrbxVuvwOerfd1PZC
gPfwrs/Vuw+nTXeTZg0BmaG9Io3lv3cZQUdkTnKPJDwgFcRrz9zEmfGZZv0tTaK9Q2rDWl4k5kJT
9zP6K+3lsBpvYOsciQXuOkFnmzKOFdQYnQimXgwvJLS0Ze28Iw+wldTP5zgGQE2svBQcDKPkKuBJ
lbvTvuvVygPYgYpivhFwBHVqI28YgmM2hoGxPySDyyjlfdkpnQ6+YJ/Om7BvDoOFpKEiOhgCFuyr
KShOMSPqJCPjhl+WvoYRr5z2mtbLZkYDoN46mQ/Kg7F1H4tmOHn1lDCKqoMsiBKtkgzkFRPRcApa
8y9usFWvsXBH18YwKlDTZOxccCQptlqNArRkTell9JbhRLMSqM1zQ3MQTB3CZCNuosdMyGRRM55w
XOPJ1K3pvW9M8r45ohS+2xWRg2o9ZOJP6zphoL4zZWMJ7Z+TVF1kav3U2MR5Yo7tJbYa/MKO3U0v
hLwBoXRxidDU8ua1w2HSsdZxPcVbL2vrfaYJ/d5G1QPfdr/OdPFUTXyCMzdJ2I94HjCYX2Xdh7IS
WFz9AsZsdS345DUqrigkPSd6uqW5oN7pvV9toKLRKNgvv/MZI/FIMCcVYVIkrxF9db6NLDPgjjo5
iDkXya2xNjgiW9n03hT+AS+nva1s0W6cZrSPrqjv3ZCnp2FSU0jN7naEdbore3UkGsfqlvKclVNl
+XPbNd2mnKRONi3JN1qT+9xVA1dIqf6WAH4co+mJjk9bb1EpKs/mJLIfe48AmdziY4rBFBL8CPFN
NWsEfpcinzh/802EvYyzAM/rj2GCLolfbeX0brkj9k5FFIv9y+AI9UK9zfSlFXr8m1fIncOFLdg+
beO/lkkBRgwLcTXkbP8Wz5XkYXosmm6Va+5RFq+OwTm6jtZxQ/mEPzhPg5cQCFD73HPdnbQOQtm/
0DSQiCaKFZ30EZjJ1spmTBcEgXDGzudkaN40Sz+UWncfuYlXsk3ulC9R2RQ5v33S7ZYZxXLHkIqP
JHugnHRT09VqO2JndMWzb/21eom9qQj7wroHFTkZQrRnbxi/zbHlLUplkezyB1CLxd6co3tmt+fW
NKhkQZrCa1XsZc+lXyy/l6RI7/gVz6UXAICMWWJorZW+FdGHyNTJ7O9BeW/dah+PzrZsZuOKMOU6
MTpnsWsykBye1xqfs5gExianCqWebZq2uNhCndPoT2M9pTOWrHxGk+vIejVh57yb6HJoeopwmS+z
C9aFNQZFjsKJttGqKLRbQUSP9B6ix9Hz9D1h3xn3lXH0al5/BZlxZbRP2Ac4wKXOh0YWAbiFm6/c
JUXOu8LP/XvasCnu3U/AIT0v7iB0OxOvQl96KCvtQ+Y8C+o0HR5mPe/YATGhitOHojaOvovaQ6CM
0EO2j/VpTQJ4ZZYjMoJpH2j23LN/W5swOlb95L+piMWSE7Hiw2zEUbpeNRpx2qr/ENpVoEpPLJ9x
Q7i8eSZH7RjAV64A9OHNPI/mKIg3eqzG9yR+pOiu7s1wrAQaSfy73GCubFiHtzt2v+890BpO6Dly
/XQZ4yfl+Uc2WQc3YZ/vpOtM7mTwlnP9qEh/HMr6M7eBLUkZhTTLHwJYOcPYP9U8LqLpOXOjTT07
WEEYm1V/ltLetfrygA52lfqrjOJTBMlmjt5dhIlBbsfJ/8k45WgIoPlQkjpN1u6kk7gZjrnqt0kZ
VgNL76dE/ZjlV+G/T8CcouS797FRdBInvEnj+IdIX1A19DLdNajQuj1v0BUuonC2QnBsMOhCD7Rt
LoHGUdr+UMa/Tc2bxSjPHSSoOtZ3/hDwEywRodbGHFiwEwyIpNBx12Cb1JI3z823HHT5zdnx0Uw+
E9M6VEVJbdatIIa1hsG070p7n9KNCybo5lRPvvVVDNbKnJJQ1ua9BIREwlPbDabsV3aXX0WaP4Al
hkACboHk4EZZy0IXlbrVhkd3HgH+xN/ANLCAiOZW+FgCWvvmlPpp5qnXVumh8GeWE2VCm41uvjVQ
19z2rZWXagEkja+GBQc4/lXsEzCBdeZbNV7HJbtSvtKlyC9XLOae8jZrg34c7eqgqXsuWUco4e5c
1YcFNXV2Kk/YjhCF4XlY7+ncH9JmfC7Mz2LEOS69O/bgXUbG0FXJxojAwn2wxd9XDYZGuhBe8DJT
6zcWJ0oSoZYUD3V/jYKhfsaFjuakQbwlSVwD/hHBxoueUiJ0IF/XlVoIaWRBnDjE2w7ryeTFjx2l
urV4tGYt4kV4H+3nCmqRj93zvACY+s/BPE4IvlDhSNaShl3nQGmkfmTPY3QnzlK2gTn9DO9rlSFQ
JsfcP2CyOGjxkXwur/gQa6+P/aZ6LeYrBpmto39qvMazU1MfyQTtM2aIRD3bMjuPaQhFhpdIxLVD
/S7dqjlZqrbdFFwyy9HQ1up9On9HFtbzTD0WS65Wvfk2SQmTNXohzmjM9bhIz/MFwMG2Gq0tqYYb
DQhhARQus/aJnV66FjgkW6w6X9r6GJVQ11KCiSCMD15LYomBKXrjFbCKvCrU2wenenCKs6u/CpAs
S5QMBq+xqkl0Vq+WYPEVpibvwMa7tyV/1KjPUYokYhb7QrpbDWcBAebXzsjCPmXZIelxAxAR+jN2
B2tfj82a/CULnktnct3GuzYYP6zsEYbhBCIBiWVlZ82pqnY++CUk4t7iwZLymDK3djBTP2z8MWb/
KVmsw115w6NFbAfaHE05iy/5QTOxvsZlySLQLs8Shy72Be9tWmBA9QxakCMYI1SY1wQsDSILjoE1
OYMmxYCZXIiL4F3HOx8mZpo/4/dc8quDx3mdQSg5RBHt0q3ulwd7EhzQilNjINoWw0nAENtXWnPt
qTHHmvppaRxw++HNsf32LZNFdQSLzVhIiOk8Bd1Hrt5nHZKbLsTfukhPXQlkmdbJikh6OjShn2x6
3d+WGlWz/WoRyYNp2nWexlPYXTXTNSL/ZEyfWtVyErbXQ4sTESsTEsfetgdtrwRhLVwuE1vbRfJ9
Bl+Gr0c4YYnFm1YWWpNOU8vAX4Vl8DoZr212scyIZnGi9lob1lyfwGm3Ee4PS94M8Xe0tENad1S+
foELv2eosGZ6ixZjt9fROjYxy7TbDiU5p4qyOExDmETv5vhQ4cGvvUtXWszfPZFbB3aToyNCibZ/
gjYEWKi3PgJC+kXw4cvm1LiwHjHIMELCk6QBFK/7ISvmsz5Z31X8x0Y83gzolIEJcCIBlrhtveqC
XmChRTUKyIw8SZ1vUlByV43OvnREfqUoPP9wSTrDGTNv3Ft9mLEnCedk56NIBNoH52xuJ48tkBg+
8hkYYz7DHrQe4zIBheKmPyQ8VqIwz4GM52OqKtou432LDxdhjinF17CLZVzJrYE6jRxK0sfbS08L
WCznbHg77U+tBZdqZo+r6faFzkL/wU97+Sxn+8vVucOrQN0N1CEVdL9D3x4mrHkQjWL4AymKf4A8
ue6A2GhKPQZBpn/1uK/32IP8Ixa8iwdQs3W+Jlbtq8A2FFIREkss3fLgBdNZDCQuDC92NxWxUTTB
pH3UnOg+D5w+BifBCh5ba5RIyg2jRud+EvE+K2lVLI1tRKKN8ZrSIXIEkzZSn5JaX0EyE+rFNMKR
U9nXlufRyu+ncV+bNmt0wFrRGwfDgEsomB8yI+53/hhooFcGwwndKc63HtL7xi67feOpt1jxabT4
t0K7extHf08I5SuwnC01GyyyaYEHWcMRzNzC8yWmN19d2R7YEG9jnytQJIfG1E99oF+8hCxIprmr
2lTqmM3ERoYgOam800lFQZoMuJJu2FgfjDqWEDgJZVN+7RRLQAH4DUnc4g3/vZ2FJirJTgjbTDY6
3uWBY5JlajxP4uc0H0B0eCTa2WglfN1NNmW70S1CKhz7o2Y5bsgWx3oYbH4mwdYBjbbPo2gNf8XZ
RlFT74Re3R3LrO61wYI0mCLv2kBZ3ZFu7ENYAeaLJ5pzPpZWyFGT2JE30lPdcLaRzZLmJXmAdqv3
Ty2qS4iib9yIoYMcVJPb7625YFc9qHLGNWGm02MrW3bkCwt725icjcHNE02zjKc8av4CIjHySxWB
rV4XcW19jKXX/spF5I1NY1w3I0pTkbfd75zqWLriefjhHpS8SKgMnuvOI47Roa6UGcvgRmvPJX8P
J8NEZxbOQP4JtjF0ELOgUCGrzG/ZUIVTJAXcItd7lQESGcGifYZ5Y5sMlfXByp3FdN0MpL9mLbR1
g6dHNRp48nQionMavMd5wpxb9OOn75s/SQWFZA+0zTm1YrS+aOEky4Hf4aepwJGtppbJXgdkk4za
PohAjqyCuUVpc5PhZHPr70fdrk6uhuhUR3s+i55no3KOVdv99NJorg5Ysk3LOpL3rYIVzKsJrUeT
NnMd5KBEYy7TxThcjGJy3mUVtPXawEL3q6cKgJCta3JnFt0W2WN0aEKoKXvkRLOjKRfdN0pa4UGL
9TvOwQW8mY7Q8xNO5eYuKyVYoMz1Jh3nzz6qIEGXc/ETZHXabQRiEatY2RD4KNMqexQDCTBtZnTD
yhjwIQec7iRJQgYLcx20o/lhVIN5bfXI/ACrTNU8wNqzOc7tzuwc81JyfmDCaZio6smzzQ2sR2ru
8xbDWTJC7tOLqHW5r436hJ8feXBM/F3TqjS0/arjc+tYqER54+4q/Zz7hJC4FG3/u3FkGbLR1rsN
RnLzCrQ7+FN0mrEDguOFsumcc+Q5+lZnPjiiUDNE8S69CqmpN0+qaW12pnsTxiS2biErxMrGcR+6
zgou+Ek90A89ThhimCsLOkexUoS7OE648g+sM/D/YLk4s0SFvu6srtKPnQBWMZmxcTd6PH0MZ14d
gihcbMosqEny1KAb855Fn9WLM5YQu0MUnuLbgAAcArOWQLQUP1/va2ylDXoagqFPzo7BNjiG6oY8
lXKUy81+B1HBiddao8NViMhJtmWq9tCL/U8AwEBm9byc2w1vMe1u5th+PE/71oG8IjNM0XfZkVku
K5ZOjmUYdBRndYVEEQWXIEY16cg6bfrMAxGEj+pgCOeGz7PkrVkZmJybHPCS51IE1NSe8WYXkXVD
4Ak6fEWESS9ung/aCqJMyfmgMYBTa0MI3yQzuGfN+oS2gf6dQYPybGeBHC18uYwiwiaedgpz9IOO
vTUERAO8xnO9vV93/T2iRuKRFPdva3rlJWOQxPQxRr8whYiuRG3sn5s6vamgwTsJLtioOp24oMUi
N5pRiRvoumBH4/cx9+wjtsc3HP3t1e4rdTNNGJUyM+k/deGOxFZEv7U99A+gDYz35VG4dQLOUGZT
TS8j2JAVTzftHhPy3k1dw99VKVeR3ekH266nZ3dwUV1UaYS+hYkmRZ941In/PaJUQdOT3ZSOK18H
GbFJxqyD1wPvodlQK/JCmQE4B/CEZUH0Mcqn/uiPouWOiLWN8g3/x4YBwZba77eUDBOF4CS5g13E
5UEuc/rOxmQ6I8j9qQc25nAzdsEs2ST3OXJMoebq4hGKJrEkGO97gGqHpMv1vatMLuHRAgCCc4bO
24PnkVMShKzXtU6VL+fsx6ayhzNLS3trtIRarElModYX3GOwSzf0H7p3FVXumSL74TpJR+3Lus1f
fWzM0CwC0x6wKajhYrElgUtBYwPzjsxvqldYvBc1tjeT+0Rq6zrx2Q4rhhMrZJ3k7QswjmnmF49Q
cYeTtL3ordboD3WM/N1YnOWlBn59Vqred3W5DaQ9bg0JSztianyhBOudlJofNuMijtZTMbySKEy8
Vd3GeI9bt0dOmr2+2Xek1teOys1zltls/mPamhl/2CMVbCV8m0XlzIL06jkGtqwSFYhN8oMiDX0R
rdutu3z+ROhBn6lHBaPU0td2ofBejC6IDsoVQtV0M719bNI5MUyAghsFHB2INtmrrqyxZVReGnpj
UW0YGHpeGgwiVS6a7TTIQ4maR8kvxQWIL59mnBs2D2yS2zxxVEREI8i/jIV8HJkYC6yShgWozYv/
olVk39wYz0nfltFPBeLjNCH7tXhrSFdoOHmyYqMHNZgQfdSPXKD5PjBH7w8OY8yZLCWvmDgsvlDn
7ciFu2x5DFO76GbCz13nYNkHCBFdrNyDPkqWQMqKOTpPfXTlauNcDt6rwOsEVbPH2MiI6RMEyRoz
3QMUx3Wmj/5bUXRi3+Ksm1Z+KvlYYt/w5EaA1XRXyILqauZDj2SEi+3i6TRad2OlDplJiGQdDMNC
1xLZW8MZAc9Xm5obyG3qF3pTerULgpC1KzmS5YkSqBaBOuJ/ZaOT8O8RQnYgD518v2lvOcSsP4LM
G4Q6d6CotdDa76mv59+8KOpjMOsk/OFlsCmw5LKBVSAMfOVcIVQQOUeAOppSpjXmGCd51CYqLOYY
ENQ4IJODzDT2s5Lio4/neBMHDtM0PeT3YGjTMxpWDT2OuGOSqI+C8wN3Iph2FA5MHs9DRKINt355
DqJI0qg9B3jITQ2XvePp60HH+TfXCgLmhGQRmA7u2CLBGU7WAh9rSSLhquDRKHKkkFLz/uD6lXE0
oSJhRVLVuRVNtUlJES84sZPoUu8esZ/c0ueYfSR+3sL859j6MMBR32jKDTstmT/bSDVEGwLsWRl8
k8JT/asuFkoQbbcdAl3vPdAXhkFxfLTc+B0FHjMC5LJL0WbWrq/MAUBhxH6abrngpXOHZl+70A4l
mVzKugfxaGnLi0HJgreQV/Ik7ecZL5tfYV+aJ/9CIjbZcM9o4AoN+w9pkfSckA3g/Rm3rNlpeg19
VkMLKHd8nLNM8Nm5OhStxs2g1Xs8InInM954mPwZ2CoeWAsHK/oMG9C02kTSTmXniIShR2d9xr0w
OvP45QZT8OjHZ4K/4ZA8BM6NSBGYwDjuvsvK4u0UnYg4w6sBie32jAAwRbaesbzNZ0hq2PVnenNZ
uDw4JGRNIFG6YWOpLR/sKoVo0AUOx8loVtz0vhWTN9MiD2jP7PxlJ2F/8OaIdngVC8DMtef8Deij
fx3KKtkXCBlsz1nRqxXdBxqDfeYSETdse1MUVb3S7RZsng903uj2cZ6+6sh/UNZnI775Fk2f3b6L
kNebDjhAUXfzAZ4cGk3cbRrdfshnmEyDQxqaZGDkD6+QPLqNlfDVqFuUzvQf5Sz/I/v//59lfXj6
/9/pgNNXLf4RDbD44/+ZDdC9f7kWx0TdoMSWQy49LP8RDjB0/V+67/BR67ZJzY5HAqBilkr+9/8y
zX85uk4PH6EBw6SQBse+gCbN/zKsfwWA++ioISLg0Orh/0/CAf9MBmh0CXnLf8b/0UPTsPkObLcM
cOldoWLij/xvP/7/pRuP+MM/62H+6582/9k7k+OsHLtBKw6NwiDfmAOE49m3ffo+8jnsrMS810Hh
XAxsC2cjyygDTCvzuzJnkoJlOqfQEEDB9Iv0xdxiNQYtF/hGOH4yEnEjVO2MI9mxjxNVWj8EySeO
EQUbMsFS862PAj/UrUBeZxaUN7+MxxerndVnObrdR9am9WtLG+qT3/r9z0xRwGakc4Bh3reax0zr
gye/n+kN1cvxHRizuhLAS1b+PEQfLSCyA41a+AgUkS0dNF+a/wptbu+pqyG8CMN6cpyh/YPJ0uDI
0Y9iVZcYR9IA4BN7G1H1e7OV1XHGoTjtssTpDiUEb1ZRADbC2UFXKMjI5iQSvOKt14GI6oK6EBIE
ZbAlngCNArIi3rBgCAMifNt6GNL2kGkcDYQ7lVfTY80hiP1/syLLN7ysUiKGBMvsoAb+ImbH3tOy
5u5bTbT0IwSLjtrZ59LMsodgrhwW+cwNP7Hoxi87nstkLYMAlFTuqcvSKbm4B7LokoGdocxeuhvA
4mYY9G10hh6KTyz1rKvbgj2jM2RSf0egMh9DaoPH67P5VpU4yJLSc+6w9b0NHx/wqyY1nzxUyQEX
pePvA3b2BPnB900k9ErQJl58GDSdzAo7FxYqVUsq3UDN5RtijRiZpBv43R7hiXv7FES2j4jXi19T
mxosb0IYz9Ao/Red3he85QXueRDQVvw0DE60i8zc3csc7abQbe2gezKX25Ib5Bnop1uvp1Jat8bW
hjP6JIHU2SJz5VepeMpTT1vxjkr3/AjZQ2fl+mkgT15sZqco0XYbgFL07epXhzPGksP2c3aVGgcn
4I79lpJBnZUt9KxtKvx8P/gJ0By/Hx8hQHfMJYmzAbPA4Xj0hb7OmiJ6mWuMd4xcHABcEnUQFu1X
7KPxrR7M9DMzZo6swvav5jhgXnWkyPeqGMxtRBscKg/c+RfXVf6fUQiMeT2ZWXwQaNvxlCe/0knt
TY1gAySsmfVya7W1d5sGpR2mHvBfNMTAUVODjW1UuN+lIBUwdFV6bRI2cqBLKK73y/aP8BL7Icua
CKCjw/u2I5IhA77xkoMohRpLlMYMNCwmdRN1Ww8y5N4gVo6Tgp/vmzlfsOROMaqn2ALbVWd6xqaB
HgVLsCKoukKabdLQoQQ929Drs/ibi2wzzen4OZGhfdfpRTkRR6S9tjXql1SHXQbbr7xmPjUbNZrA
W29W9ksgpviSpfPwJbHuG3s5uRwl+c0c5RzrTw7X4601pfVlSSaeVUrP26FvJTK/zeu5tpIgbANd
f2Krb/OtKeNqTyU+9KYYGMAHv2/vGsUnW6cYcP/7MS4DqZeS7UYlAxvwnVNTKkLe/TaCYH7gUiBk
3XB/uZOlHk1Yn4tqEVgfRukB1QXoaPIVJFTpwomGA/8itxSYqw930tRLpBFGVtagngcGtK0FUGbN
KhS3JoO5WiiV7Q4wqg87Rh8uUtAc1Oa59a5r4/Qe27mxSztMXGxNOucwAK3YKhenBT+6eLBV6W1x
bDjEhpLiiAEOLTrNxvcA4OLGAK+2BTLAakbOnMgmTGU8GrNB3nsqAE+N6keecp6hP81K158nywVB
QS0srlhhEDGFP+0digQKAUdzT90ydLqTSDq+G5BX8U8yadmvFfmq3xSNyEItoi6ZdJgydnGZNY8q
nTGr67Pf3SFXOhtOHjEzWSaumaGJR0qz5KHH3LFngVh982mkV8pPnLN052DralK+gU/2V9McN9Mj
+Q9BQQkFR1QFKRMDS0x+wiANLKJoC7/L7nB3Rh0Sa1PjG3Hq7MsxTNmBM4hgKSus0Wlng04vq8wE
uwdQ4kdLa5dKgHhqdnOaNwTui6x7nAPVHVplO08qU3Ivbc0/ddjYbjr7tze7lSyi0TKKlzHX5WkG
U/k5acW8hUulryXm6iuACjhCI0sNlgzt9NhbxQIzTrstH+2KY2d+Z/j4TFMWpZOXT6xg6R9ixyWd
X1fLMGYmKt8aWRk8ox5QMmizfAN+mT/oLjTzTTDwmGlkl/1tmmQ89Ki/tNBn5UdCWvrFHEmzxUOm
05MC9/A5yfPxlrSJOEgxzX9gOWubwa+D86AqLKhwCivcLzESC6+8Ee0+cHa2RcZH5mnAzRrjsITU
vA06P30zGJxC2Xbt0+iQHEtMk4cJl1PyQgrD3BgtBn/swn586qeazXVbzj/SFhyk9Diaz3HnBYQr
PG2jj5H8qJWl7TKCYB8aK45whE1N5inlCKAhNuzoGB0xWzs69iX6V0rI9KzQwV9EjDFjE1xqwTo3
cKV+WvDAB0lemD9IW4IppAUYIjMulo5+pgWJ+wEbmSqOYIbpG9AWv3L1if4UGwWXPI81q13Qlv5j
46cpL7Ec+lozJAd/7MyDpXXF09go6+zatX2EtUbwoZxa8AC8eHZGkBDDc2hw4PhbGdG6tiJ6n0o3
eRdIW3dr9ECOTRidIN1XVf5gsNOJVvPQBHenZ2drS6N65tnc7mAJ9uZatSn6coqStomMAOIwBKMc
c0uNGzoCeHV2dM86ChqbTt4Es45kxAT/LMLFGpF8PEecndYw/SlL9Jw6uuKkz46OyPq/ACExW7Nd
b6UBs68qcio/gsF9S1Qm/06sCs+RsO3TzJRLT0xBGr+UBvbawojUHg4jwCyz/AHZTqYvGlib5bgh
ff7KPcgzyYIkj+onHYjznUxjtgT3nTBvPM6NGo/6tiu94yT8lt4MBwQaxVzupx37AOwU5/9mLJGA
cngTbABE94a/LaPk2NUfuHHnXRVnKRPalBz7LDB+a2qQIcnWgYfS50UejN0OJcz1WIi6IAY/KmVn
1BJihGfxVId1PHEiLbxo7xUg+UATWWdlBOLQJ1IUKzv2snUA+gYqoDtl7cJ5KY6Fs6yLh2UlBf2e
0kK7M14nuotPVmeoe5uN1iFvhP3mdImJOmA2j4BInX1QG7PYOY2uvQFx6Rk5tGHewWENdgnPjhv6
WHwvgyJHKhwXD2IVtU9O4sZYQhOMjI0gjOA0rR3T3IMKFTV2327I2H71o8E+r5Q4EqZ4xxMsOsyg
zMn6zJa9hVtoHHhER2+40cdXeur9Z10E8TMZs/RUQWX5BAvThqNbOezgB0q7WCX8RD7SlrLFW+uP
4dywzaqBMWyatCCEwaDp3VOBtiu5UI/sV8Gd6N0Q4MnQI5w7A85xh9shjMkH7qRwojXlDcNLhg7D
bzMpx2fM+c5jakX5Xyc34y+dtjBiXnMewZAx50d6qAiVwPm++GYVEOMrW1x3oF8UabMSK7fj4iM3
LQ0rnzfytl/VSekee1wEXDAoRkjr1ThtYfDLV1N69ateA2nOEhPKPkc6tPjZz5q/neZG56KdspwJ
yAV+JCKTYAnAgttctURtfVhfsNVBfdW9kKzzjb5aBzRu7asUf/M6Kie6kEA97+dh6DZDlfkXXL3j
Q6x6HGsB+tcuMSNswkFEY1sEvMgCy5O4z9jq5UNTOf5D0y0/Edk1b20gdxKdUPEfWKzdzV6OgWul
3G+MEDbGq0jsVQk3bJVbSa2FIq7LR3oV00tuz4TxoozLiSLO12mKuVWtsfKemavyg05px7lKTHTV
wnLEaWTrGlbSBEdDh4XcKbfoI/yutc4KmJE4NH3QanwVoX9TbemvWzxvOtpMlW6ncS5PDYi4f6Pu
PHYkR7Ms/SqNXjcL1KKBXoxRmFau3TeES2qt+fTzMaswleEZHTE1mE0DiazIqPCg0chf3XvOd9YC
rvNdBK0cdZA/667VKfOdZEXBtjHK4aJN6JatSC6u9OzUk2SZkD8GkfqV4tftWuor8C9911Q7vHgG
feg22hfREvRp0PPY+LVU3NFHJlGJY5pdaHFwsAS0/HIvyF9GFzXrQleqJ5SAoGVbhC5l4ssfpdUy
DtVcQ0IX6jMbwnqa3X4ss4ORjMNarIIOs0I4slTXmEhL2bjgZC5vibqIQE23VbgaFG10EjVWL8yL
wYdcxMqDPEsxobpo8yROIWPoVWaPmCWDl2gbJnm7OdBR5CS5b7lNrQlHqZnAeISJ3O9NWidHVMPW
WiVjEY15NuWYqqzA62KNI6giSgu7r1WeJIlqU65qWW2D2JoAkhpEzPh98lwXUvEAEpAFLgZMsJJU
UnIKXUNkzKaOTn8vmqRaZMYnLPdxbZZiYkMcyU8UVec9iWwiTxkvNzmvA7wa8h3uQBWTVsG5VVvP
Zm99lWqhtdiFaniEgak+yoQ/dbDeapxSk5bf1b01gALwrXu/kI1F3dNOdmWCJWV6WBCC8IERP7Za
B8ZsoHw9gWq9TI1ovMObwxCWSKTKaex0T7LOG7Ma9DK7pA0QuIAMn6HiK0NqOetsuMesfVCyyHwL
YGLV+3YKkHf2AGch3gT6qxwn6T4wJPlihrzkeRsDN4KKjUWdT7HkdjGlNzPK8EhOEkiOLRsLYYx5
IO0cHGUhDLccHVFAdygsO9ZyJ4mt6ERctP5MXmH8KhUpsVmJpt+Qm408PLNqGfxVoG2VxkwxRvXi
OgFQ9WFKmUKfn23Gysz7pw4+VqbMHdyaulUQsBFBCaJQ9u+tIqiO+qwaR3C+Iooo9AHNMBtnWRN4
K5LaUs+T0kF5q8k7RZQt3c+0eGmixPBTsNfc6rEgHoB/j49w1eLKFqLROkIYyKlNwyin6S+nA7Vs
ISYUGp94Gm+1AsoBohbr0wB2/EKIH1T0uZkDr+bQdOdbTbMVgyy5JWmV4AANXWytUZ+fAVc9oLSa
v8jMbdZtYISnacDxpxsVsHRTy14GFYox+kqB4mZTZnudFR5bB3IV9gPpAQBWfCb7igavNVvanscy
0+u0jNeRQ0DP0RtrM40aPO0yH2WtjmLnWZGlPFBjQn4RBSitxPEORNF8a6I4WNonjZcj2z7mzH/L
oo4dHENExupjlNveojcfsK10p1np7QBH3amrl6VQrCdCLuL62dCQgyJ8kbvnEGjLKqKr9ES1geNq
3i7vvjmS0ojc6alr/Fs6hL1rVNJ0zHAP4t5pcGuGkN03jS4QtyPkBjUUvZ3CYRVIwvxmGMl9Iyaw
N5RRCr1W74Qrqa7CsSia8rHHS/MZC7n6EdKbQHeInQsbnOijLxwmdyLfhsaS2UPCmVtvKqeZw4m1
G6UmBBLNlMGuYLlvNetBBoCvYi2w0g1RKxiEwQiqGDQtQhZn+NCTXOgv9Sz55zFBxTWEnJayvs7W
qIMx84IuOLWVjroi7rpjk/XpqQd3MzrKIIbFyheL2ZtpmjYo9weMRaZYlZdG1VWQIjg6NuxMpB3n
cTZcxKhlt62SBM9hUlDgqdreYVDlN2lvWB/0i5Gly9CuDyRrQBeryzB6oyqnILPqU5Ofrzh+wRcw
zuDD5DV7PEiGiVG5Yik9Is8OeXvpthC52e+VIsfJDIZxDLxxsY2wnEzyTppUtkxJQWwfG+SiulGy
UlsTNIE3Bc1+rNlNy9cqjWQTeVWgVDT36RxOHqcc5kJZZTl0WhxjmwbvxxtGsnEt5gYTc8wBnVRE
GqxIy6X2OmaqaS3zXIOYj6SbCydXa2/VYQ7xUsxLT6qr+qS0gn5oBxEfQN0oiyGIGBw2TXjrexiU
CNjLiFh6JR/1jG5fJn2VUZI+EpYaVOsoSIR2VRPx/KkbgN0QxJXVESSKeVG6JpKcMWyz+cPw5+nS
x4ZeeEwAAJMrAITgxaMBTYhiYIO240gLbjpDWmxCsxatmz7Go5bOhfqAIGzY5mBiF/o5AZo6TZfH
wAdkJhmCgfo0yXYlREGPNZSojLKy+lNZhfnailSB3uwcab2Xs37ArJXE7DHqE8q7slguETBa3np5
5WvYV5tcv1dUpoiLD9+PFkqsHag4GJnbKiASMoTEVyTOo93pQ/Ohzs2wx6O1pF01NbgCo9VyT9f7
4X7UOsHmGKneD4IufND49Nd6WdZHPZOyZMUGrL0DrwgmWs2Kc2v4wzOCqMDiVAdFwZqy+UpLp79q
Qh8g2efMyP7dzMlEsUzIGbna31RBEX1mMkl3yWwk8krWMYBb5aw7dSLA4IskTX+FoE5QcWFAB3Oy
vCDUySdcg8i5+TYsmxaFZhSGKN0E4atigkuBk1v5DhsCgvWMkZ8h2d9gk6UtjswODmdEgkghFsIp
GWNpS9uzQJTRwIybAm1+MfHBXBqDYh8IdIFNaE6MmUwZFgLkZM7bjj7WLWit4rlT5eiTEqXxpKt9
sGnTvP6YO0E9ilC8X+ZgVgcEPP7aEIcnBDMwtPtYqRCBa+pLITfTDS0BEseNLlN2qITSR/qF3ZrM
7MQpwZDaUaxInLrLJmju/bgCc5enVXEG5V+/qzps6dUoye25bSxa5D570tXcRyryzqJgCpXNB3Qs
yCvRlsD0kTWsJAn5jFO0SZrg7Msd9ZEkRTUZbiQ6E0h9nzDsRB9xYaqeMZj9rQ8YdU2qCPieohcp
cpXENsG9AE8rYlp6pHYeqMxcWYj+zwSFDpawMJ+w6c1f/SAt1qC82+moH0GI1Xm7DlCXcUxnUYPr
MHSxTb1vfu3qgClHzYBAWwbYNcxeanqkTqq9Yz5lU110g+8QcESunoS8PlYMax3rI3ouCTT1ZGfc
B0r9Ni7sIBs6l9MebG1MLPTBsYSkhExOrbkXiGxgdiVmx6t6eBJNV2TPtRHMtzJlmBuLt43iRB4c
o9CCy0lpaD20grBGg0V7NJY4E3By4jBTTcQgd+EYptiaje6uM8QYdTmWpoZ9I+UygWoJ8q1qN5HS
dafNzH5BoBO5U4JaidR+QjLf6OemGtvrRNqeLYtozY2+Qtxb57LXMsu4aJiGK/mJRHCGM5atQFW8
rJY4+/h9t8uSvDgNVEUfY7Ht2A93Qr5NYvrzbFLDB2L+FPyvslF7bSHVng4CFkXiVKivgBqrTTtO
k5uobflshYrpgHQAJ/T3CJ9corWvdnGFaTrNNtLcE0ej+vBzhig9oY0bHHDiYPJlVT+BiaNF22AC
YEFQD2C0URmJk/iQathRBzOAsOHDDEXFWg9ofbIM/X9LxkGYBJyFFcI2JLQ4hOsK5ls6cRq18U4j
LqJlG6874KafMLvNY4tPPnbkvA1IN2OOex3CtB+8PI+lp1Tqzbu8Rni9A2VQTFvibHTR1lMjgj8u
mvrDZBjDISPKZyuFC46jUVNh8X9N6hOiS8j+VU/MrYcSbMi3lJX6+xkx8xGMcXPXiwEqBqgaSFNB
8dPn6kF3YmkxFlN2zRh9JV6re6BSWTvE9PgH5EP1I14g7Vj3akglml47VIOCzj44WLT9hmI2RLCF
yNk8hHXpEtBVtxbRMxEGs4a4mBXLjtA4Fh6327iTyIxVpdYXHL1ph7vIt6TTnM3CS64qYCmrdqbQ
qFfqYNFfU4oNs3LXMb/P9WM9Zhq6LknmT4AhltS1OFL8gH9VJncFyiHJVplp31t/sRC2o04IZt03
hbZJNNJZmb8UBJE9/T5mEkLSkBbpqF7wh/rWNSflPPWmolb6DXOZvy5Qfwd7/mw5vE6qlPkvmj+1
/aZp4LKDsxRmTri8WVbT2xE5KkzbqV7Xrp4ts7U6aNkrElClPoWCFobr0IKXdNOGLX0OXNcGznZD
agryqOLxU6gFUkc4wTWlq5k4PVd4KhRrW+ASBAyWCJVpD2UzjNs2MjPFrgrmF0MyotAzA6G5yUy2
qS5/dYGSjX4wVU4zqKV1Mcux14n0kewgR7opigySWSBPW9ezKdzEQMBHD85STUZ3r6Qb6oXZTRFb
te2noXAfRbJwlqCWDTZb7uIxN8x43pMjUt7UZRp/zHVXrMnJqi8VfB5amUG2jiMFX5dicP7GJ2Qg
uRDkGn5nEc9fWSzgDCIGu6VS3IXSM2k81gxarWBfJuoNB6WU9JR7Lcgzw63H2RBXEHdRBM/zPS6G
lBSPuDSgnxGOsEFlXVGiBLe9h0LX30VKroHPqVFHEd6KXyzAm6WkbK4mEQhKGLZo24u2OwJhlA/M
c93jTOKWF8uLewi/UrwnwKN6JCZl3jJu81NpBOGGnOX0SsM12IVWRVEGGL56V6a5+oUSKHtuUXyj
f9E1eHcKJSm7Q82FyFSuZHIaK2A66RjHpB7IaJOZJVOyCy1YshPO+Ah+i2sRmr0qZ+gcWqq1t5kB
sV/yO1VYEQ7a3dZTh5wrxmFE2be4kcNR2jOsSLkzw+wY6FVmKz4WhdQoe2KtE/3Q4LPajtpMg25c
kC/JjGQ+JHmjL0vtSyMuAR1qPtHrmBX6b1FAqyKezeph0vsEW1GV7HoROgARntR32qSu7CjJh4c2
yvCNR30VbyGaLomSuf4KUtgAtJs2EmLptrpECjI9l5EiPKKih67nV12IDyQIek8RSUfuMalT9xjU
h6DFFuw0kx6fCa0Mj9h06Q+K8IhoIOrVScxaThBEGAhubqQEbpMdEyirVtHo6YvmeCYNpDtMHVB1
uG1wJLKG7gGoW9HtB3RqSBFCZ6GzPxP3hoSrKdL+JfanxHRp/5g7ib+uxlTUQWobNWnSz0i48WEh
RJM+6lwqHEkJ5zvA4L3g/iGf+P8ts1l/FqfX7LP5n0DX1KQ/KUic1/b13z7zNsI4zQ38178fX99f
i3+7/V83P6holp/5h4oG2YsuAli1dEVSVEP/p4qG/0dTOHIYhihKBFnwM/9U0cgoZWgZQtK0TFlF
ivIPFQ0CG0nUTbwGiqLrOmPoX1HR/CGXKdIpKPLtx3/9+z+0Lih2vmldgmREqmhV/d7oVcTmp6RQ
7unbDAA3VwOHEpca1+Nift23+WHp4v7pO/qJykZZ/v6fXZd7Lt9fb8iAa1AI/Qd4wKaVm6LfY8qY
u10q3YpDAWDrXgrNjQir5qy19auPL0fHLNQY48YodjR7O/WmajfMNej+TVufP0VSWLsU6dtEtpV+
HnDNDkh1DKtYm8lzl9jsk7C+kCE8vv36s8vmTwVCfGnL7//pwxtW12eYKntIIdtR/Iy1tzR6Ya+n
TimEl2eNulj5nktf6E36d0nfhMgph4sYY4EfT9Z0GVh+jPQkPEdv/NdSuChmWOEHST4cW2FXZbfU
SRKLDUvmycoOc/xAW6Oh9bQrXqovhKXOUqjbUmfZ5Mf8paEfslI9Imi9ej1tfBfmjtO4nTs6s0Pq
3IFCzgrQnguV0wYQ4yRufhZWbzR3V40LojQ8xAcZWa+K8+5Rs1SQGZ6c3snDCZJIXG196VkvT2l6
n487kN6Gcp8gYRpEd0gfrZE6eMO0lJNzQ9xTZzf9mewpM/B6Us/S3UtDHXaX4MxYRBYr5ASKDRsd
xBBtEY5zGtot3z+1k+Uk44pCRaVck+lMMCasAUPfpPUdF+xRetQEjzTwXCB8AWYnbgTqdftQ5Tta
woq2kcqNzvEIlkd/qbqzGTABrsV+q/QfOv4WWVh1PYJyqGRY8DBXTzcYSKgW2wW1H0xIbvkWOt09
uZNachPOR+2IJxshveqmloPaB+MQlgXk13b7wMFRbzjoT45an62l2etJuwJDMda0ioJS9Dzo+koG
t/SqvovvHbM6Bygw5jqMNTrKK0lHak2zxpZu8O/4GC1LzPvvdB9NHIbpc75u+GIbHZPzZriNnka5
9SpLehx0VpDg1PjrqbmjK2STOoHoFqAUNMWExy4co44wwz0xHIgkXnUqEIFdr/Fq8D2F7miwc13F
IFAMJ0w3irGnC6o8zPzLctlMZZj0t9H00OHfVJKTTtPIegBIUHmy17sgqVyafPcQcHaaZ3maJ7pw
1kj6VtfJWx6dfj3EJCbFv04PKv2mH0fYSKk0bE2r2wu36cXfVTtpE56Vk3ZUdjgtT/kuP0qXbP+b
qyFx/OnVlt//03jmLKCoYsLV8gNYsVN9GW+Ll/CWyCM3PtWn7Hm6zd36aJ6K/9crGj9eUZ4Mwhsh
Qu2ls7jzd/rDvK3W4Tk56gfzrO04uR30jfxonpS739wjoUD/zV0u3/Wf7rKHniCNktbtlXNV2dDH
kFAQGi09WqdoBzpxl94BZAjpYD9MO2lbbXR39pINQ2BXe92O3/MQ5m6bXX6w3hWvP9SX9lx60T6/
wI3CtZg2m9A/QhJGHy0AaytXgUPnGiOFTKaL7AYJFWE7wk7AVg+baOaGMAL8FXUPLK3Etr8BxBuu
0QiIBwIOXCOHqkPsSi5xcQaeePtwKrwruZ2oPbppq7W29lQe5DXq+2o8tD0eGc77XtmuNX0jIeo4
WVhgmgO6fDpt6PCnr4lKKbf9gJBw+hoR5lEroMb6hUiOulS2zq4iFSHACyvztbqpTtb+rlmDYuGU
rUkUo+3k2G441UAs6J5qQqQuk7Dy8UrDWLI7LrnlArgQVxT3XDoQpkOlVY0dgaPb4slxjHbTBZ4p
r6ts11WfFrNvUX5ZT0nznpbPLX20/CugLoprKd6M7/Jx2AvPUL202AH8Ea/p4hIK2omr+lN8i4/K
FpGSBrTJqd+Dt/l5wDAeOyNb67fxIl7R1TFp4S556TvKLU6tEOm84Rd4sGta0elG1JdflC2K7FVD
13A1v0cnAro2GIsflOpqoUhH7mEvxalNs5/2BA0OjzR9bsRrug3vlCeYFyvcNwzJ9FhsOrtmELXO
B6V7B6+zE5ytC9++NDA9erAkg8rueVdwVTD3Ei2xVZzUS9b5hhO4i/PShuFyBdVAqpeL+MdNTgWY
Prs8EBfqWWfxK7zsAyde1Xbk8KBWOOpXwGa36VPlWufuAXMLT1hyYmWlusORRW9ruL4Hp3vHLZZb
hGs2fk8lcli5ibx/nM7SKXhpknVrXQO8kdNDwzgI7nLOO0VK5163p/xN/LT21U35XD/zEmCmrCBl
x+saTwR4NctWKdjZmotfkpPol0itw43u071Ogq/Zb8183d5pNVzQM+lgq+JeM6B2O/wFOrQkwpJu
xOnWpOJ9FS8mFQDcuKan3Ihb4Vq/xiftWj1J1+lsHgSXGdpVDrJb2YgxHZgQzry6Azm8KW6EJ+Rt
h+XLFGw677uXdmvxp0FB27mTe6GXHNGJrJ5Jiva6O91r16GLlsp7Hu330TW96ZB8UPaIntvX6ALV
67Z7Qg9Gax91vn5JdiAblr+NWL3dvGPNcjCPNSv1NcF7ETnYH8LKoVTdDC6oBPhbDulk+krV972F
e2tS6fowPG0VmI280qcb3ruRNRh0hcpubmWtLC/3aGJQHPiAKVM8iRaCxL2pDzY7RQx5s43cRfea
2/IIvKWf1gvzwRHWxYGRSPWc6Da3xDmQHDRXOAXXSHgoXgDcHGBfjp2dARUGLWyX1nbixZePeGDh
14mjHWFNsTxSG7TGTl4I39qgWvJidkv6VnqUHpWN6rZbFSrYOm22yARPlJZP1YmckgdhP1+Ga/+O
4XasNxjq6sphRNKpDRcakU07IH6P6XlC2qawSEAxWPg1WIEg3UZ4PzsOnMDSD2ayh+4zdE4zXjVl
Uzf7ub3IyoqCY4Uvv6USlTryfPGnE5SpeT1K7jDuysf8Fn7nviVVaVeUD7L0XBpvVvKiC4/GUzCD
m0E6QEcSsxywJvIC74LpCyNQHrvxfXoFP3fX5OkbnQ4Xbi0O00VEzOfYxMcxXrFBhUimmziBVhQ9
AKKHH8JTf9dfrEcANcC8q2opjx8MJIgltC0Kb9wMDx6wzGf2aT4bN/JFvEywqUdA5CsCGv339jV4
bm/6a/BUDZd0aNcU51xgCiiSoHizJ8TNWlWbtIUe/BKk6wUrivayKxH72gtrot6GCRmjTsQWqr4h
lsdub83P9oMwLnbNFBKT/tCd2rP6rN+yyemmJ1XQtwaS3WaUt4uSa2KOIPt2eo2ic9+vA6C8MqRl
T70pPgC69MiSaevcmg9i/5Y0H5O0FZ6yh/ZJvYq8cT3Qm6Jh97Yjb8h6I6tOocXP98MQJ3uoDO2y
f5g7z0cVXa44hq9Gdp+EROEbPpRshYlIOVrNBxZ3kqzU0ikHeLyEJG3D+zLFoYTYp31UHeMIlmIG
Zcy0zSSrQWdc69YNLITc3yvtpcJAT6oOShPRrffsnuli6gcyWM/Vre+hSgoftNBGd4OTLevsHETv
5NCKaEu2eoT5rkATjmxEA1ft92Li5YiKVHekoprxhlE8f2Z149b8g+pYV/89+FgE2XCHHsr8MmXP
Oj2osPNSGFHTtlc9cn3J+mWXOQRrUaEMulKYIJQVCjgOGei7pJvZumrtnswY5jmeafwFRiq5yAdq
67x75SasXxVln/qHTH1DXuxzANS21DI420n1fQQYtcxasj43CTqREZCIE4+2XziatFeIEErfJMLR
dMjtnQ5ATYeh8ZBRTNfHj8i/Y9k02MC0nnCeHpgbr5g0Gka9sFe6k9adkqvqRjfJq3Yun5TiJX1a
hFOP0W1xVu4XpLbUPtACLLaNAyTj5cKc5LZ2eU+0Q+WWFSetEBYT+U3wWBKXRgwWa4KhyGRRrY05
tAgdCfYdnEl6JExmH0AlEHu81tuJVW9NYNKlXsr+m+ktKK7yrUbmGrGoJEauhvyuu4WngIDGfJSO
4l11QTtTzngjXU4dC+d9Wo3X4V2ZmCZWvHRV5PbpFq1BbXceL2TyXrhLb9FWH40702susITjNTFk
GDaIzUlu2xeTnq3o0UWyyr2h3tXlngR3lGB0I2nPNpt4kznVG5Cv9J5sZXPf3ebX9FMo7PHIG04n
Fug+vyjeoq/4QEopghZ6w/fhIXn0TxhKBYUqlC0FGxqu80f1aLEnQ8xRLhsbWd5UBtoru2L5xvDg
iTc8ZnNpttj/gd4bR6Cf9PvIjweU83BlO2Wjm/FVeKLafo/EnBUg+dRjtIeQsE5xcxT0cOXvao5L
TfMgj47GLseDMImLP4fo7uAVXZfEfKnCs1S9dmnqDl12TFGGcpy2cG1T6h6Lrz+23/9SWez/Lnzm
9Eoo2FfxP6EwpmP7+u+dZcfX9CPqP390ly0/8ve6mEFZTDOwjom6JMLs1/5PXcyQ/0ZZC1uWDD5J
hltH7egfdTHjb7jHFM6F1L4oiukGP/SPupgg/o0ymoZGEScPP6jDNvpXKmM/nglxlhkW4m0dnJNl
mKal8sH/fGqKpnGKaOSAVO5vsKcXSYAIpeUtlVLeVqOuo71kHf70Bf2kKvajp41rmpIiyaYiS6a1
3OC3+hJuyTAvrEB02or2sgRNgR2o3P69RPs+/mfwWfzkKsZPL6MSrSYZuozS7JuFTvLLTEF/JDpI
sVeyobiArVH6jFSOiMmJnovkMUlRTdlNuqtmXCJ2BIwPbCUU7WBb3XOmEYydnp5AEvhkh8CJZ/Fm
TguAF69ItUG+SOxGQ5IrwSWYPyX+cTkqmQfpRNEDvMWAxHPCrAGEeaWEnFDs+DX5AOpTrLXZFgi5
l1GpeTFViffpvRpW7UBSg6dyStVlJ5r3hnXIg9sZidU4EF2DxNE1+k0yO77962fyl/eAZyIbOiVX
CrVAyr6dnoc6qkSp5z2o5BnBFEbAcKB9Bn7gBmJPbGszPKNp1q+/vuzPnhGeEkuyuLiuKt8um+al
NhUBl0V2BKJyJt8ut5ryN3UW5ceawN/fOEOWuTGKybx638rAfSMT2aX6M8EK0DOdynDUfB02R3zk
7GsQMKxKpF16/ZrlD00K9+2c4SQoY8/k9Z9sUopGaIFb6Y6TkTleausxYYnIxbOB+sjYR/V58Q8T
ELkdh+dJudezig76c9CdxuStz38zfn56Oya9YpWvTl5G0Y+Dtp5CA69PDD/KpEN9LihKGmnshcFh
WFIyaDkm8VIkWLD4ozMWFtSYS6zxn7zJ4qYw16QeZ6IXVvt0ftWiLyHc9rAWsaTbdXOvBwcYAy4S
IVCsBNAY8clSHYK0kDSODvEReuctAE2j2/76bVjKQv+slv/9MZm6ITIX8hJix/3xvkjh88ch0Wcn
7TVUTOBOIxR5RKQu4s6uZ7RU6m/ee2mpxH+/piWZmqUxSaMS+PZdKhoGylzWiIVTqdJEr2mU+KdQ
Uw+DVuIErCj+gaDa4IhVkCwq0Mxmw/n1bS8v+bePQE+XLocGnIP7/jZRYQ8h9SgHQI1sjp2SfFAQ
QGRkm+K3E9f/+rVMg46xqC/D/XvlURWMTsxJqAWp6E8OuTSiaRgewSEcLSG3eL++2k/GHasYS5/F
iypK4jL8/1STm0qFDjZtd0dulQOKVU69NEJXmaxRrEpr+P6GHScNkQvmb4b8TyYWrkw4FBFuLLLa
t3VtHAnyrlqNW8T0RMukjdcT4Tq/WWN+chUWdktnHEqipH1/YdVOxKLIPTrEaNWrLgfY7qvK9Jv3
Q/qxEfPHuMDCY1msZYpkwGr88WtM0FHkSkf4jAXZwZyg6qekKimdRAGhxwiRxudcSDQbbScHcMyp
v36KP1kbNBT4qsrEqbJd+VY/nq0hbVW9nwH1zDwq8bVqrdERp56qSjNNu0CLHN7g31z1J5OBJrE7
gMojctXvOxMrbVRDS4PZKfIxwUQhzTYdflek5u/31HgIAF/9+j5/ekVmVUOUYd3QrPz2NUtVEgy4
ap246HC/STiRDfiHUPYzyS4FCELEXAe/ebg/Gfx/dEc1ZXmRLH35UH8aIqUPF7sFt+Vk0lmrqawG
Om2m3iq+JlP5zev602upBuMBaoHIjPPjtciTCTFocS2/5KwwRQKsEJpUekwtexKk3wzBn12NK4kQ
dMCN4//9drU2IguFF8RJuvt+olekorixZWSZq5kj0a+f3TIEvs2hWMnpMss6/zCR/ngxBcYyXQeJ
mSYaBluGOUTJHu3ur6/y11uSRQUYg8Z8jYLC+jZTd1BRAtHiKhzWVFdLX/o+eZs0in6yEv1mZfrL
3EknXVNVSzU1hNWsTj/eUVRZSjc0huhYxI9TSzCHTdeBusVm+jA1GChrad426EEbgNa/vk1p2Q/9
8G1ybV01RZA2bJeY2X68djhNZacQS8QGI3qf6/y+ibPUHslTcsA22YmI+nWiihUOmdcDIoCc09xX
EQGvv/4gfxmRfA5L1AwZ86jJzvTbU/XHQCd/EZ7kMLcfJCkWLkyV9eQn60Qm7zaCvPebb/2nt852
lI2AzmlIU7894rgy52zsO9Ehj8/HCOs7Q2Vd9aodVpUF8MqI5GvUwWqytMok4Uz9QjfqthUJR7++
92+aBWZ91hW+ek5/Fip51fq2G8I1CVPQICyYUHmSo7K2hRAp7ERikR4qUzsT7pmuUlMxPUuktzUO
AkV6cwc68SQgiP/NpvMviwAHTg6JssZEBRBF/rYI0N3vIixQC/EBGEcShstsbFfIkKoBbO4kh7us
DL9+/R2ofxnWliGqgM949jhviWH98UWUgY8RqW5OjghOr8u+CNChyPwENpkxQ5lMWykUAil4hMA1
PGt+yPSTmpzE5iXtH7puKwsvIf2/xZpbrq7R0nscwN1b4DvQHK0Xl472KUOcZwjTSElv/ZDylVvK
2yJ4iKfnPvzCBDwkx7E5//rWUAP+ZZCx0102fgquaCLAv71ps6BL8VjyjcZwhcWdwOnT0D4m85IN
uHOa54rEmF5HWnVHRh0Jdt10RxF9KD2SVnDqnGqQ4jgcguqqUlmP2ie9W7fGk1luco61xRrq5mR5
VbXWtuA2aqI8U1j3LGR24Fb6JRjcut0WjYdwzY+3qYJV6pp3VwHDW3rs5b1Svhb5kfbm85hsFGQR
OlZtnPeU4xzlCe6W7HXtYx/epulJbjcaKRycoTQKZFr4NEZP/Yyn7SsIb2d1q9BXiaCPrTI6Wr47
3UywC6HEDJsc6d6kXdp6L2PRqO4La4Ops8rvhvc4trPohsiAKFiTD+ujub3H3JuLl3A+sR1PQ+7D
a2aXdEwK9ByzNbLYgquJ4SOnRUVBc7gHYV6BazIO2BzZvggm5OtDQYm8MvYmkXnipn9uKhcCA90W
yMdB4SBqOeBZ1buzKHtZQvlyVWqrTNiRHBpP73jaFnRq1G7n/i0L3+AUTwZxLEe81CqojIyiKqVf
CV021HlRP1bbhNqvyWHM9cc9+h5JQ86wHRFYm79Z4f86YfJOGYx5SkuiyJH3x/FisjoRNMSmKVyi
0iSJknEdxG4gZI/gdjHyMK//Zk382RDV2f9qJiUd1ZS+HaAgQBYgSJc9Pr+ws75f1IRi9rvZ8I+q
0I9rEjtfkY2ZLLIySeK3qaCKRq2aBGNyhv6MCgq3oy5f8c1ThJ3f0eCY4ktZ303dzah+KOonEstV
T+8SVasMMLZx0JEQP6PDDu/hHbhCuWnhk1jrQVobcgg91tHNpxgOCykHff8UXgkK9W+EPekQtHIL
N7xyaFFJ22MbSD8q2BkgeVah7oX79thqTrt0ulczuIw1rd5TdSvTBE1tnZ4BTDk0QldKCgQGVvAw
Tj18826DcRBZ45aOYI4x571v78zoNqduPH3BjxDdnIZj50DIZNCXnOKnKluhe7dF7bGc38Gia/6+
oeTcO+Z0ipqt0HhW8FTXpzLcAFK0FGdEUiry9oO3dNtx3c1OPxwVmqr4T8kmrDyVjInmWaNGfvXn
xyKF2wAkn1HWSy9mRpsmG3YtTjnsACtdeEV6ppZnpaEcpudOXV36bFd0G2ORNH38eoL8y16LM6PI
UkOJUtWX//3xVW6LNjWwoPG8deT/WtS/a/XCUdPU/exPvvOvXw1qlwKEUzT/N3XntRw5smzZL8Ix
qAACrwmkJJnUovgCI1kktBYB4OtnZZ977zTJM0XrMZuHeWhai2pGJhDCw3372tw5vswu+lHtsbMV
na7KAuhPFk81VFlc3PWCUqY/jPb9RkfKl1yUBKqJLFJ4X2LjNus0y0JQHyxSUiMoxpKuA/ojaIG/
sAdmngPNaSPxiQg749ZrbfHD8XN6el9WE2Eysaww0Pc6f6VF/nbtSN26whmR7zvRhuxnOSZgpel1
P6za/zSKJI3teATLhMxfv6beLZi1NFQnKvk7UTMFLdjuP+x5/2Gi8MstE4N3UuLy6zlq5t5o2V3E
DcoVm3xpXX+gR5RMLX1krlzMH97d90DoNBbJIlvogsTGl7AMuyavGEbEO23lNDg3HTzcHXAGRush
ULOXgmOcNrF/+CXpioBXZJL2J+tv8HefV4Osw6URE90vVql+1ZVCCSQvzOUVYKX2wxf8evFgKIYx
ibtxbPUs78tSSMepjBxVkdY2PJpDFyp9ErJ5493DLViZ4WGEhO3izbv58xL8enadqgIAei1qAxbx
5V+R+d+mJA20ljnVYRekITstsnGMWg0UFi7Gl1AeAh1u9Q9DfluH0uC09AS3HcJsrv5fJqhFF/BA
Hz+JdVE7h0FrL/QxCVw1+1AssvUCII8+JnM7DA1S2MX4YX18nboM73HFkuR1iG656H1+q0muRZWW
eVXggdBz01mgISBsamdyDf3i3fz5AX+duafRPItDmmQVsfTX4ID0khPSG14H+nTZKWqjQNhXwFdQ
CfVuvBmkfO7Ljz+P+e2lmlxiT/wZ3qdJ2erLN6wdEKQEsohl5NSi9EBk4+JBFjQaWoe2Hj6yAjPA
P4/5V2ro75ubNC1CH5IOXAJcEoBfFksiOs2ohrAIKnm1JBsv82h5OpftvdsgJ6AoqtdEjIpu5HIj
MVGo671enPMPo3a1qOcs29DjhkMYPtvxeA9Le6NVmwQxgIBMU13wc67StfK48oLUQeLCn/Xqq8G4
53cgguUXiFO3ZrcB6ML/qtHtbYTnS3X/5y/6bfrwPYFMWgReZOYoBX6ePnT02LSBZmUw1+1tqFrN
b/A39esJrQaefdYPs/XbxkAOh5lzKqN4HpmJ07v+2wIFjzxjKlQkAQFBMA94bWPMtNIK3K/wXfxY
YJL4eIJcjaV99ecv+h9HNhie4NY6pcs+j7wYiWP0VZMEkFreaaCheUoJ5CJjrG3pLdjQCUOP+tpc
vB8G/v6E+cokBMmYExzY5pf9AWBf1ln0wFGl1Lezfmr4o/WXFrneQ6jx00n2rRghebY8V4ij5F7I
uX5ZLblA3y/6ZQoqdFhj2wVQaZxd0U17oZwZvtW0Kb2xPFIoiwIn76pARj/lXP5KjX9ePeQeqIeS
beazUIz5/LCt2sXss52AAWB7UeT7RtdwOLk3RqJRE5G5nax1dY+i3IjuMD7uciqsyd5G/1LmGLxu
lgplkJ6d9dp6zl6K6lzz6LONcENH4cECKW9jKlPw2XXnymv2XOy5hxZIXkFl1VgH9/SvNi8UX5CF
sZj4ySI0sOVoSXDU0X7JH1Sy6b2RmDgHV8Ng5yG/mr74Q/WP60O8EnF6++wjFCmpJXx+GmNq0DdK
9zpp6GNiTJi9iaI/y7mIIDPCcbbEuXaoRNBG4hpGEPBKugV/2NC+bdynYjkyAhKpFrGa/Jp7CUXS
NwtXAWPMNczEdXAg6K3GB5B8kZ+06OUibfPnJfd95nMSCynMv+rC7KOfvzeOuk3at80QLP0SDAPa
tiVNIj+ySYvY+urPg1HE4Nd9mnQwbjgeThIJhuWU+jycKod2UZrqA/3aeqtu2Fv0B2Fxe1pn0XWI
QeS85h+1t7LwqXqINqhge5H0AaQHxjRbdfZKv1/Oov1UBgbmdeFlI37zc5geB+8SBVfabKWB+qdn
w6Zf2HqBs+8yhTTfFKRY97RuJAIE9LoEfzv/mlCZxfMq8kiRM/H8Akw90StCXZx9QdqBoQBu2Phg
b1IIfCerUrIPa2H6kAFw4HSHHSDEjp4Pa6fBXiCVEW9y3NVwpUx9q4GwA68JHsqqvLIul6ueDk2a
DO/cR6SlKBBi5K/azih3iGg9e4v1XCk3U70l97wcPa50o0/9g6SWeXuChDm7tvZz71iLTdtuWmzT
aYzT93W36Y1tqe/m5Yiaqsf22tt20ZZ/ac8br9wu5nbu91kJKct31CZ97tJLKzqgskxw7fLjc/M4
PakP4C7P5haI3XtDniUT60hcIohS83ll9bSdbDIEZPNb29zX2VtS4HTokwYwrmq6coyD7iFKD+iC
9n7HF8sPO/S3o+E0cUzKU55O2EoV7vPE0XLoH0W4MHG6mWng1dK3MJUcLRhuxmTFkHzhbiRQ4AKd
au7+h4n7H+ct1Q0m7ylb/jVJmwjgsuZg9AH4jzVc1tVMslLN41brUsnbEtRyxoyegBBUqhqL4p/e
C/j6DlIAcj6uLUnWf/76Bl84xUWaqaZ1h4IW2cBphtt8QWG5lNMPg33bh4jLSfQIzib9tB192RNk
Eru921l9kILO2nVzeEGGflPPAnXLnL9EPZMhxfznh93BtL5vDoyLWEhyLuI//WVzKLKkaVvl9EGR
QgM2RuBTdon/YJlDhWTXLs4SYZ00EFCGVTZd9jnuvNqYGPi+EargbIDmNI/P6EnpAux43oullAfi
NoCtixgh9SQa+UXM1n0cf9Q/3b3xiCFhzk3KpZSJyOrzK1qoNo6aRwvTiM97K4YdJTg/UcSMdG+j
R1LVo0p/uN6f3sTn7ZQxTUG2/lQN8+SXU8spatl5HYjAeWiQXuJL6jjDYWzMMwo5Gttq8ZPc6tt5
YaGhIJftmYZrckv98i3HsPdIoSCJIvHRH3LtNcemTypYgGpu7v686r7Pw1MtCBnZaRoanv5lHiZV
NXbwFPBW4CzaNjrZOHeiMuLRP+AOuB963oGwuPzhSPz+UJl7usEJbEqHVOeXi7GX4N0ABLgkDBox
qjO6NXIbfZvDDMQaUn/KUlAbf/6m3yNCiwlzynlSCqf0KE9L428xdylg78JOo5V5GhEa92QZ1UhO
04HvuS/xtCARl6tDVhd06w1msymlAghuZP94m8UD7qTS4q7qAXX9EpkOdWY5WWMVgQ4aZ+oFCCUP
c0s7KfywoSunYQqDIg5oW7/+8yP4PrE+j/zlqadqGdxenkZ2A3eS4XoEEuY7WHmso/SHx/39MPk8
1pdlU5N/dtnOQNk12jOAHcOPBwsZJGSA/rj057aZNhtDUAb883c8Pb3Py5Vx2VbZCsiSofj8/Jax
EhMeeFmSgJFR+8PcDT6gsOiH+9t/epKE9VwxOChQRX5ZotECQlGLzTIQBZ1oiQ603oKQ1UaJL0X8
k9jgP0xdDzMFlJfcUqnNfz2a0rkT3lLRxpBO+VviZB+V1uFQbYQXipOjCvHBJKaOc9fdU3mMdpRC
939+rOb30/n0EQQboGV7AmXj5+catRQrORzLoBqfa1zrgLa4MXX7tDzHS/hELR1hTmr0ffS28WLP
Gs1uFALyGCOSrDfUeUtiw2eIdg2IHkx6SswJtgHjGQ1PgC4u//EJywd2zZMEhasXj+3zBx4sAcMF
WWwQp9plPeKRG9n1xsFvIHfmDekqRZsxfcJ/fk7fJoZNfZmUEGJcUu7C+RJDSS0sUKGkWdA7CX45
dfqsqQn4rftoFZn8vxnMItA3STByrfmyk1ShtPuxA1qO4WbE6Z1R08iMX0Ndbzvqtv/0m6GP9Miv
OyS68e8+TZC/bZ/olnTVxhQ8pqh9bZsOTrb0tjheBKUB5uKfD3ZSnBGL4gxCmerzYGE34KyTYy9L
/nIn8YwXoQ2Skfh0NSXOx58H+3YY2ewVVBGIxzhv7a+rC5g8ojaD0hLsX5JOKe0gjSdfShrMIdHj
gxUr54ddyvhpzC+HkVZQrBkTsiEyRPswOtm2qmnZyMpBB5hIs8gyUcamayczIGcZMTSm2PQOGaE7
uLDHZeFyhoOffeaGMl+VlvuDbuVbXMAzQSxAnoaCkaN/FapN8xCy/9lJwC0AqHlu5Zdm/9pUsOKq
AV5KFl/JXNU/7DKn1/pp80bcY5/y8gx7usN+jU4np7UiE3ODioW0z+FAQgD/Kf//Vxn1f48iyQZZ
jotSn3z1aSJ/VVNJtEeRaYY0heZxvdGTCmEv1hArbFCuO/7Va9k7114WGbtZm9Ng8IzfXTY8zfZy
FuNt5WtqqfdmHL+w8dZ7pdMDWuOG0rVW+sMy+HyI/vuT4k9CkEC6jmn+ZTcZIDmpUIsxe6idC8sr
IE2GJbFulO5r7rhANuIkOk+c2f7h9Ruf3wQjm6TQyahTA7Lk93R6XEb2QDmINZH0u3Ry6F+eZhzr
8r/AUOZWRxXdCRTFoREBCZvidTKfFdW+FG37HKnl4c9L9Et14a/P43jkT07HOtpJ8eXAnVJNuXqb
0WhpCyewGlrGJCAzHJ29jlY0XFO3S+89obzRV0VGfvnP439erv81PEkjm+4OouSvCsokHGi/Shl+
BBQdzPN0p00dzQT6VdPR93hy+vxhxM8L8L9H5JYmKNpCvvuyFOppcGaKCiyFEosCXSwuPCF/qWQB
1W22ds3o7i1cR/894/4ftB1d1u/lbd++v/cXL/X/D81HLo/w/9x8dHyvX/JPRJ7Tn/9355GU/2Li
USAArfPfKbV/+1pJbK1wvOKqdvohcR/+n84jS/8XezgiC6JQiqncOv6n88h0/sWdx8IQC8GSRVvS
PyLy8FE+T8//YvLo5FU/H5OpVkAnV4ie3Fy01zA+hss4Dot96xkL9DRNu9ZhRUINxlnIQONHMWJr
th0A58gd6FDC7rvR6UjE+iDcJTAkETqYw0dRJE6QiTl7VRYgFJm52BhHNLC853Ei1nqPgrFSgxm4
UaU2WI6yHzh2fNuEaXeMK5ysbCLEjK5Oq/LNQU0XsgjpvcnLZR0thv6eqcoj8zG37arVM3dnVUl2
7elFcqhGpd8tBJTGKk1CeZMV0tg7Xi+fRl2Ye67c+St38PQXO/KUU/tqmo1TWU6g+gIUJDIdfRXp
GQXdBtSm6OiKkq1WHtREbIwYI9k3RYzHYBHNRytWzWNjVuCze8V+D3fBoCnV6CEyTk1TvSdpOV03
ZmxX/jDE2i9XnRb72Ib1sUlmCNT6CPcjKdBcSdeXlR6ddUlmHPsCP9ImVPMNnNj8CY1+dJ9kDYIu
M6UftfF0aGJ2bC3PY9X3ZwXOAidkXpE8hW7WTGtOZIlMy+7Ph8SsnyehiFUx6/mwhkY7IqkYfmdL
r5+DQZ86P4mEXGlTTGP8kI3gOACYPUL8MwAOLNZhnuooWZlDjJH97KYo9JoYv/LQjmRHwlYab3Uz
F2+VWZT7Bere70zU+H2lGpfkZUR9VZY6AHDDsTadZbfrduxujVIWW6u/qyMUNlUFLbTJqscpN2D1
EMg7NrhYmj9AzgCnu4n08rq2vb0h7kpSbAGgdpc2cVVsXRjFKy2CC0OdD29Cexcb/dEy6OBeFi2I
CNduqmQ2djRzWqh3PiJK3tsEvwh/sKKGPtFhXabLK+4ZO8MrwOhn1NMFucORe77JZWQEA9WVNhq1
Il92YaatYy9aq8R7UWmKy5S8MmdHfKQgAX2XJOe0Qj2g/1YmatVSghOuR/VAq1eHVZXNaskpvtj8
JSfjxZpUsvPy+FF5hbrsrDY7a6UMpu7VMali2u3o95q3dZWrUUgkvjCfBSQ1KOrLOoy1fZKlW1fz
ymdaqsRGFjdgdesN7Qf32ehBxr8biLarIr6oB+lQDuIilbiIjSRi+nK8NnR5wquqKyxPMF3oh23U
wZmE8dfgTYFFb7EujPDRwbGUuxAZ6AQDmRKeJ67PYEP05tJutOQQuwlKPfFLJtFv10gp6rYOobZ4
T1xQDkmoVoWixmu4fRrYM6Ive6KJ1l1CGagcO5k+Oi8WiChdZvCl1ZWLTVRMSxd5PLEyWqosNtLD
JXavi9Bt7xtPIyHeJ9m2HdItLnLhUYw4Mxglyq46DfqlXE2up8BD5Stl6WLVQ1rc1QYzkS6uMuiT
4lFHFNdZOGxUA8grCn32vrDzW7MpPwbcgyQkBC4OXDJhKq4s1qeZE9Qn/cnAlurnYcrQm2mztfeM
Hj4Kq+7OHU15pRadCTK9O8ucHKQb3mM5XF7hCMZXh8ZUJ5A9Pa0IevbYjJJHXND/mAzWLT5dftWi
l8TXd5Nok349t5H7UeIHtYrncA0GDOVOm1lH115e3LDWU4oOheSiXPcwYyqvxeE7JrQBt19cO207
vIDbRks3le2lskW0xVorxf8WCCgWojiiAmHWg7E2wkNWnYBh2rIY9/B8ASOwxZ55Me9XqPoNkwnr
RasU6vPYK9+tQreuoraz90nTIFf1KLjlkn7ISqkH0WsnK4hQ7IRmPOQVzaueUTPdUkhQUsAfcTzV
HpasxpF+nio4VJntfMjJOsO43qbjLaLrSurVuhuwQ5Ft0M9lHdjaMp0ZVhEdylqHgDvZvY9l3RF/
UQhZxWgDnK6Ha9OeQEy59VUyjeBsSbyVlsSVZNTps3bhXYWuU7yFVei+5QV2ISss6+yjl7JUsasg
R9rHrcSOm07ctdTS6nqaS/imEXrrVdjdaWqc/SkyrovIeFtAhG9ikRgbAOwmxdd6DAoc6iiWYfDB
dpZN5zlepWdhvLhP/dTcNoWujFXl9uEL2YbarzEFg/ystlOUnqfVCRDG8cGWGhXwNrEbOCjPyHcF
TSKrqVBA1BERAlu0VZBMnTACWg+F44ex077WTunuRF7BzhvtZV/mUuGdfcqLcLjDBLIXZdTAT5I8
sJOh9MB4DVYFBE2/btsLA9sYftG4t00MsoeRxhovpYg2l4M/Zva5VfTOceifcuxRXqsWMUOa2cZa
b6ZwPemlWJ8EiIZLF33cU3TmVRQcxqUicebmGzvVdrxEXn12IghAQW0nvuhKt4YFcGu6aqRVPodG
BhiM7qMlo3DgPaZxhmqWBj+OBg8L8lJq0L1bPBJWVtlWPokLD+5TS/krvsJg3vKlF12UNmWDKD81
lGpDMPYC6yFoMQ0+dYtsn9qsD9Rkf0h9cld8fGMdO13I0xnvVUXn8LA07sXJnAnIpnDkJndIQhXt
obb+YmI4FoQY6PVzkZlkPZfZbwUHx3L6rVrxK6uaEK+H35rbj+si8l4ml895cvMBwck7HBTu1M25
rOi0KywtD6ZcvePrhU9fqyGfxwITBiK732iDzF7y0dydXHVwZwcO486k0ZWPZM+HI68FNsbGnWNm
GxXWno+AEd8EoR8W+HFxkgOUHx/0WXueHNCri+EKcoxzejaPlL7ixfpwTSqd0QDm21IHS7N3eERd
pACX+pOlXb3AlSsd/c3FxwaFxUKlFlRfIvgbQ1kNWL7uY9ad4zRdOqL9NRbW1WRH87aytAbgKabF
EvgRPjrvPSQUDO8BEMWJj+vGM0EObsw9NVcS2cnWkzUQX0tdDKPIrqPhTJ9DkFIN9sFpDBxivoPv
Ha4cgzys01x0jjU+JeOws8BiDNSAh/AtbkDQRoaDqlYGfd5nARlBH+rjsdTizai7PtTRTdeXj3E5
gE8viwdDUG1yoWFgWjLYF3k/7wFv64e0oaLNa+GKFL8keiGPto0Ld49LNW4d14J23Dmpjl3uXo09
nMC4sHeoqsKdMMmpIB/b4Lm3F1l3IZHJjLsEs46DPY6rxsaxbCyS1UQEcHDLmN5mzb6F2/9hVgBv
2lt8cIAn9dlTPS3s0HH45kGFXiOGwueapud8fHWW5NpSSCmbgsmqZQoBSPEsVZKeN42gFUhH9Gws
13Eojm6eGVgQWEGpT09zIQEiDjYumTwmYeJJ4hSiubBtzT5mzm2Tpw9yAnGtqXXTJPkNrogfk4Op
g42xGdptbdkrabe/tUTA9U2tFY5m92Oi3yly6OQ9OmzuYZkNS/EkvSRlC1D4JuZ4aOoNAOesUhx5
gPYdsVxJB8aOqNAP9yR/V56WSR/bpV9uTgIcClTk2N3GEAqa4MxKw3hDC7eiiG1/TjGyysr0SOXn
vKgJavHJuxkiB3tprKE0iQepItIwnPh2MLJdqmJ6pMl6d0nFisbDZwBjL8XVYOlbBewzFiBzTr4T
aTN750a9bG27CRxjuHKi/CzzxEW8wIHCvQLGWlKOuzrrZRVEzLcZY0faX3BxiEw60XFCAC8COW1U
Gt1oU+ZuvPEtZVVthFsvK0jy8VY4w76VEFJsAycltdWK6GwmFt0PdG6aEe5gtC0UxKYJx0pnepOP
Lqm+FXOk+W6mO/daZh2QZYlzva7OPBcwZp7emPy2wLDzXQ7TFzuYs1TT71pCHrOxXhusCNkrxeXY
sYnWo+Wbi3EZnmx5x7Q650w6h0D+oAHN9xGCHqITCkVWWxxvdnGO4ZZM+0vduEykue+c+bpMtY43
4mDzN5gsVpMskrvUZ6Gr3dp6j99SFz9rXXGRLmI1IutzvX4ltIR9uq3vnA5rezL9XnkcVej8woV9
JVLczJpRvTJhOYfnNt4mWBNhT4dkz5QfQkCz4Xg8T2dAsZEZHbXJdmkxeCKYgjskpQBROhD4eDpa
tLa8xRECBoxpsK1inDM6gomJDpM9KWU6LDmkmMrcl+Bgq1Jr9l77u3WA188GrxoPiFuXswVM5oNm
jAfXye1dkd9ZU03gmkOgMXROFqfu/DADUxVmZgz2HoJESU/GW5kl0/Pg0OakHRKtR7dFn/NSQFHT
+Th9P9LcaZIPdaOGAKiHpRenUm3cvt16WXWPP/1OOebvDMEre8G47K3M9rXG3pZ1dF92pzDEa5DY
9f1e4sLl4yvM7G77W6xhYpYYqWBx6ptIHecagxr6LZL+suqSN7fXrl1j2Y2uKLZUibD09Q5Gi+1n
M+i+ciTBsqYwyomT0YdejtnMeDSB6LcNQZplVrSM9++TuyTH2utAwJrlK1L5Yx+aOaoKbGkzaD4a
MJvR1KnKRkZ3Q2JvQqlb8KcpEQdJDueKLfI5QfGMlCcarwqJGYiMmVIGfDKnFdjCQkBfuTCfqqa/
SVDn+Ui8UyBX5blVO+1+rGFMaaX2Wgzx76WJX1w768ioYrWiVxC5LKd9cqu6fSqVe1nIKQm4R9RB
1Ht8jTrbOkZ+rrsKjy+RAirHROYGo6W7RgOGRBsztC1s4JRXv7fxCQCit9MZGkgqq1ZnrkKSldsI
Zpmop4Ol9BvefLGm6EX3CoKsvEPVgzO5RACjC6TnYXHR96Q+MhDz5DNgh+GQFTiJuc8RBZVoAAIS
G7edDTi+rY2tpvWZn+Kug4MMVLDozmiLeovnJLlSs9AD6bnXC5FAOtpvXTIgibpM4U5Eg3yLUrY4
r0/fsb2jw6m114ZJUkCPyp3yzKvCU9QyTw6DRF6zjVjRA6YUVffjyZSKPPc2ipOzJsX9Dgcdrmxo
7TDbQ1SnqGGbESg5Nds9aFmdhWq66zpFx9WCDgDGH+AUhzhNb43doqHaarBkIPQPQmeuQM717XrW
bGs1ogI5rzXnA1+Ms0IsI7qQ6NLWqw1mM4vfnMwieKurtnls2aX3ykDqFzuQlqI6/MVWe7S98DY3
4Xc2KbmjjAPDbFXPj/iyCs2n0pyuhkZla0ep7jwO5aGu9ddEyfehSnBpmLF2G3StwOt1ujZKA4FY
inivoEy74lzdYGw0XJdW82iM1r3Ed9N3pn7bhAPkDbHVoeMEfZ35fV5svMm+K/phbdYm+pGuZ5HG
ey1Jrmyze+2L7D7NaGNMqyuyZeAwM9mhAUru8jm/bs3mIwyj00zBQgHnGTgmKbBkfNc2mihxD8g+
MsyEfLwvbiwtvdLrhZleGH6D//HKGTh4Fs6+jNlj4+rOxU17Ra9HK/ecLuzGuSCRo7q3zsAepRD2
JjJj4lHhAXWxL6qZVr2o3QDx/UiNZKPA/eGyNN5H7bjNNILRmvQK4nduJ/UMmDMxX1EgImSoYQ3q
XQ7NTzcvC5plt3Wj6/t8wjNmhRl4fO3kC55dHvEDF6cgGpcnPrFvjcVNUTTrPoPL2BTtZRjX5cHq
kwYfLkGnYUdPQ9Unvwa5XM1z1WF879xWEQ9xgaY1JwQBZiwe6mni4jG7QU45TRuy5hZv5XUcJk+l
k07bonXuWsO9KBd1kQI6XGoYW+IecgFOdEX5mLTmPsPCkFL4eae1lzF9WAOH6MaS2sL9YujXmmb/
whoo0FyYdQnPw0k7GNAnFxmmIt2E62qs9qbQ4IrRhVk21roQJ5gQ1saAs6Hr1rRCk+2hfIsnwmN7
2lwc0HJCPCbwPY0xizeuVu+7cjnvnGWDb+/NKOvSn8P4IRviTWFgGTPY2VnTjEdjMDbKaK6HaLjg
ClsdYSJcVhKAd6bQ59pRdk5egOdanrV2TsMZTrTNojZ67l2NOfsOZycATBzA6W2dVkKvjoMmL73G
TImfs8vQtnFtnaMd9rSb3CZZy/mE+8ZNvpSP9jTpGwdj6UC4IMB7mq7nzMh8WerXEXcEK21xCce7
dFtrbD3jGOm3U/c4OOUOxiWqHc8fREQXIrmf2Zv0lSreSIit8fXq6VY33CslQOMuldgaUbhNzVBu
ZEugwlTfj9alt2AObEtwjxU9hu2h6MXvsEbfnxl305h3az3XHuKKFFZXYVdbzo9DlOyoSxED1Lf4
GNPFUT1SZ3xAB48+oKXmoaZbncZYzNdmItgEa2lj3qT6QIuyYTxreneGGeHa0sL2QPYUo0uQtVM7
gI21u6veQ5i5xPNdrubLse8PLKlza8nux9FzVspVD2WCGmimnzWbqzNRAnFeJGKvvgRbUUNVxXSe
+9Xsi7E/Y1HA+UJBa1gPIXcC4HDazkrrq1S1T2lN1GbQzbA1HQ82LFSaM7NtzrKYNJ+wL5HY3epm
vpeDvGyoHLVmBlwlf3cHklykIzPfIEeWN1ztzNNduX2uawdQiUNa1lTbAmSiOR/FXLILdDgWpsUS
NCZX6BYK6BCJdu3ifh7oBPq2Q/C5qOToIig0ihl/7q4Dv9r4qcoOsrTnVWjle7TZb3qsPVh9CUS0
7qtAt7z3JEar3HrMb3082cVk+XwzdEOy1qq+fiS3iEczbFfFTSYiOo8tKM6z+AVI5VfOZSnIdZWd
h1OKr9TSRkfptTuRqYPTLOkmAf+JcTphFl06dtFZmIvc2ujdjCT/oGUqvnd0p93Ywm13y8JLGcHc
X5cLJjVzgjy17RoMZnqptl7BZRVfuDOU+Ah+8+zcCo1d6T5lXD/WcweDeUE1k54MpEieFRDBpglV
qUOk1Nb3UoS/8sIzAvIvUA1fvDy604FvyhFY83KTmwSOjQj0UX5EROo2lQnpWs9m3r6VwOvjJVlP
oltnQnsUrbtHRLheVL6TE1zPLN4vZfp75t3OgnClj28181rjntfb7pnu5NemDpqyd6zzAWPvMK3X
NcD7VIdI2BsahiimA4g1JZ2aOON8pieRfZE4ifJbYLiaR2JqfkixV/FJWCtOXu+qWtK7pc2vqI8Q
3kqKAiGpo5br3WZM6QObVHTn4AdLBMGeQsaI/Q6yaGPTmVXGL72eEcaGGxdI0wbl3r0TtvA/OuMq
mzQcTO0anVOMd0mi0KxVeG1tZlKa62a+MBP5NtU37YC1GElRtXLn8o3TmythH6UjFw61NePo2Pca
qAD3pVcGHDglNq6erZVBcsSFlMVkMbUCNhQAMoCW+rFjZnXOdMsF7lKwT/CfHedcyAoOKxznhNhV
2GZ0LsbcDdpJex7a7GJMSHVryW9CygdJQQqnbOZMRvy212aDbuLJDNeZqR/i4pQDhbqAXQ1405Is
okGBIPHeTcne5MagtePk2plwXjJHus0rTd+ZZL9JE7cfeDfxSLQ4GO2kPMOUlZzQECS4L15XS5Ls
uPHXZ15CiEYimgiX8xKqr1evR9PzW67afmfozpaaHUiG0dl1Mt5UunZVDzrZli4kvzrpoNJNZ5M2
vd8m5rM1sHAWSwviOj0TDa07k57g7W70rL7crIhbcLHUL0Yhul1hp+Rz0sW5KxuvrzBnkvXVZFVi
P5PheUYSM1+0YVm9iI4kGptbdPKGMYxhAxO1JyDtYjvocP5YWRX973Z0rWbl6cGAQGwi2T85d3mt
j32A7Km+wPktpzCohyOuhYbd7Nl3SB6Yw8ZMktdi1mnoFt2VN5zcD5z0TZ/z88pwN9PJwnPKlgtD
w+RmDCGjSKc+LqQLXps6LK+mPI1Ynqm8juyRxP0wk0rLZYMaaIzydFv3SIW4W0LA1seSJU4MjO1H
W3Sb0EjMoAIIfSg0N3W5wGBrkNdOsx0jO74s50G/jWPL3jrNDIt7qbDmI0Hi/a6NVKN0Q+K67VN5
VlnIHHIuXuvQHZrNZCLdIcww1ks/JNidGPIYI1gOaoVxzsoWzeyHZd2+zwCn/Fm0PX6AfMaTvgej
yEUBeeAecVB5lB1PZJIbNx3dzFdSLPtwKbn6EdmHiZ8N3QkGnQz9flyc4TVymnzvuBmXZq9ZfD3C
lUPUXP41Qsq6geKKvak654n2G8l5bG60FPW6P/Fudz1xjumHZjumbNh2MW0W14kwDMlbbDpFUmCa
O8nzUHMl9PXaaD+mqIkL7nMsGQ9XT/zTuiLx7QHPQaJOzYVO26h1l9XVrjVnrtcLzi/74n9Rd15L
ciNXGn4VvQAUABIJE7GxF+VdV3e1I3tuEE0H7xP26fcDZ6Qha9nsUMTebEjizFCcRhWQyDznP78h
5PLY1NRWm9jXOIlkmEc5WbmWcaogh2zqLlPUTEG6MVs3+oMMR+2LZowALWHd2htRGwFJIqR8Sy5H
5knrVRyirvcaYEa2Av2YzrLENJtJLbImUDfzhezP4WJNOEv7HREbilcEt3ffb7ajrcpjABC0S4bs
xa366dEwtGIrPLoMzivUhGM1nF3qmTswjHEfF0O2EUYdrA1MXjeFLK29LdrwvgfFug3bISFTDwhq
Dl2VOCEUVn9Lr8NYzlV5TfHeRPW0N1oVgKjz9n+qiYQ7N2M73MlC8+5dQcO+1HPCZgXYzrocohFJ
F6HJL8oL6xsrdNPb3iiso0H+y4vn+fV4SBqpx7uCqvgExk5oqu5EWvPiJOQjTN1AVVnoZfYt0Eqx
LQPNHzYBMdrRDlWbge1xGWMfTNfC+DE/pjnsaoL2kJJkiZporfq2ZFpuDvKODcQGo0kql2TpKgp3
KRFnwYoUcoItu8Im7gX8YjtZmn+vl9o98jQegeayLfpGTggrhmbPk9Y1H1yw3HWVGu0ydTpcQMtk
uKndQmxN94/MRb1jN0boLTplkEE4wUoeTFGuJ2T+JL+pKLw0SUdWvVcotDlFnSV4zKSM7vtQ3I0q
sostb7sfnKyupxXsMbUoYMn3drkY8BHChcWfjgSv2sCMbV1hc+aCyGzcRt2Zduov87gNb1zayHqh
a9q47rLKIT4s9tIv/F4pPsc6UB7uP0W9rbOcIAAOBjUs4j6F4KD36jHABlQwk+3lc0tz9aGynR5w
wxn7Q2u1wwmUTe1VIfVTMQ7+H63WSCAR8PNlkU/jyg3h79YQINdFAooPUk0VocfBa2a1CQ6yY9nN
1bd7DLzU+lgNQbDoZjcFPcdapnJIcRbuJDdJPgzPTRU+YMMWXuKgCzYGdFADkVnlvEAYCPpNj7qX
iWDubKzOxvRFq6dWexjr3jk7vfNipZX+tQUrXkRNz6RPWkxQoALQr9WQgZe9k3n7ZCD09M5Ic/sR
eer0lHEo2Q2+SfBGnphXeg9dZBF632mgwuU4j/lGnYAFApKXQw73HLt6yBCeFNb9qArtQ2Rh9N+n
uKNLF0XqUsReS963PX7gdmen3vIA9DTNT446je8yHYFxcptQ904l4WnE4RKhtWWJFz10vQ8TY4at
tLJNGANPBZ0TrHLQMiRrmXOBoqE7ey/knmLI2hnraFD9Yxb38tDBeCF8gMzTRSvJmmRuHz+KogXZ
rpjZRgJLEIe45U0cMx5qMhVDO3DItnaqBJNrn9a/gTN9m5odmRdJ6l8as28exzAADU1VdkOUOsFT
vZnQ0+KIV4AdQY1BaWLQUyWMCGKjc89lYpIXOeQFhhVlPundckpbb1gErJeb2qpVvRuZMeJmoWfd
3TTaQKe+U1o340TkHZnbIxnAujMZ67ws6TaQ6ZO5bA7WiT5PrYMqvwBte7hcwUUmMgWdH2aZIIFI
jwR7HxMUp676Tz5yb77v0N0WIykGtm+Xt7LocvJYpExX7MwEw0dG6Tx2RcqUHnE8MS0pB8urTQB7
sRYWtVGRNeCt5IzOUSFGhWukznkkuiiKSIvCLXh0a282hE+6m7HuuleZGOYlTg3mVgSHWhubBfMx
/j5qQ1mJ9M1N6PgZ/Wa3ptXazc70anzFWGLbqYQjYGpYdTk4gawAifPDqPr6m82AatEXznRnSr05
WYMI9jrV6RpZtPyLrvcf8eYei4z/XlPhcFn+XJS0jUGo/vv/UYqdxE0BuwHIay66GdzbZj/Xt/lz
T3mkvn75x4N6VV+bf9xE+G//g5DAdCSo7R/7Jn3NvzQ/0ut++eP/pNtpjvwnEkAsFlCqYTkgZsOa
P/l2hm2TjWfAhxRYymFvIf/NtzMh6bE0XJAJSHUOzJB/8+1w+hbsfnyZmSs/i6sQ3P/3f/3kf91c
/fM/OAPviihXc8rcz+xYeOmeje5WzHJBKEiOZf7MuzPbJgtoMYKXqmOC1NWhvDea+Fw20xFC2te+
JNh6mh58OLPbxLVmF5y1cvFsjWIE93Uuvvxwq+/+5C7/+IF+5v/99Xlcvj4SawPK4RVZtK+VhdV9
F7xkSVlttGBOtpl/SYyQMjVx3EXW6h9+f80rSi63EOOC2b0AX0Pu+nc79h8FAY0wc41wDPFIv0HO
OT67WV8/k/nM2VGD7NXVYC3zKsuwIAufOezf0eD8TI7GkhZlHHpylOS2hE05m77/eH28hltu6eDe
T5K4POwjwkqM9Buzu9IeJgKlWSTOo6lP+99/8/99YXibFotM5/Eb/OfnC0NyCfF9EeLetDVjJZyE
OI+I1ALhdw8erXFj2Q+SiLmqsF5+f2U8cfjZf3PXWcE8YFIhec5oINnEr67N5EDmtDfZhW52QfGx
uLn5Y7/PlgzJt/T7J/JM1/Ksdu7K3tv7aGvv6yN5JmdoTSt35S29NZJFfn/+c+Wu3uU7tbird4q/
JdRtb94xI1jY/MHP3fLznb3Kd/pLffTWJIzwf8ef8OS+S49kylyGe3kT7Ms1mcXn4OQ9kSlxVwBf
3Zl7itkllIMljh7rev35jh/6+bPib8kAX3GfyGO6yBVWcmtt4y/95Z8BThoxYvVK3+rbYk1xvak3
2bd4D+68AhrY4WW3IoVi1zCTpJX4op+N/Xg/3A63+Iod7bVzIqVnh7PEoV9W63ZZ8NOYyH7/+e5a
7rWNIJZqurPOYj//JGZxy2+7I333Ajs5TOD9pbeqdtWx2aXLB0bKS9TP+3DrL+XePodb77HZQWN5
Zw07bEr/+3ma+NV6gv2M9fTzWoo82sVKaulls7p9JIzqWC2LbXDpPkXDEsQudBegBZiHDcdpxyhy
Ea2NhbFIN9MuWjPm3QbEO8Wbr9vzgRShRb18IA5rR+mzJLVsEa7jdbIa+dTMpPk9/nczMhNaXELa
jQWjl/zJu8P1LeKfV/0OxuUmX87/7m73+4X73f3nat0KRgr4V0Ohnrf0n79nCU9R+Z3ILkMKdUTI
3j0Mc3quR3J6H6ElLsYYj4DA/aR0VZ3+/CULD2Gbhfvv/9SM/UsedA1xaAySS6fAyDMfCVYZyB3A
v4Wxkm1UOn0j6Jg5FIfvvxix+hya2Gw6LW+ojm5rUWPUQYeeW0dl9Ld+HpOrx4t38ILmr1/ygiZi
8gOHpO5//d73P1cNrfvOCviuXLi6MxJZHUgeKhvU51d3hmZ/YDRexxfYxwfApJOVh/exCk9u9lVT
6sHw5cqJkrPQjBvM1R+ayN1M1b7DT2FqKvgAh1j/EoTilFv9oxPnr0Xh0R5EByPxjm2mPrTYLvgN
XNj8U2T1L43KdgW+k3KsN1Hdnr3C3kbGs2tMZAEL7w5fwm0FiQXQO9zahJ/5tDKDSjYxbiW9RXEX
3sqkXSuigfyAHFDHRjjb7VLfW2OkuLIsdYwJ8CRtGhNKZkl5/tDDueyZSv9+UV2dQN83Q0wS0cc4
3Do23Ct5TBa7rWcS2n7RE44aFTvwVk2LYvObrpzmyNjVkLSK9gZc6z0l/Xyk/vDYeGI8ME5AFIaU
IviO/rygXb+X44Ax2lpK4JXK6+FvTj1YcS2g3jPhvy8tZhFgt+8smJ9Pn+9lE2cfKjxKs9lm72q9
yL52m6GX023cmF+TjNSdsKuyDZKmWz9gxBcTCr2YPAYIXtwY23du+c9XxyDJFR6qdPxycVOmNrxS
AZZW6wd5K4kVMhJzN1rBfZxhpWq0DTwisJ4NMgmARFncFGWxj6aovUlksemM7BjiUHxjW/mrZUEV
DNQENXMoP5dx2TxmTh2/I2H69SfF9Rz5wZyIfFUT5S7CrpT64bE1ohfEGBLjET0H5yXHtGFYmWCv
GiEPTRm4vrMwv8uB/l4cQNNY7UpkoOzqs9vMte+b0We1a6q2uIC0MO7EprWEDLJh0F5m27AGqGjN
AM5yMjXnLApL4s3zpzFP2yOgTYRfYuudHJJ+A1gMx84yPrpj3l9UbwJFYHi4/P6PdhFWa2lhsJaP
TrRV+vjUBll6FlK/BRuNiawq/ScLtXWGu0gcHDz62IcCLeEyLAOADGvUV+EADaXp8+4wwfPHzLJR
907gn3W7k6uA/I3v6+f/uk36f6ctms1K3u6N7l6TqFGv+Y/9Dyqyf8mLaHco6Oh1vtu64cyMjOfP
dsfW/+m6FgW97dBzzOv43+2OsP+JW4OJeSJ1oLTnRuhfed/in/QmTBbJ4UBMySb1H/U6ujWriP5e
zX+pizAUnGuXHxS/gQePPgDyW5tF7/qnoLEbMu/deHauUm3AkKfO7PsoaBN46nYhyTIrxFCUWxMi
RjcBAk0OSXN+HY8GvzeY85ozwn3UOsSrRrlDjiM6FZT6XrtHCWOOMLI12LglfGNMe5hbtEugGPei
yR5KaKa1ERECdpk9M+UiapBNd8A0aOp8jIva3P8ku7Ek6y9J+qdBL5PgZlSGQ6XnVpAzaZDae/xk
JuebmWSAR1kaJ/UhLxBvjHphW2dIy659ClQyBadJMlw8JhrZnne+N9X5s1NnTn8c+7jAfbY3JIzI
hVvXoGQTO4t+cgaVIXBKDeUO2EC3EwW6glK+zgSelsCzPXzZglTm6kMzmqO3HUcXH+G6qf3gCfVB
dZeB8Hi3kytTWjdh59HB061YP+dxbYglZuFRdtIKRlZ3sq7yQSxCPakgYhZG4bXVIrW5Hcs0SQWZ
hjVp238AjBrlPhgTuyUXkXlqdMEstU9PoTm1gEFGqzvFBbAyKG8YgUoIxMwRO+NSt0Sb7DMdkdAi
Gwq3eY7rdJw2eMPEmNbI2meCb4XoRvA51PqKiRq8tRSdkO40LpQmkWCLuHDaLPE+92XlE3HepnX1
KByVq1OJPRu54hbql2MNLJXdwh3peABul/gtvsCMcSDEQkDikDBax6KJdJwwCh+ZYcriNoilG1tL
CywfCmKmjEKdkiG33efErGFtt8Sy+OSR69xlL7AiYnTxIcBT2ObAvA9aSeGnsqyMb6DydvGyz/q8
+eIVvV9T2FQ5iX4CifsRNpCr8ApB6crs3dPwAM792CWxMgpS4zH1Q0E6bQE/um6QdKw04i146hwN
RHzmFuQZfeqxJe/CTJ0rx6zOwAYWsZ5B5r34llsGB+xRYfgvGj+omYNXWox7jl+hOLPdbL45JXqM
caLNNHpM7FQiow8z54ioYQ8b7SypsXKzaQj19ViX1p0B0Wiv3E5ARs6KeCbhZq2zYXyFcbZnabqJ
TWWqd2vgFYaOXTcz2dLJdl8YtJCl6wYu0HGm1e4yafQa1UJh4gpnOC/MYXV82kgOWOYhgRQrC5vE
cZYZldu67AUxeDaum40sSdYagsjtV76Kg3Zbgi19iVSnzTwf+8GpvVmsG8WTDzXFCopdUZUZH6Um
NhFBnfcoRom3kGf3w6YJbBmeKd/gVrlsC3sjrLBzr4zgELVwvM3E4FMliVbg2dXbvdgrz4+K+1KD
hLoMoZhDJEqZRy2MklLpUuHxeEmLIKBX6n3jbvATTAbgtOg0zKkbv/qEiOwLbyovfqlBIxil5ncr
lTf3aVPZu9EJcDgdBED/RmMoUG4UiGi/VibTo4XuTu3XOsgFydAYzaDOylUVH4OsjZhgtH7b7/M4
wX2PQinficnPm7VRiLG5iY1qj91M/dWYZilzFsS4UHUg/vCHxD4piJPMQ4s/njgjg+C465FTMW/W
lrU1Ch3mTZzFu4B50SeMnQyxTYYihOJvFPFzjbDykNgVJPhU+fYl6oVIybBkt1n5yO2PAkoVo/0k
GT8NY3bWCScwV2ndxzeu3XXDseyk3y8NdhRGA5WFBNJstPBrXEvv7Ghz6vJQZA+t7IzbpkZEsWgy
CX6eN91zFUPJmtGpg0B4ZC5TNlXw9DGQNuiMj5zKyeNiEw68xpUFr4HZ3lFmEGlm6itqvKp36TMa
TUeKBISUon9jd8aCHobz9MwSmZpPpLKnyT5kcnFSmlYFD37e5uiT3CAHq5xQxu08FXru3ocZ9xoZ
dIIbG8AWJV/YKPfS5jLw9kOjjA+BPQ4BlNORf4fGBtHEfDwzc6lD2A8lb0O3NPuMw5CMZrFwHCOT
S3RRxAg4Po4g+KRNBi7UUynKlZI+FI4mcQSBFxDP5ap0i6S/t0nPKji2Uv9GpLC6GM7S/6E7dVp8
ucrUH29Li4+zKjLI4c+m3sYYljh9x3LIvFAcCQ+qIRLYld2dMo8F8RWXZBOxVZi7JB+XNvRwYemz
DsKIm2TlB2Z/0uxJK3ZVk8A0zPOQ+DEnpR/cJLF+nGy+N5AAp81q9DvbhTCmueTpxjLUNrUejU+q
TvJn5IyRtQrDsm73RgeaQYSKGYpN2dJJEp/glw35ERVz9cFp9T1DgFR8tAoH+CRoAfRHf2RfYYCF
NSWs2Gwpx84mkLYv3GqLC8GI/qMtETKkGfIHPZAWuWVloYCVTJHEl9EnHy7rxqZYa2qMhqMNGkoq
aVQlqEsZQ++KskSdKdMozx/jKmgvA8Q7mJNGioF8SFPVHELNSdTWH7ImY34Ue8Ya3rauXZTeZvLg
tyE8sW4om/ZGTbXfLe0mIDy4rEKNyTQjdpMAUyzTWqRxMuj3hp471ZJJT5yQ3TsROF+6tqrOogvh
jCiVCRK3J5iZOJd4oXNQDmffoqrKrv02mqn0CPPhka/hxPHAGr934dNXAWmmEUYs/FFj0OsPbuhr
zaoyXL9dFYE9GHygoXnUk6KMYLVN4lS7mex2Qvrdl751c21TWD4skj6pq/ZoO5V3djW2nK0mOci3
jN3k+OjVNc1PYZq9vswDNWZ3VdiJj6WcM/zw8AFjYT+FSeoaUZ+tQ8vEYbhpzMHZCm1wjI3wPcvY
D2YAtxYIPgjug7qiYsk8DAsQWrXBLssNzeQOZKY6Y86FlXBIQ4Tna+oZH1pHG3jSKZ5G+U5rdRIB
8ogaCaJIlIlz6kBzXVJcw2Trhia57UzllIsQgZWNb5fpjTsyWpL0WIWu8VgiLnKW1Iv5FmaGexsz
gMRgzy6j5n4y6v6ez61/Eq4/Yihs5nm016cmpIhTo9t9nrrRNdf5EBo9ej2Fn3vsRI3zjFbSrnc2
Tz9xlrXDEPgTqIqjNnB7NMgiQ+49wkYa4rXrhCxmLbSaCMdJpeeM4HW4pC070HjUILXVSyvIzQpt
a1z2S/ZC/RQF+YDFDMTc/JhN0QCnrnUxQi1bG9FyqYYOI7ZyePXMfIAQHpDJlO+aLg3NXZMqsrib
OnGLBZ+V7JzO4YVdx1nbTutWQIq/Dc0uGR6KFinkcRpDsqzNYUyy/TAAcKxqJ20CJKdgP2w/Jmz9
ybAZLEe96bbLujPD5ugpNZKzMdnQkvvY7IJnnrmQR4t6uP5a5nlnooyxpuo1Ya6Ols02guFuxKTC
uIhOI12tVTFiYXC2bAOUY3wsTETeoRBxQ9BF1RJjwnQw3GaALGhRrYpwSS8v2nZXNkPMRM9Cnc3w
1q+cC0WPaJcYK0T1E+KDsrxJQkoGmLn5cIJjq4gD5iefc3+imMmyUKRPsSmz9hTnOLR/1FJpFWgc
Mt2+NZgBu7sRG/VHeFmiZJ2l5W3R1TLa1fAP5IoSDsZs1cZevh5aD06Rqird+yoEc0SG5caEYsXC
3vykObavDlYJOMfgtkpL3piymCC6Y9wVLRyrSp0Dqx7+oalLTbuNdN/X7gbb63pYKhpvEA87xs13
nXs8p40Y9RFY3ArAfg1btTA/Ue0/WvgxsujscBoKvOvbuP/sFWwKnxXhIdMXr2PlNt8AwcxCR7ji
pDXtEJ6G/rJNOUcwACgGsW4qjBsWUeT1xzZpOHrSIYDNl9QBjVQQqejVymz74zDUjbsetDLQYdM5
Dm/Aohck6lA6EAO6Ehp/9de+SrB4OBKJVhXjndEpLRwROoqkI9Q11sOch9riyruMKdDhn8QNlbIK
R7NeRm2jeSj4OZVWIkpGlCAiN3FwsCsY2Wk0iG7R0dg9Q/4MYHk3neVjOGUKSMiErTm+D7XO7dLR
+miYsXDwuy+oiawwjYLbDqlj8JVtFpAHRQiGz2FbOe7elV0p8oX0htp7gW9jNvdtSDd6nxcOuT6N
tPOAijZoYcekCCKXDvsoOJ+BIMZb+KMS0w2P1Y6OU6h5D2ZuRzFOmqhOb7WGkeWqY4eJD0VR9Q+T
SGN1V+ZtaF3KKCHZ1KMvhWwBC8JY08bLbIfiYTaqp7zrHpqx0Tm+pixLD2PT+x1KWEN8KOrJ/Gaq
uocyUATDq645xgM+RuTcR1D+gQCDVgBlEbaH5rLvo695PvpNuUB2knWUi0XCKjSaAZuFPtUdIB88
I4gbK8/YW1IV4Mj2EQMJH6Jf17o700bYGOsOrZGtp6hPOXEJ+xX4D6Q3iqcCUTqp2gLDsVFlWEdP
+DPwJNpJ3sWuX9aLccLjF2Y2Y4VGWd3KlJV5h48H7CNBnLBYqIzjbYHWV9ZQRlKo1WHdcOjFBZ4S
G7PS24AwIk79z4MB4ggvaGgYJ9ah4fFupbxhZVnDd1eaPjsGyFTemh6o750sR0TjIhUIhycaspTw
X9XgWDpEsmF/S0OxELXMI7KQ3EDtxai0m5E8ONRWJEK4pwZfEup1rRBRs2is0v4g08b9IgZNVy/o
wJrhNnS0DpF3bLXNwiykz1cYcnmbShj+4dLuLPfCj6jkqXM1d5YpGbCgGqnlHYVVVsXJTrf7TCyq
1i1sgf25NJ4RpklOnmCUD4nhgADUkuW9TAe7cPecNyrcW1gL7gtVgdhnbSKgkDa2n8H9q+oIJ0C2
uXVSdwP8Q7vU8fnwiz5cYC5f+ccaCmSKRo4qdUk74d73GM4jovZ6FPM4nEYfIXvNbCW/NpeBmblP
fuvGyKlKL3ysgsr+kLSwDpeGnkSvpa+mB9fJcz5kz4Hu1qMFkStkemB3fvSHo7epsdL6JN9zkfFO
jIJ8xK5OLkkQK7oANfQZ0l+32cpgUPo+i8csXDPknX3LE1nNS9aViL4pA4LNIGiUOedaokiQHXrd
QaNiDB+CTnOKP8qkpMwxG1FY37TKJSQrsxosGCewc6KmFDOXZeQD6pwTT6WnZpT6Om61oFtiLOJU
67qOE/d+pkAhttBMdl2fUwvcNozIW13VbcJInwWmGcA2Gi6zkng4bzlh398sUzpxbASHNckTZ6L3
xieIPu2OsEZ9PKqgyOvPzaD7HBaZUsFBG5tsCDi/ohklj2Nh3Q063djSSyqUlZYjNO1OVGN4o0RI
pH2gSmc/uQNmaA0ltbUqEj+InrIAwt6d70bk7KrJ6BirRkFwAS7MRvyw2uwsm06MeMr4xXgzVCil
RdVXx9GHPLPsiHRJl9LnIFWeV+GyYFnuJwNnHRzRHCqTRSEj70EggzkEvpiFk22HPcXURcMzHRDy
Mk2rx2khprhQR6127HI51P34QcdDYu9DLhPQjHz4EF2RfUtJ3qtyel6D3cIf0yk7Zt2UDscOAvRs
9GK0xGEn6PxXMk81UqEkz2zrxinWhguZy8h/cGQAD06LsStJS3RjdL3Q0Q+m37bkjLuO+oopCgbg
slVwz43JGqut1WYCSdIwdEvqOP82MnvzZPneBSsf6KTG0ONexrY53TQiKs1Tmlv517SxnQuObN7L
6EZ6cshDI/V3NZEFCMhwAWi30yycWSjUbvcS77SLpXwID1iIjC9Q+Z2PZt7nh0SJfK3n3QYyBJZo
xA8LXgl0lE3/UQdVQwcqqNaUj8VODMc98D0bs/CO7rJpopFmgPLpOTSmYV9xdl7cUTXaPrMH4LgU
seuFoL/p0DWOjBaj76WHoNx+LidCz0cbtRBOjStni5oXAqM9o46hEQcPZhqEHw2XxRW58F7IoJTt
tiiiOIFYDni0RPfGo4jtmTURpObZDqbx1QdQesqk39yOpaeMnZcbz57OdBmGFUkEj1Oawr6sVRAc
YokxCPCSDCGmh+GeB4O1fkPK6DJN+4zmrqkRa3P75ZOPJUi3sime62WrkRSNYiAMv4mpQw3kJVAg
IM003r2no3dmSu7eaiImPyypxmBmYlYwwP1mTC+x3g/dhn7bStZhNILxdbpVvRARC9zg+EKABGfa
xfA0tTeErkqeVZ9/tuQ0fnXHrsQuTiN2lCMhc7/leV58sWQX86/aVUdkFPuuv4hyYGBQr9B8MAPA
0HXp9e1LZea4yPQ5Gh0MAGrlrwrPieuFGUh/oDgch1M7DBGB72DBj0D1YtgMHV60t0Pb9H8AR5XE
pNiV+5UXy9zZ9oThgcgwNDGSGzHVsEztUrS3lY0zBtu18ynJHN9+J4zy5zHZ3+D+1RixN9ycg68o
0Wwaa5/dCPI+U3U0/OPHsdqMyHDz93JYf56Z/n0t8fMgwUwBEMHVEP+bU71Npwj2LYqgJY7iF5qv
JYJUwPjae+er/cyt+PtyV6PZlL2oTaAFrJ08OZWI/Ei1yPzhHTPlq1DRv3/81dQ5CnsOE8WPD5uC
trRFlJ50t55w9hXeIyt4A6vM6MklzNyaO9oe28h/jmz5eVTvxAK/9QWvhrCho3StaCbm7w4MAGt2
AAVphdjYBu/Ne+dl8IvZz7XBceP4VZHAJIV7MldzqZ+s00gn5FGpQiz7onY3Rm+Zm86vBCYRAUES
RfAFkzRBe28gp/FEvU3MUvxnxvn/vuuzOd+Pwyh/RP/TmBhIgLd8w9DmgV4UFMkrnqLQOmipRs8x
vvOI37i/zhUpZ5yw4TcTruWwOAeOgYT0SrqU/8hR9++vcuXaN8FXj4aqges+83FLfRsOlJHOfVk3
+x/GjHd/PqcfeYFXDIm/L3E1uisY/VuJrBEaoQ1x62rbz7shFUGPiL8dSepAlpLBqqadeWf4fWVW
/fc1r3cUhYAlENRCXXPQi2wLZLsrpc5++KxhN1OFGz3jiUX4QaXvLdN5B/nVMr3aWXIXJQ+coGHt
GGQYaAPKIQ2skDCFdFVE24pQKprWBPFxudXDT5l6Z4W8MRp1rrYYg8qt9JJ6WFeJgtlgkmtaR/0M
2MTTfWsW776H8yv9qy94tdnY9aiZvIdcKNQOg5Gs+CJWdjN6+b3WdAi0iNwySgaNq9+vnLe+2NXW
0k3GzHgvhnXOy46t20aZ9r4fOBby4Z1LvHHyzLTiH9/k1EoEvXU7rAsddiHUM4ghK54UG8s6twOO
9W959k6Iw3dO5i/un321bQSYGWoG+rg1VM0DF5mvOfjd2onq51QZSyvRCRrd2HF8x1/0+pa1AtA0
fx7NL44T9Jrf39i3vvXVnjLEhdM4AR8kKvDMsvobZnQrLmYWc0haWiLzle+cf29d6mp/sfLBVk2T
DmuTQEzFJC83P3WgiYU2rH32gAl7R/DL33+v716jv7rDV1tNSJ+gIycYMIn44OnavrTteQcYNYy2
6H3pTYENb7zmWzkNS5s9ewjJDh5fo/AFS73ff4g3CoxrI3QwI0hIFasWnB1WYLHO5UeS4rYBkT42
3hrvJXSYb93aq/0mNurOD2vSYLqMjW0Yjwl9kMTqBXui/nNv7D2RvnQICeXHeWU7oIotL48V1AcI
itusr5ZJDMpPZzMvrz9TbhRTLnlumXZpoTyQorfgOktVfNHqYBGn9fH3N+mtDfqaMJ36cqrqoOLD
U0svTO8iMyKvZHQSxnRWzHJtXgZW4VDD++VF/P1lzTdKiWsT6wBjt9Sdt7B66p4ce1pPguXhDtiq
QTk2/I0xPjv4PgXcRaVu+hjzghZQhI1OnhwMuGcQNiaDqBuqbW3EOyNUGFv9oZNi0Tgvv/+Uby7j
q43Pa3UIi4hHvi9jNgDlf3KIYRtpsFjJ85rllSkmsVQgZ+P4PEBC5Thx+sO7q/i74fwvXqVrk+vQ
rHCkhcsIsfMmRSQEkIU7wtnjneX7sj+F4g8ggUU96dhQvBeY8OZlr/bItJrCGjR/WGsZE1CUnR7f
v2SXIvORHVGxMLkVxM01PoO7pP/yzi2fz7Bffd2rLTFOJLaZQg3rwYgwL/5gyO95j31pP4j6JsQx
JUldTK9ICkzUO6vxu4H9ry56tTnWaWaWkcFWoTnaporPVqRWOOQxTvNfGmPc1fYrhYMcoXOCagFv
5ug1GHA6p6jVD7JDj5+nhDO+exy+8XrIq/3T0RVuOT4Hgwp1bx30mPqNWh7dvXOT3zjQ5XzZH0hc
qV5Dcpz+OgAD8anw8c+qnfMY37C0WpHdYN7X91sbfVZirHnl3N44czChDtz9/jO89RGuNk0b3zc/
1f1hHZpfrSy52FO28/1oTcbN7y/wRr0ur6ox6PVhBfdpWHtAf8vK8b4VRUk21HtH3PxBf7Vmroqw
sDO1XK+oWOZMUv1bhx0DDCHOcKe1VryWPXQf2/9+gve4vjEE/P33euNYuybbhsmYy6ENRpowr8MF
c3xUfvDqhvpTOSJIHKtXiPbVO2foG0/pOnXKtPGyZdAx4i7UwsNzz1OPRE8J9xag951rvLHWraud
JmZunbmNZIMr5JP+P5ydV2/jyLaFfxEB5vAqiZIcu+3uttvzQnRkzpm//n70wQU8NS4RMM7DHBgz
LFXatcPaa9nJ46YbInmYRY3FuSoLpI0IBHLDuK1S88gKwTmT3K7+64ysnh2mXzDWlzdGFl+9Qibf
3CoE6VBpmxnOdMr7Zgat0j3l5XWCvcJiciSspf/x4ckJJqJT7RwyGAzlGuUM+BOweyHs2UBf9/d/
sc3mWZccubXz7q250BM9A4fBxMaqOVAE9nUj/oRtCKfk6GbNb/ziy0u4Gvl37pQpGIUwi6ysKJhT
bSc/V8u/mqHmexqaN4O2cdwkdkFs02tbuJ4HmzFGdT6HRe47iwWxaLsRfcpOs2gWKEM3ybTA156X
L6UefCbCvLw4sh8uOCMQHhu2icqED/n5r6xaXsrM+e4M7e/Ln5dcdWO9RG9Ob+CAHhh0Y/KBgv62
5/Dec+FRLHSqFIBWL48hmYKoQkoSeZ6c2MZmKhPynrbTAAurH7rp6vL3JRde1DHW0mIuS2fEeYAr
HY97nFeShwe9rE/16iPGD5t+mWy51r+/WS7ANYlmJpj/JLWvNRPryxu6qOE3ssUf9M0N4YqnATK0
vVfNvm2q+zWomIidDBhD1qvR4oEBb91jUJrqtGlWZI6f2EpSG9BTuh01IydAQgIrT6CG272uZvPd
smp/jY7V+cma7zFpl/dNdi6Ee0+2BskTDyrpvnH+JnTQgKDJlyMO5uXvS+yKof97swZYRDqLl9Mn
v/2oBurXBpadypuvgTpdKdqXj40iXP0cZDpFixFJXQJ3mC2SHVjX+/WdMevl7JXp4WPjCIagKSGS
get79nV7BoUYadd9VP6jq92pX4aHjy7aa7j75oTnJgggL2E6jZbf92V/38B14JrwwSjx3TB+bGvE
jhyKP/QEdcPsj0uNdwbTeNmf86Z8rpT2KTQ+ll191Up5M5fArYI2IG/m27Ci/i+SHo19HwFwQcFk
YxDJM6kLJiEJm8C2KgaJw3SfRcE+1vU1YuU1RurwoOWx/6EDsLZ5vLU9oZIOpqJxAKJ0gFRpvCvd
DrbGwMQXneBmzLbUKWUzEh7+qLRaB+Ta7BcOwh9K7p4Ng7gnpVTahdFBhxPd1uaNDJXEouqCEaC1
OwaLgmPrzeknD4o2iur1uXHrn0AnN1ZO8jqLDXoTDezAq4g63BAhtyxFS1fFll7eFokV04X7b45Z
qwT0A/hqhDwCPZzfABSCz9hYH5l/qQv3fsxsKvxehJXMvvTzdxTeCUqJPgBjHRbUE5NJ+1ZXH7uX
r3ppb25MEVlgqUt2Y6IgyEq1/xAlowvqrvw3epQS92vGxswkz7aoK9d2gIypOWOeuyMSrUdXBYsZ
n1asUm2CSuja/aaXLjnSrznhN/PqUmOcDF5Wv+mnowqPpYPmxGuG2bX2UbTsNy2bbL9es0pvhipn
RAMqzyP8sJQTWRotfMoTWIeh524+zcVDk2ZIxmwcPtkaCjbBbnU39mrmRdCB2dTL4WwBvOT0sZLL
mlC3vY+9P69EGG/mFYJLhP68xPxU41crdM9FRurSTJcJPsZ2XunB95dvlMwZeS23vhlKN8dCNSpO
hpEbFE4JpdRTPdicB7iUDiMQMVj1swmQ1dI96oHjvQwhjWfVqAWPGnoRG79DtriC/9CXjZ3F9KL7
DoWj3HY+t3CqJSCues05ROX0tW2eaZy/PGmJjXrN1L6Zc48dD6sMByyL2j9ebDV7qFs/GNC/ntU3
H7etwOtDpZ79UIekpKlQug/0L/0Y7kfD3LjOkiumrqv4ZgxFTygsqIwBcpseVxVtsPHnXJfQcLo7
m+y3FscfO4rq+hPeDAWsVAmsgaHWDaGCmEOcufp3mcIzuFX+kqUHRT1sh4ZFDfEyHvYk+qf2mu+z
nQFPS9sdDYIHZUyuxwG1hAkGbYKA3Er92hh/0ngBRTzt5l78pSCrzb9/s0Dd/aFTogrORmj3g4vO
Bhup9p9C7nZW1N8vf1riLa+cOW8X1cytserWM2KVsEC43jGAhKyf4HwfMu92zRVeHkfyXop6rkam
BzaScLh+WXA7D9ArkAR8/Gigrwr+xDS7luaEq/Nia7/cwb1NIc+D6uzH5V8vsQmqYBPAyA9u5uDt
LcCfj0NcoV9ittgoANJ3UVGC6IPSb++VQ7/TMshiLw8r2xzByQBc3A1RukL6TLg7oW+7wze7bvOc
ZAmpk52hRR/0Z1TB39CbOVPakgDAoX416nCYNtbXBlN/eSbvmwn64v99zCYlLMoZhk3fU0Cve9wi
1SlfkhQnQyuv+266zrekZGVDrX9/YyaiBTrBxlKB0CWPaxmtXDLA3CcKd9cUlpdmq7C8rsx/81co
Pv97HMCRxVKhE+arSWb8jAcgTfDnr7j6NLjrQCFkk5IDCbWhoG7bLaf2/XukeoIpABxdm9Wkz/5c
xpAX6mfUUD9B6nh5m953y1WRtoB+lLhUc76uFfr32Jy+tNHwNYj10+ZFff/BW1vT/7U7UIjg7Mes
WhXTAIMEBra73IjJZN8WjICjttNKRYyZjLrHNV0C0+6GmZQtu2AARhWBmdzh/OpqBddHf11Y+v3m
D5ctu3DPg05P1WVh2dUoozuuv81X7AW9VJvpCtkIwvV2otodnErBgAXdgUqbWdhfXPNKqbKNkyNx
gFVXuOHI6Uyqt9DGRg/W3Zw94fY26PSBp0DYsdB9RtuM8CWF7P/QncGWU8UqjGck+6uvHsopYwff
arfcJGp4XuvtimoC4BwgCR7oxlw05/lDF0Rka7JtHv6k0HhnaEz0iuRYWcG+rCGYj64+NoJwwZWm
9AwttojFAMFPK3K2zm97G9xtsMU9JbknIq0DQqG9XjcGIZgxdTSB2H+3CzwS6+sK99tJE8Woknrx
y8yFNxgOHaT5lPShcFrETKv6h1pZyyEIwIlfXi/ZgMKlbxtw+83CgAbNyS7RSKSZexsIRQgUObC1
02aMJxtJsAELcGQk0UOmlmbV2R6hCoX5NILmGYGKvC+SGz3WG1+xKNxfnpvk1rqCXWjoZmkjuI7x
RavpkGTzdNX3VnzUFk07hzTL+JfHkVg3V7AOqAoSyvXlwplDb80xTzQ2nlV3i6/vfTdGFaGkZaa6
cIZXEJ02xkM4tbdqh1AqTsAOpKhvmqm34WVIDrYIEU1GZ24Hix2y3PqGLqBnrXJPl5dINof172+8
Cjcx7KSruZYBGPQ16E1caqNxe2Pz4OvLxgRkowiXn3wVMjSOi+8CMNS1k5PaFDdTckcP1jZgS3Kq
Xhnp3kwlqgw0WWl7pevaO7ZF/FNplPsotE61Omy8BrIhBCvQ9X2phXOMKkCePqkehVhyIban+HVL
O+PlHZGNIVx89oFKjMY0khgdn4iLsjOnPqENf4kQ1hg/dgdFoGddlZOH1sIC89lUoXqG9pOXKFcE
evRzaxtGTHIBHeGi20hFxjE0/f6iIIRXqvMdfNrdAa2LjfKSxHY5wg1P1Wa2U5oI2QAUIJQF8vmn
FfCVUL0osuK4mUqUPc0iuNOg4XFORuwx5MpQ892bVJEoJq26Ci2twJSWIAQFWNTst11xyfKJGM8y
QEsLRqzl9euv5Ssy8YDKluxPQjNcAcyzCF/WxBgFE408YKqkPsHA5YMoWVuRkTNTNbPQYUnxqZIn
xcsCRbhBnrkIhnOZfE9pH7k8jsQ42OtFeHNvQx6gNFUryKpJMQ5zSIVQfUC+i+bal17fCmt0vvZO
WGOva/xmlDjyEGywGt3PnWO1Srk56vU0KVBIfEpghbDXKpc1HdPY2tfLX2sr7/Ka2H5vXMFkmHll
u7zkuo9sODQKph8YKMp1R57vqrqCasaHE+oenJKaPQGuNMsEOijAem12nXjRnQbVM/nPlO3eTLNK
LIwtWBhHb/ra7ai0RFFi+Kra0RAepadZCZ0bM+/Riru8sZJny1634s2SA3s208TLLbBXRb+b6AaH
uW+xT5e/Ljuegm0ZhgiGqCy0aI6i+dTu0AA369qn6z3b0eH0iGjedOi1zQO0fve9jRRMTWRESqLN
scUblh4aAhnTfJ7qYxalh3a+K4uXWPk2BY/9VgpVsksiZnIxG28Z1cjytdG+nqzm1DbTXYXIBt2C
GxskG2Jd2jcbtNACjLOVWH5iIF0zo6R0S8vveBXGYXMzEe5f3imJGbMEHwPGsClogtLyQ634nWT1
Le/bleX9vvx1WYS2ksy9nQX8J0W26K3l13p26kzlagKQbBYIRpvp2V30HzQyQmbZXNHK9ufymGvw
985ZEKGNaaYQzKwnO9AQMO4IBKe9BntWV971UcXLc2Uo6sYmSeoHqgh0hJTZHtypt2gUXrOX9dlq
7sLYOjHYgOQvQybuMUXyREmO2/liyeW1BCNRjkvT5hWjaoAC4e75OgTomC+HZDo21nfGnuaQ8PQ+
aZ/WBjvXjpAa3JiybHkFw+F5I31umWL5edXejIm9q2jY7tAHK8bvw9KdXAOtlh4mmMu7KbsGgiWB
rc52EUJAgLg503v/lE/WPqjn27h2PjiCaDtGyIqCngk1an0z0XyWTekPVJLI5R0uz0FiDUWQo1HR
oj2UAdYJscVdboKjVpUbfaFfdsmvm2jyEJZ7uDyW5D6LYMfZyL0B0j/TL5AGgKViOOXq8FL3G7sv
OXki4lEpuqUGY2X6NC9/Gy3zd4xA7sYyyYyFiG9EnxJeqvXtM0IIiLyfffmYIskxIt8JoTTRSdWP
vl1sWD7JyXqlU31jYLVkiVJ7KWw6gnQX/ze8m7LwuTJaOAI+uBnrKr4ZwrYzZHsChtCU/En3zG9Z
2hw363iyCQhWIDTR+F2m3PahERggPqPvpkFFdafp4z8jZFYbWy47UcKFN4ZWoeeSSQQoXu1Dp7wy
FRcd1zr3P3ZkhSsOh0wMSxGMn649wUHm3cRGDWnTsuGLyJZJuN9aALGjrriWr2fo36gzBeTQoTdw
ZSzb6WNmbJwnWRQiAhxNSx/UKmEgW4dNZfCO6zGOxt9OxYgmPZ0A6pIB8iZlOTRbiESJbRERj52h
9ckUWvhxSneEfu96WrKjCnSnpYO0XMx73KDL2yS7niL4UYeirQFNNfhh9peGBdsNvoYVxNe8QSPE
UID1IIc76JCHXR5QsnHG+vc3t2dG8BUmt3ygY/VnVdsPSFteqfWXsdi4nQJN/P/3jkJ78+8BciWM
tTr1Bh8a0PNMVN8p0CvcwnmJwl+yS0hPuKWyp6aDZvQxQFVrpxn6mSCOiHJNX64dVVNZPDZheAid
/srK7+ywuaKfKI60bx7/bZ0WKzwL/aMXD9h+hWZjUV7zF3Pocigkj1as/KPS7weqwuWLSbbceIhG
OtHGJGUxjgi3NFQ3QooMSKxlp+GCCE8GiVGhxd61aprtl8HM1DtnmaC71ea9PWfjnQajzjOsa+NN
3YctutUZZArHYTLM/jQNBZJ7aA19guuA8Lrp1OCKdo/oYR5pD98ICGU7L1gEzxnTaonIDdZhsR8H
94CS7vVUPCeb6WhJXGsIRkEZYuToJ5L5q/6oCXNCammP48oMMA7wkYxfLh9hyTAixDFoLGRu28r0
TejJ6GwNPhdp9nmOigOcZogD6sbW5VyX5h2vV4Q5Qg1rd7nNu78any7q76BT8NpTNh0T10aDjq4j
hDHiaQfz6OW5Sd4FEfK4pAuwHGr5/qI26K26PyJ7vllUc6OwJls68faHleUWboo1zW1vZ9ThPeIJ
6j53y2OhLN+9ccPKyKYhGIHQMafBgcWQhNHyqx2KKzeBsyarPvh5wQVAAbWeu6YgErZohu3i5W5G
itDbut6yVRJ8gNo06jRFkM1X0RGM9OlrOS1fsrFFG7eGpmXThZWtkuAEJISIGoRLjNOHV07n3LkJ
aiWVvrFKkqBCRDY6kFU3ccs0MgegV3ZyIA5DbxLMyZOVnRYPKfLy+mPHVrj5ZRwsTtIzEy8aPg89
tRuEXd0p27iIkoUSYY2RAn/0AhgcVYq/FaCu0zygpY5+mf+hny9CGbvesvMwHiwfZsfbYFH8MIjv
N70J2a9fj9mbJxf6VD0dB369O1fmAxBWtDIRPr6GSrr6fnkCEiYTVUQt2lU/z6YxokAZ/BONRy1S
YcU2d5BKKUgEXDdlgA1T9vgtefFCkuVjR0xbp/x2ajGkhjBdkk8pPi3pj16LzqtJzNWnvkYsMnNW
ZZrLU5T4ZCJ+sQsz8IomQ7XXmXoAcxok1md9QW4mf9SbfONll/mbInYROmk4LtejNpvd0ZrUzAeB
cloVqleu18Ed7qMKwl53fo7n7M/m7CRnxBBMTtl17YQAOZVcx3guoz9q09xa1RbsTOplCpaGXuSq
7lSKXigoO4dw6bxTmRt/c+gTDzWSib+HSO+v0sbtbmJ7bZnOt8iJJBN7zfG8OSHBiBAyoqEkAiZQ
foqafa3t6Kqpug2vZjX57zzRr/v45vuuBhPflJK1gTDuLp+9r+NmlkTSSK6+ruabb2uUv+MuazgL
gfmjNNQJ6SH7Br7Ah3xKb5cA7WVD/66XjfYamah6gXAarmmrQuOB55sWzS1Eght3XHIBRIAmrGtt
aqSEjK2R/KxNKNimYIaWNF8p1KjQN863zd5Bia8oIjS11nEmMyB6jDx4EaPQ+5N1xku1fEt14N2X
L7RsDMEsQvY6g6nSLd9xgpd+0Q9O2eyr2HjafMdlKyZ4O0Otw81bEcbpmX43EM7XtrbXcE2zkx0q
h813XPLQitDLMEUqfCiZSbooN1FovgS9tQfAjYNozgFAPIiht8yg7CqL+EtrCdPQDhx8H+yQoUFE
RqO0GkD1kEJfmOxgYrQLiHi3BpQ4QyIgkzVUBzNkPLhWntRqupsiY7/o2X01t4dxC68mnZZgoUzk
q/W8Jc4PVvw7rJtl0Z1VrliauH4fF/cgoPe9kRz10m42nG2ZsVeFkEiJSRkacMb5c1pdjWF/QE67
P45oNh10D2LUxRkhro4fU1WDf932bsyMZMDl4y9bV8FlSmFBBceVkKCxtE9p4Z1xoU4jcOUAuq3N
3XvX/OqoGP37gXbdrJpmM7P9BfbqKtNP6lzfZLXjX57EuzeMz69/f2MhyZF16DJUNiq94KqX+Js3
qsVejfUvxdA9OQ5KLbAYXh7r3QVjLMFexLE9qEaMTVJ7QPC6W96/eoEEAFaOTvFmNvbd28w4gtXA
Ik3wOlNdGcvHhKyBOyOhAHlI0Wa7AGHlsEvOi3J1eVKv7st/3i9GWzfuzQpabqeO3vp+afRtHfLB
uIMD7ivpn3zXKOVnUJz9MU7Vb63TPw9qmOyUKjpEaveztHL4ifNpv/FD1nP33g8RYqpJ0Rx0QbgL
pvJU5p+IcbUyuIq652l5MZQnqyh+brbzvPtoM2nB21GBScTuwsPqmHZ51o02PjYwwlyeiWz/BEsy
lM6k6NX6asfdrZZpL5am/pnC6AQL7vxLq+r0YI96dI7M6PflEd8vWKEiK1wDpSl0JNx5aBTgasDY
9oGBULV6KNQ10qJM2kGeRtiVqqcl2OjXkExTZLZrymzoptK2fCOOkl1mjCfQi0+z7V6huHzlOvlL
UejXpov03+VZyjZNMJbj7CZJm4y23zta6K8UwF2mb/X3v2//ORKCORxJtdCmvLwaqqswNJfb1ot/
Z6X7VR2Teq+Y2idwu4emTP52WqVtuPsS8yhiXSPVglyrZ05a9I82mzqZ7Gg/l0q1cave9XF0T1Tz
VUfDLaHttv28L09gIfZjk9yhDOV/1MCLONY8LGLN6WLbNyzl00AmNO5oyUjSsN2YgsTsuoI5LCe9
09slYomWaO+q6Ve9jSDkc0+0E56yrQKobKEEM0gpuS6DgndKX0y6VGsF8uPwqu51hDu3klKSGyMi
WqEJ7j3iEdsf3ft4+dFRt65hSZ2QQVIcY3XY4JzdWDXJw+gKFq6t1RI3vWfVqH1iA1Zz6twPeuiv
5mET5v8aaL9jtV3B2E2m4pAn5vnog/ZgEjT2ZgjTe1Rqu2LM4jNSSwHKJVl5cvX07CgoENWp8zjG
M6CgYs4ODjIceyffonGUGAkR6DpOaGx4kKDTsk0XkonCCoWULdyU7JAINsJS5jyn+QhXNDQoBE16
/1AtBa6vqcTHchi2BF0lkxBhrlGJWEJkUryuqsjZW0abfwYrHmzYUYnNcYQLVcGXS2cLhjttrGtu
61d9Sq9yOCkum2nJfRVBoUE/mCN5GGr7EaI4/ezskvoZNYCMSBEhmC1eUtkarX9/47dUpTZFIdot
vpbM1jGAF/hTn5bWz8uTkOy0I1wf1NYhUu2ZRFoGv0xn+TTF0bXCyd40ODLHS4SDVqjGlHGI/w3S
/TA4zs8J1Ux01cKzOuGUK5SwLeuX16IpFKEHQvKnK9VbFhGdhQ3nT2Ik/gMWTdKc9AKzrFcVhj7s
TgiS3yVZ/wyQt9nlgT7tp0TbCDhkayrcHh0dkWWp2LE+1B4QTipQ5YM9Psyz0i9n5EIub53keIuw
0boyaxY2tWEfyA+VVh8i2I06td3Av0qMuIgQzcZYQX6Y22NZmblLo/I0R+MhrWpkJTgq2kDrAH0D
1axVGxdKNqH1or056YmSkQ8sAMvYpvI16ZqHLEb+0qpQSL+8YpKrJMJBnalyQtNYbywcYftVgwVu
3+Xl8scluy6iQNM8dObG4uPGgCymlmThddsWyx7G6+XgoDl7vDyObBKCPUDFZfSylOtkuNbLUCyn
qmg/wpGtIy387w0wsyVIC8Q0fPQfkTjStR/A9T8b3uPlXy5bIeEJTSYkeOyJ7I3lIPs16OC/StBs
yvljwEYmIHjO2YTiTYAikt8M3Z2mIHKOAOYvN7D/9F65cUplsxBud6QgmPAaDvReDt+t8xinCtJT
5t1mwCEZQYRnugi8IsWm8m71wT0ZfoVEDfWEiYjj8kZIjpAlRFF1aCBPmBlsBD1gXhxNO80s/17+
tuRVtIRLPOl1aCP1RvXAJDmmp053bTfL0xAi2+XUz2FkbamKy4JBEZ0Z1aluKAvr5KqOT8EYvw/v
DyGTw+qjtfq92dyt/maIXdStD67darzeGCnVrNKihxPNV9o5vUZL0T0iAbtFXfN+okz3RESm5tDU
EDss3zwgkpidejXZQ8ryudb+kOSkJE7mGejCrtH7D26YcOkj6EQhk2YVSVxd6bX5vUm8hwCF1FIb
tssukhdYpJucp6AO9NYzfeDgxLQLFCY2BHP9op5jB27lcnHvzSnb6vmVDScYgiruwxBFEtMPU8Nw
doWpt78qT6OWVTTpdYVk1J0RxZVvdMjRb7wukudLZJ6clAaBF7Q7/WGcv0RIDyElCkRr6+DJAncR
h9mEGsTzGqj0TP+jlfberefj6s1qS7JDe25fKt31bC94MxuQMMkiimBMVTcHpTSZEFplt5EX3Haj
to+y8HNnZ882/puzBbSWLJ2IyzTMoAgHxzZ910XqB2HJlYN/2F47iUUVoZmaZgIyGzkOjWngoPfW
QQGAO9KQqkBKtuGPSSyfiMiktyoamsYyfbXUsn0eRTlQA2O5dpylPalIOD9WxphumKH369CALwU3
AFG9AUkplqzLJvPQ5/EquRLT+9G2u6DSX8Ih+dpDAtOFqAHazp3epr+bBYE+2OvOl029bFUFy6FM
oKxSTJg/jtVTnw3osFZf3KD7MjnDRtpItqaCy8CZUG3HMUzUY+yfFhqca9oNGcDPeEDXm7yIsokI
1mLQMpN0EaPAHuEBduwPCODlB8tLnjfDIMmbawpuQ+YavRGWJosVOo8kSI5t3GyBAySrJEI3+2Eg
D9HSABT1auSr5AqN2t3bRarv1Na9qsApXN5xj0funSSICNdshrDPNfAPAMLq7mvkOtl9VisoZjRR
5UMCRKlPNfXrcjS8hwS11o2DJnsVRexm6ylQPJuqSa7q1CCkpFjagf+bF08oge/yoUb3VkWTE4b2
j5pbEb+pDKnWIZVoIg1q7OsENFJ5P4Hn6PkH7bdG1Oy02qRPYeP5kBwQEc7Z6XET6jPjLTbwoZTw
p526jYhU9m3BWBShlVvwbliIW83ZVanT40BdoN3YHtmpEOxAWSbo1+q4RF3e/LaV8ZNZO/QSwWSE
lplPm+Y1yn1/Qt36fPkUSq6rSFfpJYGZ62scoUzGdR8az2EK5tVAgA7JxOHH5UEkT5Ih2ITRjNwy
7hgkciE77wwkGJ2bdqvLR/Z1wRrUJbxncwHGJgDA6ucFDYNRVvha5m283RKTIEI3LVOpakj4ccOn
ZQdHyT3OcenV1yCQN02aZB9E0KauhW5rmoyhDNNdnNWPSV8/9177T6d9CL2veyJKM0Hrs5ps0FZe
rR8dA5nhtu5qBDLcj6BaGGCd2xt33jQDJQ8HBuDNbHZlrV8lrtduXGnJLotElJlTUdEPuBgBJEfe
7F3bVX2lat7L5SMqW3/hVi9Zu6idyudt5DWXVTQYBHeT0LO7iRaQzUC42glmvhtLhujL8q7Tik/U
i56s4UMUAay+8LyToDVLq+EagGB8DCGJOczwnqDA+Kyp0blIo43Ehuw2CJdZdQ3EX0mU+/AlHoa2
PvBylJnyAPJw037L/HORfzLyhmGye7yI0FL3q8QZEegqADF/7zPUVh/tEMnj+nB572WjiUjNxfIo
5Bo8F6iUnuaxuzba6Me6eoti1iBnsz9EWiXeXnJu4832OcmRE/GbptunRRfj8tlp3TwkqZF9RcCv
jnejUiq7pMvMDRsvebFEHko1ihrDNXCX4i6ZdxXit7NR5h/z1EUMp5UFutr0oM2HLh1UZJrob8/0
KN/lBWD3ejK6o2s09c/LWyV5HkXoZunOMMb1DTul0LVAWjBFW7RLoMlLjZ+zZ53tWOfKbvkRkrP+
H/gmitMdRPSmb+mRuVdUI/+bzupyiMOlOkyVXVQ7r4si//Lk3h/NFbEiE3LfhaIlaxgCD6pmpM1Z
m1fJrdmGcU01Plnj8CFiTd0TEaNR39DMH7acCTP+BJ9fD0ok9XsCxSEzwt1SqBsVf5m/KWIpEdBt
UIzgLJStd/KW6M5wc6TRqY3scnc6KnkTX+ftNJyNKuPs51ZJrn/cSLzLQrvXX/XmTcrbdshrMjFg
SJu9C/8L/G8YkrVsSldEpCFP/Lxq0ll2cmgRwt08OhJr/2pr3gzsqF5eL2VG92WR3NtTmvT0XMzN
rWJP3rePnBdPxFbWQxt2QZOSBwIEZk7TozOhCqJmp8SuE1LyEI9fHkhiqURgZVpPaeO5DFTk7cFT
TQjt+m9TWeJxbQnaSS62yHupqGNepXlk+n3fw8icavs2AJO9Git275wo6s8sXbQTCJJiy+yvL+M7
EZjIa1nOudfGrmL4JZiTETYHNFR+DE6xR+XkmzM2h6boTzzWRxt0/W4AJr4JvpSt6Hpq3pyOLg+G
pB6QzMzb/DYuzR+I6N1EQfR5KbYCPdkQgkdTtnlfL3XHpqVoy81PvT0cIlhSx/np8ql431x5IsbS
6JvM9BBo9qd2RD43r7+sz6atIB0WqsOeY395HNnREBwb3D4FSWKOhpWon+pAOUy555sQhe5dN7wi
hD4uQC2vNqNVyXMp4iuhipoCD2lkv56bq6Gi3B1oG9GdxCiINJdGrIapEvNphz78NnSXnYs/td2b
8/6euyJwUh3y3sJDMXw7GeAHMvpfEMOA6+q+x9ZGMCQbwv33ydWrTh/DkCGcNWOqJYc5Mq6dtGp3
xBKXN/z9DXD/g2W0FS9zZ4bQvARNRCX/0S3zVmZZ4uy5InaxB3LUDApfn0rlnDXo6BULe2Db1bTH
pb2vQxPRLwXqWVTjzsgGb9Uj1hX6r7lxRe7JgWCrimbufOC1FAW6K3RD7YPqkPwwbe3bVA1XGpjd
jX16/9a4IlqxhElYzRvqUvR6/lATjpo5zak/R7+chFFL/Z+6yLzdVBjOh14J1xPuaZrmwO4zAhDH
sb4ozjHAE4ND/pQ3y8b1ke6dEHtoUT25QUEIxROet8YZ1CcsF2417Mow2AdTeCjM6bxZZJXtmJBZ
UIp2rNOAoNwARWZU87zPwHXnSXIYx+xPXHcfRcS5IqZPsdUiRb8dLo20fkTXHSykc/5gdsEVEX1e
SHUvHoF6wiOzXyeTFFBk5vnzJqZLYhZERF9qq8OSrKVKFz07RWu/9qpzbSRGAYRnwyzIdl8E9RXm
kDVawxhj+RttHzSe1fPKON+lRw4CBT4zfck/WIJyRZrKodZUT50awnXbue8U98tMCLg5GcnR+g+s
rzGXlLgIIhAn2JEyvyJkunfH+NbtzGMWmF82m3NlIwlpB1spKVE7GIJGD07h/NrhePA6GA/M0blF
P/ufxJr/XLbcEqMjAvuyJMDvNdihyToXSrsbqk+ZaVI0/m6G6k3Q/XGuLg8kO26CIbAndRpGB36Q
BSQ9kOKd13if0n642vTQ3vduXJGUsrYiTm9OHcBufsFMeKRZxfRWdXWqd8qXy7N43x1wRcjeHNq1
N7kOtQZzjIjw4pvYTel6rT74/fVIvPEyVWBauZdx7efWJhsU0OxQuwcztbdgA5KXWoRzk7OP3DTV
yIXbWbhrNfv3ZvwkiRtdEXHIAe1SrScp0wXzQzZYV0DkOzBZwY3rRHdq2f+1y4wwmVULw/klt4Kt
Hi8JPtX9DxqxcgtKMWSf4Di4Hcb8WlfzY04wt1O84XnRXT8qousl736qVvZsTu4BpM/NTKnV8qwT
LsWW0obsgIg+fNmnnt2TIqo69Sat9R80Qa5ECxsWVXLGRcBiGLaevSQLnnVsqD78VdZPy+rDFw+2
8htvJdBcgH1/vXzYJXZIhC4WeW0ZQUHdKaO2dFtUTfDVaoZxoeG2VbKdl+nObeaY2l/yKsZWNU+2
gIKd0EZ38qy1sqtR51wXUAuhX9xqIJdYIZHW0gu9Qu1q7m/SzXueILdK7or0l+mah8trJrlfIiwx
MwpbsUYXMxcM3X4KwK9kar3hr0mMtQhKbGDKHqIYCwcvhfo1b2jN8RPPbcbdOPVz7NfjZCm7olna
ch8EjgkywlDaj52GVyKWN6aJjOSgjyYpBa3oD2oT7C2ocAxDP+lBeov84EHptxLjkl0Sq8VhXMX1
kJBWW9DlW2MiW4/9Jm+v0kj5dXmfJEOIRWNHwzEpjXWIRY2h9erdHQDyVTAGstG+qF4+NIxI9anG
cGwg/I050O3naejIhJf5g9H2QCSy5PnyIBKjIAI727SKUlUhTEmV6QmIIfwv/aGt3E9uPKxs6pdH
kQDOXBHiqbb0U80DUT0h0Z9Bt85xga5EY3eHXq9Q6g3/LnQmN66F7Gf91PTD6aMhrKjWbqu5V04t
u2VbpDq1ZfgyVWl36GrApd78cHmCkiMh4j/1Lipn/rcyvWndTk3dq5G9aiz33MzfLw8hsagicWdl
w9pZBDXPO5Lg3nAMo3lHSxCSoD4l/J2VGhvvhMSKilDQuQxURZkSKodErUFrpDvUOz9v7odsHkKY
1a5mJQ4zyy8G94wO+j2+lt4mvl011yuxiKp/qBCCzOO//aFmCpXCrOnXARClX9t9oO41M5837Klk
x0Uk6GJDg5NHtHpOgeuH9vQr68ODAVPVZmZKNsJ6Zd8YTfyrJI5bUOqTHt06ndfv13NVlOk5KaKt
BInk/otIUDWal8JJaThSs9q8Q/YqOSVOCLVTXyxAYOLEL+Yx2lgzWUwnomCy/+Psy5bbRrYtf+VE
vePcHJBTxz3nASApiZQlz1X2C8KusjEjMU9f3wvq031NkBJaFeGIKocsJnPauYe11yIgbWBpsXh5
3EvVtBuDdyivJxwFCU7fpBVaWaP3GXM2TOgzj94FJWiehTRnQJa7svgrJsH3QBeBR8fxZpwMCJMB
xY84sIwALf29y7NGoZY9dQaw6AOJv7DyRfRzGOfWC6Z5o8Tx3KHg54cir4Y0DQf0/eQJtBKzdkDq
XyfvQhMX+6wtDy/bmmdMwBpzOhdjUmYtegLh6rCDFu5bNbfai8e43sDVPPciiJWvVmTY/pASdLo5
6jMP4ndtCSKuNH9MxulrX1R7PhRv256k6M4CzDpvhAE/41Yr8XMTXBkhyhpkBkeKDhDW1h6J+4ea
lW/LrST2M7u0BpxWI3T/qgo9m2QKvmUyavbO1N8GFh3TgaN//q1NWoNMTenkaQ100n5YxLlJK27B
n/IIbO7GFj2zRmto6WjplKWQ7UGXVtV9pxlPUPC1LfRH2jKbPrw8iWfszxpfKqAHLWSAZv9OJDeN
ChBXWuckpFpUrhDj/d2U1RpjOpumJSrI1J6XOfuItkd7N2g7P4i4HSHrh7zf37MAa3gpaewYZBoz
Au+foMj2OOY+bpLaepoO9G861CszII3QIH9o9H4EC0CxjzXVn0hq0R3StzG4wlG6IxWoCrOp9Mcu
1/VGdeY5C74WOUf7c9uUIgYYs1IPg5Wdx2fKvXIeHpfXqRqb3+ss/gArNfqbLsMzgdEaxJiDrLWu
unwp66bOTYKsbBx0zYate+7Dlzv8yzMbN3EmkhEfHjnFV5HTd3W4pdv73EcvN+uXjwYBdRyjHwW4
ljD4Xg75F1rrrXrmM27Umt6xK1QW8AifrYvYn9EfLDU6N/Tsx7rcmeDzphvyjBlY0z5xd0pD1mAg
2+UeKWn0QJEfKflcbdiZZ4zlGpQIelHuaHD57PuR+nOV3AZxCm1wddzsqn7u1K4hidOUkHSIkPoo
3cabsi8AMSGBHJbfSfSXgKmB8qb3t0/r6m1p3cYqi6TuPpv54GmgAOi01VjwzIlagxPtTEhOEsDx
nbb5CGXWR6uceMNwPXOi1qDEqndj20DTbD+OhPmqhPhDJ4T1qnLeTTT+xgrosGbZ3cuG/5ldX+MT
265KjIXK5T7XH2Qb3CMKsFX9aROZ/ozrt4YnduNMglgCiEKXTsjcHAG+9uBrDjL0KqHAhkW3D9gz
r9gargiVm27IoQK571F2b2W+k1PiL/CayZolifzykj03ynIofjEnurVV6SALuyd5lr9J6th6outh
Z9PIRR9d34Ineyo2oqfn7sxaNbuD8l/OBRDrqCsmgD8VlZ/28x+Lv9zp8o9wjqFNVBBfpPRAWbaV
63/uhLPzSU5Qm3KGCongRDnfIbvT7miYubcvr+Bzh27ldFJupyhQC7doVeftnvAueac4xJVAaFTv
WYOszuHlkZ47fisjwNsqMtlC/0kUWoDjHzwVu7h0d4ulpkp4mWIPaAjavzzaM/NaQxq7hfhpjiJw
HGq8u0VBvwyVcwdFh9jPB3fj7X/GPqwRjMBwqd5VaGqiMvDyJVTDy9M01Iuaz3CsbqZ2Y6BnXpw1
grGXcxUojXYtTePDUCRfje7fOigwvbxYz5ywNYaxD8dAzQD2wxM0n/uK35tEbRUTnrmia8RijY5r
KRb6h3oIf4S8eejCKjnElN/SxDlqPWx5mc/t+NoWTBQg8gAkFiCKqwseQ7q93lnw39xsEqY+Qz+g
16jBOW7bJO5ddNPmtc5vu5AMCjWRyHEhh9xkbwsSANtnjZSOr6NYfXLQXdDvqHAF1F7yNOp2HRDo
y+9nOTsMZcC2aNGe28OVleCGTLxzUHqUS+FRDJJ73VaHwXOWb40iFAOBFCqkA/caWDQRQshGDSGE
LF2vEMmxs28ClFNBybJd7H7u2KyshRBoyI4kcnvZ0NnSC3kggmNNkO/1eFkYeQrcJC1vc0kBeni6
Bf/15/i/wh/27f+BojT//m/8/U9bTjXUH9rVX//90eb489/L7/y/f3P+G/+++WEfvuU/mvU/Ovsd
fO5/xt19a7+d/WUPcHM7vet+1NP7H0hRt0+fj2+4/Mv/3x/+48fTp3ycyh//+u1P2xVQDXv/I4xt
8dt/fnT3179+YwuG679+/fz//HCZwL9+exvFWVyWcfGjufitH9+a9l+/USb/KUCEJFG85mihXSLf
4cfTT6j8p3GpEQJKui4Bz9pv/yhs3UYYlf4TV45SJEOE4IwtDk1ju+VH7j8llRTUSkpA6IgSpKH+
77c725//2a9/FF3+1sZF2+C38QD+D6BIAdvDBCfUVQYvEwg/lzP0ixeQCtZMdQ/Ebh2lzoGpvgNs
3tQbbtnlKK7LwPBCBWr4wqzhPTTJy8UBmO9NLzhoyqrKb6J8uPll5f8zt5fn4rquwkBcuQAlrEnJ
pr7VmenNdF/owPpz68y+bkAw8fIoq6LysmQuPlsqIdSydGyZ7C9Lpo2jrVTleM8H25BdZFQTesqN
5CcH8s2Ps5DDT9KI6mNWUYTQMgi12AmZAe8WOynbyg1eWVuhuUaPOkd3uFwXQzq3CQVyupg16Zsd
AfPtcQr4FsvCtVlLF60hmmn0el7IYMsqH50oLIf7uHXSbDenMbKcdG663Afza0n9cOAs8PqxyHof
3Y7553nuOrkDs7gFfZbDhg1X8vw9X7ZBAA9CXKIFNoOs27wLXdUBaDH6+3i231Xhpgdag9bXgYDE
yxt+/ig+DUTBL82h/smZZOsaINzxtoxZ1d9PYWT/DGHBEYvJHKoCfHyw2pqN8a4stcDNdzEpKRar
sErHhFnXJDHBzHrVl75FQ9ouSYfxi7C2+d0pAqi3OnmvfgZyav6itIx+ZrFUPqj4gAR5ee4Xh8uF
raHAkcICYf5rqBGyT8VUgq7llMB+7PIQteoWV3DjSl2OgjtLmNDgegb2bx3w0KQ0iDqMODkuYQik
5U9qidzw0q8MImE1XeNKIwF4X7b512vLC4pjWZb3lQCcv1W0+hQrS39/ecEWe3lmT12mGE4JUZIz
7a5tUN11pQWxW3bPaRjPhygvkgr8gXWv90hGDF9KDQ1xD0zK2t3YqlXuG+cUQ+N4Kk2EUcZdA4RJ
EJWoRzb2XsFxLH2QR6XFrq40P7X9GA2emFXzfs7Kmt0KKLUmgK0OovNqLjlql+kUvXN067TvX70g
WkK0RrqagdxynVfO+rxmfaHqe8BIO+vzqpyQ4KtJ8TNLkkofWD67P6ukRfbx5YEvrq3LGQXaES8s
dTVdY4AixVkFQrjs3gQRZIGVKKB0rINdAzXE+yp1w41re3m+lvGk5gSi3hJaJufnK5dNHVasyO7z
cGD+MLJhb5Tlu5dndR4uLZvMsYwK88FtwSFZ+XauAVd7V1TZvW0Szh5SomZIg85uOwL5F1p96k01
fpSum/xoFEicNg7ZlUnCH8EbLjloiXCPzidpi2wE7NnaewvpQl+nzuD1YJ7asAcr8NTTLPGSUcE4
LjzFWT4fBlwDeWgrXdyz2QEKYnCyVHruXDhfoySDpiaDItafvSSx44WNrT71RuW/G1mlnR9Oqvmc
yxJSfbJx7OgBhVsPfprkdrPweGU1NJ4GspxtXPd1+jrlthRpxop7h0bQMWun6IbVc75TQxTfKFP0
n8twmD+xMU5uZFMqnydzemcEiX8HD0Vwy2ckw0wBFo+XD8kq1sD6KQbhHC6EaxBoyXUEPw19MkDi
fTplEOV96NIehXDOlo6zkqJjSsv5FE6kvUX3krx1Z5SWoilO/3r5W1ysztOXkGA2hYcLz2F1Vqo6
HCgDSPEURqr7qESQH0mSbZ6V5V6dWVwMIzDJxSHjoBNenZUxAkUnbYbxFCyUql6G/C8UpzkvQn9w
gUBLoiz70pGCfyjTyQ125Ryr2ocmpj7YdEZrVTdCsW3jnlw4JwrG31UgCDIabtkaCNPWqZ3YOI4n
ZxQc1GOmuZsEGw68csjGZbkyFJQoCcVmo3WWr3vkWM7LoWur7pQIHu1GUBec4mkeT72O5c9X76jh
Cq+0C++L6/VQYG4pSjTBdSfTzfzIRe2C/SHeYhC9MNwIkgRIbdBXipAEPufq8s8Jybk7tqcubbvb
rF986NKZDmgULd9VNQ9eVSlYLgvG45xLRiHRh/9ZjVf0GZs5xoO+W7sbgefZ86lNfLRxCKjLzulG
mHLhIiiBrA3YUuC3woSufap2kMFQhao6hSPaQbku33Uz/dxy/WF0hrdBweSrT4ikBEdECo2Hg62h
wrQG2XoGp+c05fDm4Hw0wZcJ+d9bNBGTDcjS0+6cX8fF+MA5xxNFKJ7+89UM6ykMAlHMJ6eG2+G5
MbXKc3Ob0t1QV2Ty7TDNmdcbmsR3ahw75smK6sqHR8Khrj3M7Uc2tQNUXLoEKJXGwtj7MJdFdIiK
xgn9VECSFdTuWQvidVFIel+TsICSQlNJ7cNFnSGA1o9O6ieOhlbf1C+ZDyGmKvfijk255xR0CEHt
W7pfXntBMHmJRwvE8IowubJFg5nHpnEMOSWsQYIlnLObxjav9jSWYJ3Al6IS/0Xm4HyJgZseiiJ0
6cnYavyRz53rR4KLTy/P5dKuYBRKF9MKb5av/Sd3shA+d2d6aup8eJMFZtyBdaaHXAFK3C8PdflS
YCgXp5NzYSD6sprQHMrMIvlHThI0qD6P49rnEkRKL49y5VXEMIjjloQK4uW1+coRrwWEOgTKkC0k
wAvbgOJUoijhTSBk2qsBtTx8lQ4dG4nrt2Vgd6rpio089LXJutQVCKVxSZAXOd89WssUXoClJ5UO
9pDOdvBSq4eNJb2MBnBI8OFEI4IEFnENVmIR4KSZLeiJ6xZSD1AX7v1EN9NjIOuk9qqWEeYNgVt8
QpsbZb47O4R6blJlKP7mbSPf8Szptt7Fq5MXQjNEBBSdSqudZiXe8aEN6KmM5sI3g5FeYSDq8vJO
XxsFJs91OZgJhLtuKJpEjX7wltGTDmv0FhoVPA4z5xugqSujwJoi94LACw/Hutcz6EzYAb/fnpRM
i98d5AmOQwmV6JfncvEaatgRCUFIF/4+QWrr/LhIJ9cNMrHTybVp9I2gTeorErzGT/GuvW+R4H3t
66TxVLgMTiNjVOFKno+HFP3QI9synJwsBqzaBKr+GM9Z8Ufc8fre8gns2nVcbVyKy+OqKUbDky+W
/J1YtxwSNWnVhy095fE8nArUB8nO1A15V2dTdyANSES9kiXxO2bC8VhT3n2mrG+5x8O8vCUzz+9e
XvdLawHPGc4HIjmc08W9P1+InmUGlYeMn8zggmC+6N1ml+eV+041tTpWREKlM6nCNy086bsZFUDj
QbtSbUSVF/He8i1cOAlwb7E4a2eoQcMgLpLlJyePwM6ItiXjz2VfHoIQkucVZbPnRFx8J06QvjZh
sgxt8AC4LsWFXavpcVOkJgh7flKFTL8G4xh9z534/cvLfHGJND5+iWkNVbixa+DraHQ8FbJlpzkv
stoLA0J8yzdpta8Mg1SahinE28yRwTzfTIv4YEaijJ36IMm+ZDZ27vAYOftXT0YJhfOChxO+j1jd
1VFByRWSoOwkmyT7nNRVfiCIruxrzduSzSBw5ZCuR7JtfTKZk5boMSrZKQlSEJ+FPPZ1F2e7109G
Uhw9ZOaYIGtIZawLCt7khJ0qHfTggkTjg5PZecO8XdmYJWm1BIku6mxrdzFVlQUff4VRElcfESm2
u3rWZOMyX7jcWDGNt3B5d+GVrWvAshjbPM87fuqSoHyfCDN9zRkRO5IggcH6PHyTRW684QpfWm7Y
D9TKsYKgxIMhOT9ztRrnmDlZfqJRXJ26LpWfYayc27ZophtoR7Ns41xcMaIcmU0lFXK2Er73ynYD
FRCFfRYVJwXZEh9MHvZN5oaDl9Ge3Rpdptprp1gc29l1T0ZXzWNeO/1tQtPqLg9NvkV987SuZ8EA
gl+DTCgSAOAMQ0rnfAnGrIgmXVT5qZJ9nnl6KO17WRfy3nak/6HZIB91l4NwDXj6MNtxqM9qD1RA
zbfaKaGG7MRjFe8bzaPyJjVdmfuL6/ZhaEAS7zluUaRbS7gYgtU3xoOOop+E9dNwIs6/cR0AXN0E
Mj9lY9WgbSRGOwHoFj+gciNOYRn36b5pxuGnppPxg7x36K4b2mjLT1pi3NXXQIT9lKamIEVZtyun
yPRKm+blSQwByG5IrtWhNWVxF8g+0V4ieVb41pD6jQ3muPKibo66DWt2EQDATApUehhBRlMikXG+
FCDNJwAdCX6sJESpg3gwOwPXwOsmiDW/1tYs9gy3BcZGQR2JnQ8F+HyGx6ZkRycLmjsWZNSzcIn+
xigoXxkkZSR8jYtaZ5M7UVOCcgLnXd1UUV/dBUm4RWZ1bdmWF4ArpC+xgKu5DBGJbTIRfoxr9QCS
uT+d3i08GlTjhmtwZSCGpxMZC6koZetFYxwOIa3z4OgWYXccilaAYNDJj3Ef/nz19oBVUaBuQlBA
QS7hfHtMBviR62bmqJ24vqHdWPhxhI6EvzMK6KQQbiLpu27nmOBcMBHiFYigEH8rGhN6bY7qycuj
XFk1eDWCLckyWKW1P21FVYFxnetj3FDmVVVconvMOD7Vgd6Y0PWhUJxcLCBe0tWyobJR185k9NEG
vPwzrprvCkuMJIQ7qo3H+tpQ8NjxfoIgQ8JrO9+h1qKA4kSJPnao4P/pVq46cOkm9zTNthq5Lj3S
J6wCXeh+kfZes03klJTKzabgmINn28tMWnxIkGiF1+aU+Q5FtvbUWhXvhiYJt1j2ngD853YRgyvE
QnjGzTLV83k6lqdaRDY4DlWchj6MsE39cWbmW9r2Q3xH89j9Zlqbf4XysEu8tkudH9aa8i5ONCjc
HRyKD0Si28GjLM4aH32sRX9ImrT6LmsWj77bjAAmkDwMW49O0DNtFevREJEwJ0G2gKOJmoZs+KtO
FukNOHdB5jUaF8PTuTGf2jmfxW6aNerSttPaxxMRgSy+gyL1KOAM7srKNO8rBgJ7vw9U+IB/H3W+
q2El9lVbkvftWLIJSjyp+FY1Df89iZoqPdnQmWtvqsrAbLx5l84RMkkchxS0IKjyrh29qqzDfC4D
feTWfMpK+9GAawydp87bPAneQgtmI8K8dPkwHlQGl5L6copWe8hH1HpJNmuwcMKx7Cc9HPMARG4v
3/NroyCSRPKdGgXPb/n5L+VeQciksuWeD2mc7opACz+pc7UBnr1y7xAro7McHgOKD2o1ChtFEbY9
5hIYoe4cCFK/daEv77ls895d2ybYe2SNnpZuzSdY1nUph37Qx7yd2510x+IBSQ7SeVQ28S2SouJg
m/JvLSNcZ4UnE9n4tWKPTsI6gO4FJphqe5PGUePV8dhvbNalu7NgS5aHGeE/lnFZ5l82CzwCEZ87
oo9aVZGfNqY7TFPZ3ZVD3b8NZ0txa/hwZKFmt22XbHVdXon1URFFjG+IUIhF1lEIkLWDrcfCHNu+
aHY9css3dRAyn/ZL6DNP5dEaFyiMId+XXRM/Go7Wv41reO3AugJJK2TPKeKVZf9/WYO2g56uIqk5
wu+DmBlr6uFrKobo9V6Di3I48mwoVqMCsbp9WWshmDW5GGaujOf0ZT6jdzLm98Dimo0M2bVtFdQ8
xSLomF3LBIuMBUU8c3Nk1gm+ZLQd3vWoG//oxhRMS7wN3pRd9z2CSuujE87yz1dbAJRAke1F7LHU
QFd3s0wKQL0HxzmOfZMxQNpbtg/RibxVXrmycZJruGEwaIj+1xkzHrJK8FQ5x7qspwcC8qIdnCjx
/vWzQTGcLFXOBdCwrPUvxyNGZ2FZGxMcIfFcnmSbdbuxE6/P+QCJCPwKvDAYNVTEzkcZoyI3Q6+D
Y0dzjW76ud5BbVzsX57LcsZWr/gToghgHILWsnVkgR4gkgtQIx2LGN74rAr6I661eVsVTfSx4eVm
SfGKmUbFEikAzG2RG1nZl4LkqgvTFq7luJRkkNo6Dl2Z7ELpbNWjr5wGgDRwwdhT3myNa+9pEEUJ
q/Sx5617i7KKvkM8u5WlvTIhQ5aa3lJivrxZUcgmlqN1/1iIGX1yVSkfqjYyp9ja9NPLm3Xl3QE/
IzBFArkM+HurazT1Xdh1CmunZ2EhR6fJLknq6W1aOuq272P6kQddtZF75FcnqAGxBFMW5riu1WQ9
yvRIeaJta3KL41gw580CYvoJeQV6n6IhcrjrW5V+UB1VDrpGGrDbFjQYTwRlHe7VI5N/oLwPtKUz
AZjkNc0wfxlbm6KYjBZR6rddRj5zV0G5XpddG+6yNGjxriIvgM6XVow1CCVCIW8QHOh7M9E29cq+
i6VHIUn/hY9F+VZHxfjZ4TL9g8GMuh7pw/xGuLaagIMMybR7eSeueN54IlFbRekdwdi6HSAapy6o
+aSPrdPlN2Bqs3edy/K7IqqdGyiA0GOatIBAgHZwi7HxyqnG0PDVIPULiMXTdv1ifWw+ZlVlqT5O
xUy8SqX6OGZD+/q3CTARHDOBSgdSnKujlio8q2mFCS508z7rbIZ27Tj0W3fYimKuna/FxKEKB41w
d93DN1a2gIBUCROE3q7bkKYdhEtj7otaiQ0f8dracRB0IUxH3GnW7dtdbgl4Ajp11FmgHvuKCW+s
VPl6rxrTwJotiAn4vKtg03VskaQIco5hN9a3NcSj9q5uvr58Aq+tGlDnOAALVhwx7fnzAMcsVkMS
qqNVYF8JaCLuRMXym3RkWwLFlyhYIOaBfof0PGrCSAqt8igwz3AJxxEWoI0mH3SK4Do11X0sw9KH
VibzwsmGXu0Wtznr0Ak1ncbSfn55vle/hFwaNBQFXhDhxPmEyzxsnHKA0w2UPKKIKkn2ru2CHZFB
tkPmzOw6I79WaIp+g4117kQQpjeB7pstmq1rKw8oMKoKSJXj/q1WQ7sIsZ05RoCPpowb0ffZbecM
wpdczruXJ33ldYYHjAwMCo4A417MmQYGeG444xzn1UeBNfwQDbm5JfAGTm4m49en5cxi5tHNAFcN
g56vcdH2OXT2cHJnJdqDUQk6jiG9/Hr3GqO4qC8CvgiXY5n1LxZMkFq1SSjUEcGnuoXuHj2ynNUb
FuzaXV9MJBwN3HUUbs9HiQXvI4gLucfG6SGKnroxYgixVWe69iQbDacWpeElZFllZp2ETWFMHPeo
dEVvGAtcv4HAgB/OCI1qMcwg2y6aDWWOyxMIPA9iadxE1IPwBJ1PDVhhGqPhUR5VQzu/V3W0U3na
eLg6W8b5yUk6dxAxFiwZRdEO3TFrvjenHZQD+WZxjMreBh7ToWGHOagVtMgy5A+80pr0Y532aJ2i
qgO4OedBcy/AyqM8FmbIzTMS5TehOxDQ8wYV1FI1mGKs1zdFO3szgSQL3v2KbkQ8l3dHwVdCyn4p
1mrUNs8XyeHaiQDdd4+ChaiZ5lP5ZnDz+XZIpfDSWjhbhYLLA4cBkcxA+WxJz65p5LK4g6h1WbnH
aYEAttC2uoPEmt441lcCZIXirETaFDEjgIYrO5gM86ALJL2PrQ4BHw8rUXtgF2RoTa4RF7M0uhtB
vbwXOlfHDDpAP01cZxvf4tpckUVF/gOISnRHrRbXBJCkNgl3jzzX5GasxJ9TM2w5WdcGWRqr4HOi
w8qsrVFPCORPECUe+0xBy0/oede6c7R7rY1FcwfyUkjnMDwta1cuAOzH6UMqjyEIsX2gbcQBFrL0
c7jgB4STWyXja5dXEzQrIa+I67sufUS0pQ3U/cRxBju514xpdRxyB7xs2mQbrvuVBURhGilapPaA
glubQLeS3RiW8BFQXep6MHsP1alF+xd9tUFH1QNhCdJvyGbA9zm/auj+rKKpD+QxRx3mTeMCFpI4
6fuX9+nS0uLDAQ5FLRB5KbFmMYBefIGD38ojLxsFrv8OhYmAyPsWdBm7Fsoex2mu3Q1X7jJtggOB
mAv3GfcNrRznM1OlYwYCetcjIBczGoB60n2eQVnyPRp7A2k1/PjRGZop2rl1ZL5mE2P125fnfW0T
lzYZ1JUwdRTNzr+C1EFcm2Y2x2Hq3Q9VRM2j6DbfsSuncjEqcInhG6Pquqz+L28ywkhraGeQixrc
D9ph/JFUY7gn7SZPz5X5oGkPl41yvClo0TgfCaUYgY7bIjhWcCt9NGrSXVgoZ2Pjro+CZVv6xPCC
rY5kyWybV0kUHBOEo2+hZwWe6YbmG7iCa6MA2gdUJkE+lq7jiSx2Z0QSOB7S2OCBTyb3miyxG1HL
ZbAJlDcApgo+ODAma1g9dRP86aU+Zqqqbt00bG5gbdOTNAlyd3013g81YQfWl+6r/UGMjAZLhm4t
NMCtmaKGWc/IGabIdJWaPnS8rGOvHqDKt2FArtxtGGCJdq2lnwZR//mZiFFxzrNsLk86ju2JR4HL
PAOe19QjAAjv0iht9lXQyf/0SJ+1SL/YprrUWYCyAxwJ1VT0Cp2PK1JZBG4Y2FNWUAaeIOhdJGhb
3TDDT4o/Kx9KIRIEGOTppKyJF6XbQncOtK+nbJ5mB2390HbwlxR/BHECWt60+cChXxBy9rN2tPue
jDzpvW4Y5lMp0OHqT32RxbvImaz2UN9i3JekKmMPPlmb3obZHKW7KZnmr46btqEfVyXhh77LhtFP
U6k/AicBZmCKzpLAH3UHctOWBy09tDovEx9lZhbthy5in+dgHokXRNKi7x7m8KcDqEq2Y0qDQzaP
VUywI1E6vK1Q8eY7KLrb9G5Mgjrx4GAHnZ/GUn/ILGlLr6rBnPh7PEdq8PPKBPkOQj3kazoJSnao
jpPuljhlau/aabCx3+GRAgZfRn27B7I7V/uyRfOBz8eqm/ZqbILCY3Mcfw1FR7Od1W3VenEQjl+n
tlQ9Jur21FfjYD+A88u2Ow0W80dRigSdKCNUBuJ0Bhw9lg1Mdkt6qJoWNPkdmqND5ifITyMtnrOs
hyYJ2oYfXVWIPxKV9+6bMAijzEMLLInv3axJue8UefkzovqdAsJMFxzddKlx6ITnPM6yWyszUB+3
FAqtfotQzRw06elNGdYGhdIQqE5PBFn2k+e5c5prEYw7YEfyAN1jcfD7y8/Hkyu2OnwLogvoB73A
OtbpOz2EeRclsjv1fV28Bz4oeKMLl39IugaK02HUtXdgjx5uleP0BwnasQMIGOQDb2vteCILAzAV
JOYDJVm3ceuvfjWh8LyiMoH+qHV4SzvbYvWL8dTkIn07zR07kaqfHd+xaN0EAhqi5T9r4ASmOwLl
JXhLedraxyDrUpxmlRXfLSQ3/gpyamuPm77Z0i2+tO9L68Ty8iO8A7xj+fkvryIf8IpZNJKe0jwg
td8hy/8gRGm3IuLL1xfjuPBvgPFDZ+w6U026MjQDyDJPXVWouwbyYe9oydgBaST5+eXz8ITgPz8P
GEsizQY6A4GUwfJdfplTqaPGkoQ0JxXRlO+ojPuPpg8zsMrbrMz2EGWs430ftaAIYAz18KHpxT3H
2f3EtAU3bTzDZ91lui4exqKzEmJxXVCBKTkmxW7SE7rte2FGsNVrsKuHSQGuLFT4HzktqYvSfG7Q
CUjzwvVH7Fnqp0U6fh06CXoAVNvC+qibuTfgE+/rLVKVy3cGfHkLBk4tRVT035zPXc5jl8gx604D
DMKO5Wnxs4zb+GaYp+IwoGnFV8Uw7l9e8Wubq9F7BtjO0ie/btTkrI4TuA/daUohUKVEHt8D1zMe
kjh0NmLeK+cVgCokUdFmANjcOjHgFjGsJY2aE4507TczC+7KnvWv9gqQjQKqSi9YVDjiq1sxo0kP
De60RtMLtbuhpOUONCZb7bVXlg3NynhYFt8HrS8rv7dzqY0TGtenVPTMzybd+V1rh72No61A8+pQ
aKTFdJhWOCHnxyJTYSbbqqhPjgWJGEkJ8UaCzsSqgArWy4fhShoTsexCGQKHCjm2dW0ZHBYVVBbg
6qB9kHvjokQjxpD7pdNH78dStO9Q1Gju0bEZJx5QKf3slUCe78Oy2CKBvQxuUCpFxyb8HmCk0Yhz
Pm08t04LstkaAEunOopE6AcHnakQ9OMZOsXCqaoPZT6FtxnsxZ50rbPxNl37AmhEX5K5sHkX6U3W
WzQaGFqd6oEOh6JREgqhKZuKXZAX3TfHUZg8bcyhwL06RID9b4AdLu/Lkh5a6ihwAVFhWkUJTinB
9oPesJMu3Qzcmt0M1lqeH17e8yujLJVOMLtw9IoBGXa+zsmYOE3NAN9mpqMAboj6tpCkffWtXHC9
KEGi2gTDvgZOGG16NiEAPVnSOXuJvLdPzKYFvTIXoNVQBgCEGzXPdb0Y/RdplEySnxK3tQsStdvj
HXE2POaro8CSoZ4KLCqCuPMVg9OOxHeUuqeoitu7OabD+wSe3daze22YhaQGJRpcfbVO3mataUVt
ArAyFGnzWPdR+GYeE7WRrb02Cor4OOHYfA5PYjUZW6q0g9Taacoc1JtEVjx2zkg/vHzInt6u83fd
LHE7wCRLef0CUptVpkIsGLunkhRJt3fJ4LxjIjK7WLUEaLvGvJ3GvNvpIR/3zdSXf7nOYCwI32K7
D9MsP3RQst/zBBr14D2ZdnGaKCh0/W/OzqM3bmRdw7+IAHPYkt1qybQs25It2xvCaVjMmcXirz8P
dTcW1VBDFxicxcyBqlnxC2+o6yPhpRbZs2yO2ACJK9kn7ZFKnLw1ZSeRiAUUZOgdFmFjlR4qUNAX
Ls2X9zMdb3J4i66dDSRpVzKYPYso3SvMmG6CgsHqBRGOjwNGFs7bXx1KgdR8CBB4sul2PV+sqclm
riED3pMM/B9B7iZRyzX+xUwz7fD6ir0MRvgUatPU7ykHvqAFrgsl+4Xch90n6iMhr3HXwlp7wKdT
UDl30v/qoJIXbokzU0mGTbt1u+5gYGxX8j/RX1JKTzWZz6CtKq/XuXNuHYhsVahm45JX7FPn9tmW
pPsJYG2j+TxpA+12vtWaWlX2rowr0bp/arQO1pupSMwhktNQJ0dHK1KQ0nU9dFHiSu6Swte8Y9at
dnbAU2aNQYhZP8wRxfx4CBD0CPrVKEJA6dibWOYg1gg4SfLfKIrOOBD7dXFQFJoetk4zdEeplyR/
bW1CC8sVGV04mZMZRBla1+Oh6sc0i2o59EGkObNlXs29VJ9fX+QXh5/shroQKAE2FZWG3dYddUrl
XqEtseUl2UcgIZtRzsVy/ItVhZgA/xhGrQvJ9EUAk2h6PtQQEWKnsxHtzGHRdLAWrpBhvUjG25pL
u0WlbEdBFFwNV/S+fic8fQwCzc5iu9ZRAtHN4WCURnbKOtvMIndq5Ue9l/NNXuXWUXOmOhSI4EQN
sgkXXu+XJBteb7DjtIM3ibEXfWmRrX29KXrEne4Nn8jsTSP0gP7GlWcUeSg0P61PTT04v3vfWL74
DZotob62+s9FrRQ+qpHm64Wk9sxSUAgHOUHgSndkn2KMeLMWwveKuDdUinL/bF6VS50fC+obb432
+XwQIGSN28VPP/D5Wc5mNSEE7jPUvM5hjtlPlNtWduGaOrODgTLApGemt1R4++//3BgQ3DyCMadA
I6H0QmMqi2jwqvX4+jl5GRdTH0NxijcM3KVOIvx8GEAtJKydymPe5Dw7mrM13Y7DmFOH8lniMAnK
1YuAsaXfA7k6eVSkvvZbFaq9hzig7LfGbPwc8HC0V4G3W+7e7qGoJC+6phWxQs742MqxOi1jd6m9
cG5ut4XbsEREwXv7JKwbB81P2iJO1m4+kl7Lm04204X68TZ1uxNLtmHRc/dBEnBLPJ9aKlOJvZhJ
FwOqzw4BqTzK/81wgzxLHdVOY17YMWeOAGxlgN5A6gjv91VjhQtZv7qoamBCYtwkaE8c+2WtP9ia
2b41UIRjt+XWtBI2Jvu+QCNX/KXkqsPpM70m7JOgeVciW3HhEj+3OWHFbohP24GysuesmnIh+0Fl
L9baKYDzNdjVl7RwVXnwVJD+MYMG10qkCv54hvK6cOypRYVTsLR9ZMvCuCTk/SJyoKDHxqT5CyaE
V233iDfN6JZduVTxCPrmOMPJ8yNsLcdTZwRVFk6MCerBsi8lr+fG5YXZ5BLA10JIe76RfH8EFB1o
ZawPrXfjW2lx0OSkR+20wgDJjLV7b2Ctd2k/Pflu7TYwxH5uhk1BbGvIPR83WYuhM6eyjlOzxzeE
pBhUdpkYxj27WlRh7g/jx5mCpvY17UT5G7mItgylsN3fWoU/7tEp6jo2aneF8YPp+RhZhSh/8BXF
j7Wcpk/FtLYnjG4XLxrpOINhQMDSQ+wqM76D7s9+9oOJOATdvfKgNXpRXSPCCH1obJu1OjbmkqsQ
VLpcD8RXxe+h8imndb5Vmoe505wvc10nOj8Togy68cq/A1+U3OitNOYLofKZG4Vklm4DeFQStH2x
qTRSZfZS1mgUOEnkUVM9Np59aQNuE/58QZAG4dkB0U3H0N5vhHJeaMybdR5nBRynDC7QF2Ai2f3Q
VHZ3NS56KUKtK9Y/RWW7IaTM7uvrz8VWmtj/AHbExkAirdb3YSxyBL1Ra36OukvKS2+6XSrCIJP1
H98px3dIFAfvxDCqNFxd7dKl8/IYcNsQzxmwn4Df7bnliI1Dc1rLfNO0KMNF5Ne2ORjYlys9FLNi
96A/9+Z1ZdszFpVBRGCAvj4/AqXR8eg6PI9FMbofrbyB5VThNP/4+rw+yZHtJpYUkjFAzFGQ2QM7
Gtdd26kQfdyNWXD08z6okS+cpz+J7SXdoV/8YYvb9aSNfPS8MY4YlFVFopbar64ZwE1ojUoIfNAR
TMMZPdLfvgjEdMVDUU+QY12kBWYeiJ+zDTzqzS8Pun8QrgGLABFAquP5LCUBGa3Z0uvI2BdXGHT/
CTLrMzGReSE8ePnEMRAhgs9J2/Kp3XJY40LRI+ip6ULEn8Ja99qDb9VJXLW+/9b6AVEIq4FaAhuO
AGf3fDttawvkt8dYzL4ey1LoN0aG4daFwHX7M89XHu4/MT3df5B/RJbP5072WRJYQ1DFItcmeOpQ
5PA0WvJjWwGwzHLNuoTPPzOJW9MHYAskDGB6u+ekz8up7ReniosceZM5cGaaD4t5XJ2Lzqsvr0U+
7p+hdog5uc5Oqxq45LrT9YfVhnSoprfrTgI2/HcU8/kUKjHWhiW8Kq5IQiN99aeDp13UOjw7bVx8
LkIK7L99NcTWc+n6immr8vFLhc5V1BWGTd0lWU+v3wZnZ40KPOrK4A1hvDz/HhC0xHg2I5m61d14
WtUf4Ur6Fw7ty7ucWftnlN3a2GoqJ2rmVexNnn6FeYh71bRdeuioKnwqzCA/ACcZbiARvRm+QRS1
4RqAhDuUM/d+n1kO06uagyb2ggGJdqN0D6YS31+fxDPLxUptgrAkzURPu88TVV9YlJT4vDnQI1X2
+fWgiurQ6GZ+fH2oM+uFRBHRGQqSyCDtfbsrp9eWFpBGLM10+FUS6MfSp/bw9lE8VpxiNnsCKsLz
XSG55pM+ZRRVT7xCQDe22KrxHt4+DBcRh3YT5gPE9nwYr4IAKJIUJKXuG6F0PHlA4PCSS82Z1QHE
TTEbLW2It3sBt8oRfuvbdATLfhJfjTlYj1Wg1D1i0m9PpJEwInjeOOiUhPbputU5WHppJBFN4pun
afT7Y4LQx4XTdOYaR/iOLyI/BSS6rz+0hEMCVn0by6Z2Hid/aq9UhifzUpT5vVdN4wUewpk9R05J
RGLDnwKjtrvz5t5vdRW4bTynk/3erUwVeVWTX0hhz47Cfvu//gYyOM83g6i1fCxN1caaZbZXYgCV
6etyujB3LwM7GnPsuW13O9A+t83yT6mjdH10AhaCH3+osk+FXOlni0lFeemNdwPTepq1iyJ0Z5LL
jWcLioyrdCPS70ZVTro07hoAfmLvvHNNmXdhUrXpwZic+S510/TGAMJ+a8x6d0pp/tx6shse8i65
BHc4t3c2lVqQ+TD7uUaef7+nEiT5hqSNh8SAz9XY4tTlU/ajmuz+CpCFfynmOFPBYy2BpjAmSmcU
i5+PCM9ti3qXJtbLNva00TmansoOanFbjIvBGITIuml3YvKDY1VYS2jJNj/p/mJO0VJdctl5ig//
iYEoPSGe4RNo8avoo++rPq7RaebSp07coZcbLp6dDKHZAHQaNDt9363lGHmoi93n6WLfu9KqDkWH
mJ/I/OUBnJkbijXQ3hb+Pf0mnl8609u+pDL2fIpy05Es/+zEhk6OU2RQvQZz0q5ev2139+DTKAir
oQ8MJA5Izm4UrBNzt/cMNy4pK25aDf5ViTTiIRkt4+b1oZ4onrtZphPKPQgClPbHHihf5boxriqx
Yxjt4k5OtUmaRuDbR6Kzs4dsHEiWkWb0f83WAN67szGqQmhn7lI8D1esg/xRZBFexr4Me6/qfje1
XotwrlDiDpdR+g9qNpEhrZMxEAcqN8M7zenLv8rU9Ie0N5wyUqMAr16o2kkjoLfKuxq8ptKjkVdP
Rl1rBjdY16HzJi1zKSDA+ckaQgWuZEQARp25nSq6ZfVgGUVEt6X5Ua1+jw9FsqzvZLnW8lAUqxE7
s+g/mfaEEe84WnTLMtAgl5LDPSeAOjDXPZU9LOkBvEJDeL5HqsrPbVUhQ2bXSwNosiqD27400zwk
d5DH2avTG7dVXbQoTtcmBNVcrWVwCVt09neALKIDTUtr6/w8/x0UONNNcMKI694EXNbaGT4U0mha
7QoRZs4saMJgCnWoYijvryuigauw0ab1Gse4oGO4ezKe5gRcA3VBXnVABrsdjT6BaDJgD7FQ0v5Y
WKL7OCHbcKEHcX4UUibQWzAI9v1wkBl4KWk6XffFb688E/rnojf5hUB8f08+fQzLyubjf7Bt2b0R
NeDR2apMM9akWrJTkEvDOc3SGn6DJekffX8wvig2SY8jcS9+QnPsQVQqmT1yf9b35MVdHr5+jOmy
sJq7c7zpam+aHvRhaDo/X22BJqEPxnSNh3kefmgswh9Iy/m9BPAQUO1KBkSHg2Q5ughFVmHZ+GkV
VppT16ekrqo51N00S4+J8NqVWttgzVeFRhObmoIAf1qmlBsjs5i1JtS7VafBp9nJErp2t3JVWN7i
nYy+lPlBd5bixlHe+nWdKsRqZ3Msr71ikZ/cSQAn7Av0qiMHnsddW+ldEWWmDrG9YK9OkZctsoik
CDKBuVeefABahW9Kbw3DnejF+sPFcNy4mu08A68zdCiQQWLS4Pyv65QfFEZgaNc2nXavVv5sWJQ2
PS9pdf7fxKFmc+z7FDQNfmr+7yaQSENVSWV+6vls+2ih4NGEACqSHD+GoJWHfuu8HVjJ/BG7Budb
taRcVHrj1igyL61UcKjs/Jvvd9OG0vNGbXMeHm4rHWTfUWr47tL9DKYHja6qGZJ7jFcVOIs2wt+r
to7Z1KO1kyVVdW9JT8hDZfRMcDfa/RRZ3Ip9CBdgbg4NIjwc2GykluXo2GgEZWB8GMwl+Wk0zV85
mOYXITIarLIR4oNuyeFqVZjT4ie3gLbHA+fezr36Q1f080NCj/uxc0ffOiFratxMU9WzO9wku+7d
YfoP/x6ruXKddbTDIChp7BbB2N+l6YRvQ51bqFKXvk/uZGvFYLzzl7zBytwx8xNm7VQbpezUchKO
Of/2ld330dKt3aM+r8G18Ib+j5uuixn2cNnBs451/9PxVctuTKb6vuzn8SYxreGP6PNijNyg9IEo
Oqv+u14N7bZv09KMmqVXtyM9xO+jkXcneqPccJTeG+ewYcZFJPSu+UUXndqClnVeTD1ZjifQv/rH
0tKQOKycYPyuN13+q0vVepdP7fpTohzwWWFksoZDboNoXpng0FGiRoGzyuZjlrn1TWsXxkOXDWOD
TEjifvE5B2s4DvpYsh1MJzaVkn4k5VzeVqnb3AejZReRqLo5DzvbadtoXNb2Tha5nofDZHv3JfSm
6ahpWaIRSjepfT2WjvgaGLV86Co9+YlCm39fSYg1V3PgFesh903tcRwnHRfitm9kZGqz1URsZFN+
UvR2PuNZjedqg81rG618UnHyB2tablMBWPFQN3K6xdnaflwbE3jvgvcsAQ2Ylb+Lm4JEaWFbDddp
0RvVfWlXxngrzcb8hZnA/OCAS8sOhuqQEfCMVE9DoxKi/ziPtn6PtvO4AVu04NtA+8yJaNf5RmTO
S4+zQyZXESmvCeoPBb6TLc+4LOsQb2DV3Sphjx9FXvH7prnillqK0eNGqRvtVpV6jd45qgMEGzKr
3HB0WhglPK99BDVIHnUnD1bkEMu1Q39q7b8gkENNsC+ce+Vq7m+khAudJ9/yHoo5bf4Unc0+yJYJ
twyjbCfa1ZJC67uxybI/xZzI9HM6tMaDvvh2dnRS+FRhYSD28M4YFpcYfOyqW5SJOiLNPtexIR39
QkS0GMcskgi3/DLBLKuQq8/8CZZxTT9ljlEVx2RuxiBUmj2A18qq8v1igCf8uGkI6yejGkDu98Pg
ZWGbp8V/ADKCJBSVs4hj0eT+Xx572bErZ3U9TCSXke7WaxLhU2j+Z8xyWq68edIAD0GVan4viYM8
sZPI74Wh5dlhyp2uCQM+jMTGTNqfIyRz4Knw/g4w8oO/xVDQCKmsrGqipF2kDJPRGZww6ARshhGd
7ir01BC4B62txRy2S8M7YGUakkAW6gHXttfh9s6mZD9Wk25dW07fjqDXa/+bWIclMmF59JHUU+1d
6dfzN2i73pdBl+tX0Cia/0GZgfZd18siv1oWcxRXFrinMdLyLljD2uynFUROx0WfLkXyuK52APpo
qriZx6QAw6zg435JKDP8yLtxvS3TlTdlkDkPhEAEkBRyGZP2wVWqKq87IY36ts6AoRzMvFg+TP0C
FWRqtPwbHJfkawYePbZTZ4D1kqKPH4IqNr6bGWa3ba/xDGn9mn3G8UVLjxnAndiQnW4BTx8X+4Di
HsLN0dzVbRZPQrTyWoOb3N9yvrGmmQ2xOO+LYVJBCH03x38JcY0gzLTa/76Ws79Ejb12hM1r4l/X
mZ9+Gmurx0wN7f7m6BbgWCD9t+nMilauiEYtdc2whbTDCU772j+AJKjZ2UXlBid/yjcnh4zn6agN
9ZB98A0BCCYN6ik/jnyTyUK2mJv6Kl8/pw5ECWL6wc4jkesmAujZqN6XwqoAigObzQ+bvk8eVrmR
/zeZxLNhrtUZHLJuNQjc/dENOJtJ+7h6Rd+dlEy0+gqMKS991eP1EGFHsl4HCS3dDzWUrjJs/Nyw
7u2k1jqijbLLboK2068rqtJXne8KceDfJki3jrTqT8PidTqoo2H+0xhdfpuOU1KETgpvJZoIiUfy
1JT9OheyGCKjcRCvw8bPkZHW2+Zjby9dQO2vXW9tQLY1j1GwuifETZsP1TD3zWcxUI5CSthEGN9I
eo28hmUawmTFx/lAM6C4E4HEJsWbLY1EZ85+dCLN72ACW26koxGDL0Ml3DKahd3fQ/Xo9QPNFhHw
K41Vo1A8Gz48GHO+Rtzb7iJa2tZ/MFVH+zh52DWclka1fph6dnM9OA1T3BKhvK+NqX4MKJ3j4FDb
K+ct9dzboLBz/nJLXnzo/U78sjTX/g87Wbo93Gia/nlmqRbmI9PU0SISI9haseKKWlUkGPRyMQVh
M2+z2CRNYEWQd+a/dVbN/yWO3Q9hu7XmQ6CBkk6v6y+HTO+HT4ufQz6n/F3+aG0tXY5VlnsQu5tg
UdcVrntfFbniAtIsccSPxB1qeespGrrhEpScNoRyWmooJINh6hf2w5pkCWIS0tNFiAB22x/tAJ/E
Ay0s8UkWQfFLAfuBByHm9w3gyp9FCnMLQdG+D8c1yz8nq9OKqM6kRd8kWaYmTObW+SbsAoBF4oya
GWrlaLyfsintQ21AVe0wjNkm/V+o6YbqSD8ja5Y11tUqNsnDjpBlCO16LkAU6EbqHFwsw76WQ1CM
N6qu1W9ioyI/zrj6vavz1CBH3hAZOAuN+R36CtMYLm1pFSHsXGlAYGrU3xW5gizUaOs2h2xSJYEa
nYYxrAc3vccbUuRICqXaaXIXyz9SSnRipx54UpGeWtpoyfHxLvUe8xDdLfD1mDrRH2fMi+oIolHf
HPQkkR+KNFDFkb8mv0popN2nIK8I7JoR6adI5hrb2R4rpGX9ZkkI3sp5wwFqTgMA3U++CzswsxCG
GgqPSZban4YpmN+nS4szNRw9ijI8qYMdisYoaMLPVf4XOn7VH/LeNN6JCcDSISmthOOiRgIGTWsR
iIQtPP8AtzLapPN6/dG0Z/6+ROQKGZ264KDVmSmze6uipRlhrSG1EEhIj7xJusjqui19gUdbkPk/
XCtzvBC1dIW+g1TZT8PVmgEgQBdgAGLjghTaPYr0kWfN1RA7lT1/LBZFPl7wlFBfSfvgvuzWtb8q
Sfv6Izp+9Z96oeF9sGQWNDfIHfWPysib9lAKjIV+qXFt7JM1CB7RtPPLNuoF0mNhsPiVDGvNxVIK
HQpa0PVCeh7y5Dom1+9Q/62sevqEFpJKjqVoxYND/NPi9Dtry/1oFMHPegzSv7iiFt8Np+LEqUWh
cp+m3heRy+S328/BKQ9gCx2F8MnWq4UFuV3mQuFWJVCGPgyda6NAKjLuOZBOiR4txbBCKaqZ5MNq
zdI5pvCzQCNQ7euOLUIQ6WEuldveTSalzIh8cL6l6rkpRE6u+mLjgtXeJKiFy/ernOe7WXobxKez
OMIuL91Hxx88GS5KM1LABr1I/tp+wZfn+rp8SLWiG8nqEMQLrRwZEiwLHPGFG5yeNacBD5zZKK0x
dBfD/TMlRnUi6k/kIVVK++pJy8/fI82CxULZDdOdmUiuQY2y1WdTDF5wGkCTi+vWbswv+MDZH6w+
cIa/Hlgu81BoA8JzdZ7VXzAxZncJaIHWUYokTwiRkvavVjeUNmXfQIJqQCHzkwDrukcNyaP+BrkD
tzkgMiesj6VXud/h7as5aomGk5D0x39UJdMephQzv3rN4D04eZrrYVD76lGk/mpEoqCxIIOloNii
rcT8Wpf0FQIdevcTDI3+vvX1MTusytB/ekPd/W5l0SONbCrng9O7EEwDU230bOK5JOo8t/7lkzp8
AONDkAhtZ05Dt+6S9HqFsHE9jKY/RI25jv8tm+MZxjFVkt9oY2KlRwvLCv3gIMUxQhitR+v4eiFi
1z/caiMgv6AQAk7cMBlbVfufqr2Gk0Ey9a0Vr/z/3tXt3G71c0U5RlZrsRwDu+wcorUxyNg4mbok
ofeidEoDkeIuapGUsg06CM/HpwCDgl4DWNl1+zbKERiOqlQf/8i1Ld8oHrF9KzUg8IJPiGJEMZ6P
lQ5VjUVco8d671ifUUlwUFdx3GvO1CV1yl0zYBsKsXO+CpAvvo0vUINbVaYE3ByPrfWxN5f6PbWL
7Ah40/gxBfWFKvfZ0aBAbj16hzrhrnJoA70e2tQx4qQ178plM6FS1Elbai+nvlWPr2+ZJyv4Z6Wr
TREIOKROFZrG3975Z+xGt1vGbImx0jWLgzNVqXa1dHNxBV9azw/amKa0obWhJJjw3KmPNO7cR1Ha
1jeDMFaGU+KW+m3vixQUXrfKb4aLQ1Mo6jS5RBR4ucEAgGx7bLP7BSy6m5vKVwtWZPPKosOOVyRt
0ZIslKBnzXxbn41FRyidMj/lPIAF9Bt2+8vXLLE1pGIE/Yzjoi3NwfEn6+Pr07/rsz2NgveDyy7m
k3DOeD6KSLy8UVqvYhfG6TsFUO5utpsmdDSzf8CAyTiMg7ykrfyyUosuO9YtUBKAN4E3eD4oFAJj
qNpWxYPSjSgx5ikKKHscXv+0c6MAi6Mo6tDNg4v1fBQ/qf2VUrOKZ89vCCED+7oS69sgBU/zZ+lo
/Gy3HhCM3adMm1KbnQ0q5jHQYxQaxHGGNPGIwcT01r4QGwImIkBCOgsoHe6G6pQ+5BVZVoxSqLh2
mlU++C7+OpNFd/BCRfnMPgf3zUfhNYoovL6bu3XqvAxRoTUeyTgPOABS4mrX+shQ+YXPenndQBmg
y8VWoPMK8/P5MiWNZ0ypi8dRR5nAHEfqvZg8J5qRUB2yjQub4tx+BwMCAJuTxcLtPqzn6a29GoUr
XkyFNdGCcCMY3eRDq+dUx9ehRHJhmS/sknNb8d9Rd2+F7uceqXaFuxkaUQ+12T0EQ9r9en2/n1sz
eitsws0s7kX7n55XMhLCG3iYKHltOl11SgYt+aGWdfrv9aHOfs8m0hTggfHSa0cNmVVTUTFiUzNm
wmTHiZJkXi/cgOd2BvgMUMa6C954v1bguYtaeTh39rNeHdfRSW9yKt9ZtBlmzGFnKlTm3/hhdJ3p
uQJygb9JV3S3UGaREJuk+MAYWTWcypFyZdB3xoVL98X0baPA9wWaD1oDwu/zLT/YiwBEHdB1LStx
ZVRzFxHAF2/DqT71kbcl4hwTPMD/ej4K/jp1U2yjSIG1jjDaPqz6fPr/jGL7AAd4GQF8bgfun5DP
T/3RaxvHjgdj6Y5l2epYv7jNzZvXBYVnwG8w6oFD7GVbHOL4wloNL85AdR/coqiiuQzKC9+yx39s
UwacGPQR4E4d2MHuzbUrfwloGnnxXDvmZ6uvcNRs14Dg3G5Ojo+OvFhha9TSNo9BmfmnDmuck8qB
pb/xe7l4wfWDoKWTTN9090NklffjgN5kbLiYlnfj/NX0huTCXfhiG26DbKEyj/8TeeH50hVJ1XQp
/oZxh2B/RDlUC4WHO/rrn3L2WtqeLkRZiCb3WvmqbkraIIYRa51OBk1j4UDUmR7dzGkuPCXnLnd8
s7iY8BbmOd7teNOmfApchRvQMKl9gq6+0RNLvStgwt3xpT6V3Uot84VLY3szdhHs1vHf+q58J0Hs
83k0G67+QWLu6heGixJaL09URwNSrL5MptCRWfm1NtfajGqDFOnC6Gc+GsgugU5goeaOnsjz0bEE
FFkCnTM20nz4kSL0bF+Zy5Re6aAosqjvK72MWtvtLoz7FG/sPht3AI4Ml4wJNWu3R9vewHvBGOYY
V83yIesFGnpZm2TZcTGsTj/V09B9r5AsWcjERAENIZiaT7ZTo6KkqY3tmrsplDwR1NU1AoMOnXvL
bhHkcQL1Db0VJLxm3xjFYbDt4b4Ejvojz0z3F0IJ9NJUrZo87PM5TW67RiBQlfq0Fw/2pJfI93RK
fTW1rnw35ZQ5DiscVhVZVWL/0lPpyFuwEW0aWhisqdCa9f6REq6WHUp9lt+B0ZOgUh827UOfKspi
ayrQmEsKcKmR3qvxfdUsagFX7InvaBtRGnJ8gVByPVto4dkdpcSS/HQ50NNKv3tGOZZXCcY36EPi
UP9FzM1EhZvPdcNZSiQbLXv4Mcy2uParjTCDQFqN0teSeIeVJvhtycbRYoQ3zOK2m7Xg96Il1m2L
SIwXDYk2f0GoonevspUoGhqb074jIMYNTKGGm+En0Nrfgi6jFmROhfFomVU13pg06ZJI1kb7qSr8
Kg91XFR+FYPlVSejsSli+TqWJGHbGvILL5X/GUuUMb/1Vd0alNMreSdV0RrHSYPmfqRDblnhSIvw
khHFmXuKmMYhI4XIiWPQLkLMxpI2qQVROmdLXGWD7B+kGtgCr19U5w4ScxlsfgJcInvclZ9qyJpx
P8TtMlOegwRwQiSq/Fg1c3+r1x5gBhTXL8Q459Jf9rMHiwzAF+jr3fG1SoPuqpiXuISfe6NkUF61
ed/9tqTZHodpKCLINfrR7y11S7fTv0IFMb0OrNr5VA+VRFCrRSXA140WZeu1OdjurP15fWKedDd3
J53bBWw2ZBs6gXtNJE9P29IuuiUGndV+1zVlflAqTX9p5thH65z9zq1FixKaHjFbLz0u0p4+BFUS
3EzYD9Hm8V16bHodpWljnl7/cdv8vPhtkCn5WeBeAfY9v/6GzOPRzkhgAY8Yd4Vszc+pbm5SCPr4
TVhB++3N421QJnx6CHjQK9ndenIBuaa1JqF8W2I6ataBBW5DJu/poM8N+LM0vQDyPvOAUkwjsEcs
ahOU2I3IjeIMJMtGbCfjn6Lwa+BrZXeovDp/c+XHZCOCkN+oXBtn+vlc6mY1sMyGHZuT4UMTKkjB
mmV5V63NGHqgZC6M9xLkSZBN4WerbpHRAlZ7PqAzpSS1tA9ixwTm0KL38rNtdSq/GlWf0B4046o1
UtujDZR777GlK9/prVX/Et3SPwKaa+hMaBdp9RtEb7elwENCaEPvlorvnjQrdSAjzuzZMUUdJluM
xdHFDuq/IB+W75bXGl8X0JJ0pOvqDuerEWH+wQEu0lj1jS+t/kOXrHnx9jCK1QdauNlGAk3YTVUz
dz0mbcKJi5mUta8po3tGtoS0kC8RwM9suE3nF/klmGB4nW/38T8hPV9uTbxxdtwl1m/dKd3rKXAe
7WEZLkT1Z84uOpNbmYtPw+Z4903Bkvp5gQJpvGar+S1vVX1rmsUxA117XEsjuXB0z3zXEx5/K91t
Cdjuu1qUuq0ZBl3sL9TtREX3DZmUlU6mPlzIJM4Nxe5hB23wSzR6nk9hmtgVBNNaxpOi514Ni0PP
ahbHwUgu1U+2X/18t1pEu6QKFlXiDfv/fKhs2uYtxeMDiUcn7mlHHLJu6i9csy8fR1ZJJ5OkzAXV
dG8evsxOjhJVpmLgGcFHnTrJQwrL9itEWvu70HX3ofVn2q2vX7ZnR4U76G47hMh+O6n/7ERjrYWV
6p6MSwT9MZpb9eHrhObwD6evqx+519bXq8phIL8+7JkpReMVMjen7cnW4fmw2IcLZ5DzREl68I/G
2CJyU/WX8Kovdz/wXN78TW5gY86bu1F8iedWMqL+B2H82NEAp6VKq/iB28T+LJPkklL4y01poerK
HUKdjdXca1Cns6F4SJY59kBQnZpxCa5higxXwVI13988g+hswelCTofnZH9bBc7k2FpvjvGwVvrJ
wYImkotrX78+ypkZpIjCMMBwn9y4n8/g0oCU7OtijVcxGJ8dewmuSnPOTrmNAe26tkDV3z7gpny0
MTIoE+zZ/qqBkZI3vooxRhZ9SOlDPyV2nxw0Vbo3rQAR8fqAZ3YiNsnUySmzbf/sDgB6UYaWITYb
t5VMH4x8Vu/mrPUv3MNnwOKboBOjwLTguO15ZEvjTDSALUWDScKTJyv6pE9wyQJRG1G6rPbpf5yd
x3LbyBaGnwhVyGELkJQIKjl7vEHZHhs5o5Ge/n6t1RBkiaW70Symyk0A3adP+IOeJvpBGuKGsQ7z
q1ejd1qQyqgiweG0PJilYRW+uQxGtCDtQpnX00g4OC6Oo+6WEjHqBOj6+98q9YKHqR3WFwDGN9HZ
8GLNmUClnqKhVj5W4/iJxLS7cdu8uoJtAjMMFqkERhCBTLTJprwpjSnV7OUU92N9t6hN+qkAPBH2
rpu/WB2gvXVGHcBxZwW0c2Tt5rrRkVUpxP3M9Hn0E7Q6wwZkLZq4hvddb/LpfjLU7kPUMMlfsgLl
FeleXdR6fINKdiUzQ1wDQiG5LkLJ0FvPj1bZpCtavvkE1WVmeo8L/VQHgIazf2GQwzKHQwQao84i
dXoeOzBod9DCtL9aF8fukZZP1J+aKQM6oruTPX56+1RcOfeWzU1EVkxhg1zc+Y8bbfw/stVcIMPa
qFPZaXtnjICeUgeZxCxy9BsZ+JUCSA5cpJgfm5MlNwuiKgw30SiWU9mCT0NwCBUlkOxM3p1mbj7o
WQ/gusu99mVxUyeGijTVd0aUT/VDn0TaLwWkyR8m8MApl3nyvg/ORCvg/S+FbAomPAERfdNNqABK
ZXJneQu6vann62Oc+tq8fF5E3u31RKuDdy8nJxouRkR0n5AwO/8GWA2pdgLy6aSvZotUPWLabRyl
j4aXqR+1Sp9urHfl8oJDiRYCKuhSykz+//+kAvHUCeBR2XLS5rkMdGdedlWc1gEoxVvWO1eWkrRD
KJSMHkh2N4/mZIo598linjBHbEhEnRbAdDcelWpKbjzVlfjOSJ/ADrEJzuuW5jipkd50kW6e3Db/
2a9IJTB59fRfb3+rq6u88p7pcKNQtdm+cLjsKDEps7RGF/cGrYzHoeuMz2+vcvna+KddOUiWGFjz
9RD95wtBCSgzYLDGCRegHLhKDAdLYpWNqHBvdE0uHwi3ILAmkF1ehQg3D6Q2gyWwQNNPVZ3CYmAI
ix55196gLXlsqfMAzjhSHnwpZCHJeOdbzl7U0RSzq8Hub765SfIIo/YJr5qe3iACX8XiNP6g3yKp
X3k2Mguag9z2Mv/cXE5WtSpzgT7zqSqietfN/bKbRlvdvf2x5G/fPJuNYjbFtySqcQueP5sJGiut
NEbW0Wxm9BKaMLWNCXUtvaCjo+0z133vbI05F7ETYAlXIoF7C5iZMpIGPc+9Y5N60yNdX7ErkRO8
caK2H02u4tG/AFQCboIPd/5gMRD1TNOxfyznfAVvaWfdTx1i4nOl6z29ZWW1n2s9q44m8EualsMt
TuXF1ckvYPs7sn+AVIO+/YBYcJtVpRTR0antTIDNMuClxktpHhFgB/nax/OdC2/qcRBT9VnDezOn
harZX8H6ThBHhPPcwfe58cHJizef/PV3kd1JFVebjssmH6ltJUVxUouOUSOUTxZ8r8EfqfkiP9NW
YQQOSipd6JQmAkwFnnnwOvocy3RXiBbKWKVB8Sz6GFNIoL9mshsGM0XnahZNzi0/WEMQK3pp7yr0
S37mXuJ9UrJp9u5WlHhDrbCYcgrw4Y2fJUwG4CZ5ymMi0S+BBdyy9WF3qHAzhP2zsDS7QJ48dW1o
iqaI7skn1CPEFNM7qLGT6XBSAS7cR4ajPM59HAGvdUifQNMu9RdcBDzdF9kaAQJWE0guI6pUO3VW
tARwY7YWQR65zk4zsr7eGYpnwUtTl0Y7lplV3KetkXzsWqF9aMxGPOmFDTdoNnM36Osm/9NodKzo
2q8YLaQF4j/7qFEKc1d4fW3Rs+osCBap8MAVNGn+qTEjoI1rO9SeX+op0RHmjJA93mEKHRSIcxxE
NAT1IYE46me7zNLxwV1TIw303py+JGlr5UHZmDpy73GT/qP0qUh9p9C1n67VV49GDNMFiL+Otdro
lp1GrdraM8T5Zf1jxYXxWCV5g2wMbih/W4gDYMZra3xs9VUrgtpuqlNfKFUOzBb7lGDIBoy5cBlz
A69asu9AJ5svq7VEP5pIJFD3YqU46BAuokPRUI8EUW9UCQ4PsWv4uQvxrTFjTSBZDRRhh5bz8o+z
Gta/uEUthMtonM3ALibQyamjzwdvrKLRh2ABV4BhSvGhSAA/5oPhvfQ5fuj72dKVX7UaeaMPz8WA
CDImxZd+gOztG2JY+mCuY633XSBx+U6D/PTcDU327wwc4rvpCbh6RjR11q6eVWy6B08R0WFYTQQU
XTG0Y6AJdf2B/A3imeC7u18a1EikeJt0/lICBEPjTE7AdtHsrD8WZOky3yv6oiTDInXGLc2jU9km
oz4dKDiNgiaFEr+QK67MOTUMKPddXRZJIIy8fhRuXn+ezdmC6xgtKySJSEnHQEmq/mcsZsh/fT4W
L+3SrbA2Oy3516qFZu1BhxtRYHRT92+BfIq2cybT+APOvJ7vNE2pTgnud9U+9fruT16W8d8+zqUD
AKbBta9livYtM6P6h9V45aeK2zkJ+qrQn+aymr7DFBs+DyPDH9iLWS7pemCQiAx51pDgWzPEt44z
wcmZy85P62n6NJiu/pABoOh8a+nhszaLo6x7hy8xBm4ZZ8ZB61tl9Y25BnipwBL4aqZp8XfKzVns
gXarT61XLlXQu2b9PY7aqvVpkLndETtp95fbOu6TaRbRJ6aAkG5oexnwPudZ9DvDaHMRxM08ZbhX
t3nMyAOY1wNmiZhOxCCRn1R1mpWd2nj6Mw4thLk06Zx/nEhZxn2paPmz6LRo3dejMeZ4WCXNvONr
QrFXvMp+jJgR/bOOxu8JBHnDK6v8Nbekih376ic9pzkLFr2Ke79H4f8lVcv4C+X5CMRcrXXFx9mg
jg8K8PnqwWrj9AXGQQzjQERl6wNWpmvdIsP6vStU/c84elm376I6/rSkkuszGKWI4TYt8TfICdQz
S50AhUpMRTF9ITy2S6m52bOSKIgZpvYQf7Ga1Gqgl6YmwN+ii7/FZtK/aDmbZlelHhaIpSeK7yJK
veNAAB72Y0lQ8zUb2mVtzw5EFCVtar+wivbL23nGtlTjDJBF01eQtQKN182l00HzKrHohSbqrg+L
V9hfezupD4mhi2OlJc6NjtA2rXldDltzqZAqtRM2t/8sJt2II1ipGojfZ3yfo4eiM6PPORX6DtlX
E3p7atxqXWxTttdV4QJ7kvUP1GZTm2TaMlGRG1rorNoQtlC8DgKi740C79oqaOOQO8keDaPQ88wG
c966V5VCC5Umgl6cVewHLS9upNbbLF4+C/AnWxbYyPm+0t//k8Vnhemi4DDzwYA3nxJPXwPiKfjJ
AczLe/cGhxnVXJAhlNUYoJw/UJIgyCjVP452Zy13k5KIH0NaVr9bGvJPXZJnf99e73JzMCIEFUIi
BNuTadr5elNpCqjNGnIScEp/lc7Q30FBqB8tKDOGvwwd4owTiOIbZcTldwNqKFHDsuWEgad+vqyn
TyvSmIN3tDKig6Fk848kX9IbNd7ld2MV0JPEZioVvuL5KmUEu2pWM6QscZmCeOF4fjLClVSz7Fbp
f/WB/rPU5j0y/i3LnOb10a7XZVdIHI9mFLe8fS/AWDJfRY5GChrQ1GDkev5EcZNrZYrX1NEugK/4
Ksivx5kXJ3xin9RcbFQrDeqFBpVfmB3XhJtDFQoQpjefQYs35Y3S4spzO4C+ORt0ZAFlbWom7ni1
dr3YO6YwuI/u4mofirpSbhzz123439KM52aszEhAOqYCi91EE5qGGibyg3P01gE8S4SXRHoolhRP
qLTV0t1s2dOHbqggpliljbY6WaTxbKiAWemL5PGvGrRpFKimhUM03tQGOiktagQAkWDDHLXCnN+/
w6XvLkXXa7vztfL4T8yAZGwkuBa5R6UtzZ02Lc5uGWAAvn18L18/I2nKOnREqFjZ5uf7IaUdyuXb
WMe1TqcAn7o0SBs9uvGRL3rhMgBycSAoCdUCCODmCkGGILLcLtfDAtL2k6Eq6akF2PYlbxxK4zSO
w9izIF6Re9/r8djuRjRvbwzGLw8zTVcQSNTlGNsT7M8fNccLpZPtz1BUMGgyb4n+7dMyDiZLKb+/
/VavlKsgGbgqKZblqGGrYZirGbKsy6KGVq5yhnCTXZ4wSzb9yYlATw1jdK80aXbQNacMc7S/H2Zb
rwJ0Tqpnr83rJ8eo3T9v/yh5tM+PAH0XbgXeATSBi1K1wl9ESZxODfVWzEe1LQAZOZ2386KGXrQO
P/Xt9a68b2iW9PyInRw/a3OybdQHhQKTG6HaEg19rzT9YVmzPYHuVpv2AvDDzoKXwzCTVpnFRbuJ
nvipCBMb0TnUlC4/eW2LiFqke3f6zE4DSZsGy5KVewAay6M9gvKK8FpHdqKfPscYRey61aKmnuLs
cy16M4CY6N06AnKLb14/0Qd+Bs1P2oZbSd8hS5QCPsgQUm/CVZ3N/dgUnxSh/VXQC3ExaLG6+Uud
wHlUBu1RwRxw//YHuTzruCcw90X4HatGQNLnB6BKgAkOiTWFTQGx33Fg/M0RiMq3V7myzV57lWi6
0hS9IAOAdZ2z1WjncDUj8WIaa/OB7FgLurlOD/myzjdyq2tPJTtD2IGZ8hrZfHqAdTE4R2MO6yxX
PuswD2Ha5u9VKZOhi+gIhJkxCO0nudn/E41XLWsaazbpLtirOA5WOx66phef3n53V54FfVXGyBS/
INe2X0igIKTPKJ6GlldZO7iVTlDDPX7/PmAViW4Axy4bh+fPohp4NmYRX6isbRHY+dAceq1+L7YG
gW46dcwBHXkmgbOer1L3lpLhOCTCFnWdHRo86p2TmlUg6JnciDSXrw1okeQJyakafzYbuyzqTMpG
6GEk4ipcYJ/6pbCSGxvtMp4B4AKZyxiDPrm5hYyhHjOluSOMsCEffRy1Nr6bzVbctdhs3b13H7AU
puB0Xen+Q3M9f3fYtvYe8iRGqI+JvRv1ugqQAL+FyLg8qayi6zTiJXwBcbzzVQxzjtxxYZWi0+wZ
8aA5fU4drQowcGt90dXp49uPdeVaZEUH8W3k/uSYcbPzTL1d+mjhQzl04Z7bqS9OVVIvx7gGfrXU
qP6h8aLgi5Gnzy1643/GcqFjCOn/hzqJ/GRNRfbxxm+S1/55XOY1I4QBbQTJ94trMVuIiMvS62Ff
JdZLxWTvIVG74c6KZXvMaVx737XtvJv0zv6AZ08TmJWeJbvCMNCGUgdtemqUrvkej4n+lFZG/skw
ZsdHcrffdWpxi4179ecC67PkFJw3ucliHCX35hnJxjC34ngnBqP7h9vOfYFfad/pmWUHvSKx6Up9
CzJ5bbuARWD0DlSJRsBmU/amNdUD+qQh+bHj+mR7WZgVeuejyGE+Fu1Yf3j701xfUFqCMw1lSLzZ
LY27AjpPXT2c4kk9Foqi+CoX/becztnBQDLuy9vrXQsjDIhocZAf4TCwecB2waZeGKMeLigoPo+R
px1ML711CK6EEaIU+SfpNnfxtqZEGhC5JLs0wizhqiqHLjmAhaKVPHnvvk1kqAJqIP8DvmOTdNvY
WZQI9eohGkRFWCg0zstsvIU3vfLWJJ2MZSBSwxDZbEirKZshUtGlsFq7PCRpnYUeSlP3b3+bK3uB
JgJYAUbIBJALQoZXJ1HFDC2k3WSeKGELNEca+75CfQ7ltHa4oXt45Sudrbe5vaa2WmNroMVWl8Ow
z2JzCTQFHQMhsMh4+9GuvUBJxcPXghIYsebzMIy2eYZFXaKFNBjnIHH1MYAMcMvU4doDkR7jowWm
G7DV5jPNNE1JKUstnMsyBUc+juRmw3hXZc17h63c/HiZQOSmrifH2CbjGdIcSwpxKZyGodupCJf4
WY3S2Nuv7RWcsAncnCFJ4mZDQOkyzt9bB8c9d3tVDVWsse2dihT9Txp9fR8Q6NuDPWDQHXRIm/xT
tk1u0dezFZS3cP3UA5rb6hMdP0sq1Uzx4utasSAuCSNgDpDgc48iLtp2N6Ru+dtcS+W35EYhNxI1
EiI8GfxDGIoqOwoapgH4aq/i/UmNzJrIomDOUbdtotHUiASKtOWGuSnc3bCMCeOf6ZbgwpVzxYmR
205WJjSGzl+iaTbGquaGFyrKgqojcyjCu9cGC06th7KJshspwJVtCBOQApyIwChjixKza8VsAH87
4UxQOai9Mt5NdqIGU28bN0LGtaUkVoy8HdAw2fT5o6XM9yfLTN0w6XrjMDHO8E2mfIfIKv++vRWv
rMR3MqWCARcHPY7zleAMzOM0eEaIDhfUIYEoL3ey8rBqrji+fymUu+UYnOYn5dVmqThbGo/ZX6hO
1fCj6lXPjyBG/cjq1Hn/BnwV4oBGILUMtqSMWHFsVUkKJxR9kTFP1b39QJl8AwZ2Jfq5ZF1M7UAX
wDjZnOJxwDiwi1s1rPrKOdhoVyI0ifrdu1+bHJQ4MstlTL+V3xj6yV5NtVfDHEhXaGpKvi/SxryL
m3XYv73UlROFxzn9Vdn0cEFgnn8hr4APB01ZDYeizO89Zop7D4mEfaWNiLrn9s+3l5MX0XkUdKni
pIMFIYJTtUniB73Uldrpa9oK1XgAc5AfJ12N97WiMvwlSM/IctEJeXvVyx0PcQYYDTArMDXwds4f
MpemDxnzxbAy7XofqWb7tSqN8puDVNmNpS43iHQdoeziKZmAbut7b9J7xoJNGQ4UrSS8DcPQHqHd
tx/oYhUSGJQZpKgztyM78fyBLH21erHYa9hEq4AOVgwnq+9utcQuVyHlY9KEdgbP5G5PL77yFePN
NgojB6IjNP8KFbTFvLEDZQw42xJSzQbAGMklzgU81PmzGHqGT23WeWFbQyFMvaVLfTezrR3E/2Lf
ofFZ+IZalY92atg3iuSL3c/awO6ok8GQUaVscvZIKhZadRmFS4peWxl7nW9r3Tddtz7Pg/bx7Y92
sQtfF4K44yB2wYNuPtoy961YjNkNHVSknlWExV5QW88OKCh2N+6tK18OhTqSDHQ76Ojq+vk7xekV
90+4a2EEctrvUmUITChxN77ctQciEWRAyPBdaoScr4LwM6E4srwwz6P52BHpH5DU7HaTVY03EtzX
m32zS2C3mGCB5Ae7mOpOa2ZPIyL0obYk830bIwQqFq14GHQ7/ovgun2PUkOBmoJuPyBNJmVePe+j
k4gscPW8fI4GzzpWVp6EjBdXy0dwCx1CBK4TAA5Vd3j3p2aWSZNH9pKZNm72FZihCpNmxwkVV1nu
La1tQoPf893tpvX/WIoprcUOtuXoZXPFzn2HWl/X8hGg8e/icnLuAe3gd+gmt5gIsAAuzqr0vpLd
B/rWhrvdVziLJGAkTCLC5Iy4JHe1OoB0Xie0JFWJPahmK9KocECDH7hHYRRPTdc5KPfV+u8576Zv
9jwWht/YS5XdZVGUVMGAYaHnr0pqfYyyvmSCBZV78hVwQ98SZOIe4NUbFTnlEkWhlig5iPIoiYYd
0tvWGlgD1zXisonzZYYS98GeMeWSpMX6mbi2IPA9t+UnfXBpnld1kvozAPonJYk1QExqYwOZ0suO
dBXZj78A8ZrvUdOl3Y7mjwXIa471Jy0Zq2dzVYYHs/TyfwahabmvIXmCbHLVWvFOSePxqz3RAkDX
cJi+MT9qPtiKU/1o3M4siWqx8zeNyzbbT8x19M+Np9XVDm6xWgdFtgz3zPr7P5XnDh6YZk/B5wtg
S3Gcq8UcQjkHeZ5qq3d2BVoOsV9ihdEEfdsIFjTHSvXhDCTx/QwuBo4U7gp/ndRQoA4U2Qw4tk7p
kC2QHvx6Gt3xYKtLd2/aea8jj9wbRpCms/Jh1cHr+7qpWDtwrel0MFphfTPUQnxOGFOBE42NbwaK
aikIp24oD3aWau0u7iyUmt1MHxao6576WAJ8YShceYPuexgf9L431Ku7izMLuVG7ivOPSL9G/d4U
HEjE8Iwe2XK1x/9ZtJi+BHjLROuD0xr5P/awggNU8rX+bGdm+iWjnPszmXCxQIxV+r8OMl/tLlHw
BoQGbTsHx2iHpxpHQIlXbG03HIymBQQ4Gl67jyu78fagdg31g2IVUu1iStTfs66w4TwrQm48J0cw
7toKUezAqUxInVZhQMowEq0a3x1AaawgsERpITEy26azhUQptDmtOqFbjVStzbYv/LxxMcvTDYw/
3g5Kl9N0MA9k/RDAYNCT8G3SoBkYIb38sjutQ6N/VpdVmxHjiCLHV0io/9XBiv3RVy7BnbvywkF0
VQsszLxzgSvVJVoMt37QZTyRxEWkaWBRcydur0QgA4DSF4SUOze37J1gErnsROTav2rPzuvAnVXl
pIgC+s+S20p0pOvrqA9mjH4isueaMfp6OVbznvEgxbHTF6iYqFyy2cFwU/1nOuNhjExElfzssIvp
7vTEFV+Bk4pfeTEZENaXOk/2etoVv9pxyFBmjPv4BTlR5LQQzs/dj1WNCnq/ImbNPbpqZTgCKv3W
UnBGpyKO1IwKymr/lKbXglcFeKHcpWptZHvkQ9V8P04u2IS8K9GYaJW8dkMjy7MXB3fC0aeZaN+V
Y99nuyKKvd8q/a7YF6tTf29trRTwiVtN7HLLaV9SrWp/FMkC+9GA/3+HGu/SBAWWJwifO0bh7VcD
lVl/KYo+941KVaI72815T1PmdfM9ngUmXOkWzVBfc0v3oa8jzBrcYTHuEJ4F25bUUYakZ069EZBX
DtkR8d7qayNmTKZJw5B4FUmB3nWFxbMD0rcXdYDYPhrTdH6Vl04r7XjXuFM97+qldpOATpH5e6SD
GCMvP6NFwe9Xqvt45n7xe6voPL+NsrZ+pBLFnrvsFCCndubN+Z2HiMjLLK2sgllzKzjYRqt8mWcs
K3feoLjfBr7kD8wNkiSI7XTt+exZ9zleHEI3tZII6ZyK9jGOu5HhdRy32DMY6q/cG6cl9NIoHu4q
t2qEJFYN1XHUlBUUbE5f+kZhf1Hy0D2lU0GOiQId2veb/HZIUdCfrLo+9UNsApiN+68kbOZ9B543
mHE4OJT8qW6crcsMkFVxBXZxsmJisp3NzUPfjLln1ViUpOOhYn98RE+4uRHALvNnuYqs48gGHFAZ
5xkg4wcjqqy+hiYvZULoJajPc+qIA8iY8UFowy1E0JWAgTUlqRUFuKFaW1/yohJza6tJe0JMbTmB
BS5PsbF6z30u1Bvf7epSUnGK2lhiIzY5tKHOSEegPX6aRsuhBYdJwJqpTKIHLEbfDoRXl2JS63my
qWVZm6W6skHWxV7bE1Q+bJGsOljVGgfdBSTA2ytd2RbADeBOMdJirGXIzfrfwbAB972Y0+bUWtZ4
LO3VwR7JVt7b9uGikUMJWee/mvKer4KQ7+xAlmNbZEjednQvfQ03ll0OXffGq7v2QHIUhkiBYYP3
36S/mq520Ri5zWkRmhLOqek+1qr9/e239trWOa8+oEJKxAZpGMOkrfbYUBcM/8w+OVWR0pd+VZcy
LzC09ZOdYJMAzJ9mjj+vVnZq8z5Cutfoks+5MWgNg7pqUu9nz6tQZqnNUd1jpAaPQscbB9zW1BRh
iy02ot/YRRmkX3b2u4js6YcVq3GYlPQnGTbqWOa8/VBXzq4Fok4OKBhzXqimdMhb9Pq0JCecaobf
hpoYvrMW5UcDXPNxSQGVvb3elS+FlJm0gEKmli74ZpPPq9ev9mglKD1kgz9MQvvulZ53o8F0bRV0
Pj3aI5TzVETnW8/Fs0zyQtJTlSnJfpkKrLVUNKrffpYrMR3FHjiWRD/sxLZ9aG0Y1DFPBlbBPCRc
NdIC3c5NFLaXsTnojKW/MlK4JaN25dkkawpMJCMlItKm+YjlaqrMdARPmlO52CYZK+yKlLbejZ3x
KvJyvt2Zw3m0r2RfhD2/iRLCXMyoc4f4hJ9Ba/raOMTrvRm1YgpizUrinZWnmflpsvX4ezT1seG7
SJuh/r124mttFeO3GCMozDbEtD4iJ9+5QTrFs+lXiEot955WkCtVrdt8Hool8jD5YC7ni9HGQQoB
dV+opYSlr/P8G8EJkQTutLr/IOltfM+or8ZAT8zpEyO+7NGGBvin1qhGfYEW0meMQrHl1hjEzv6Q
KwOQRw8PW1/Lm6l5iJN+HXbVEGc/1ni0+51FvTeSisxe+RQ3Vjrt6lbge2JWrh0HdkTfMJideCh2
WZ2Pv2pRrvYOjwT9qdNb99OStL27UxexfJ7VHC7gTFKD5P+sxWVgwvLGwiXK8cAyYMsM+xYYdLUr
6b97j8Jpi5Tkz9M+1LGSfpusUntRp9GzD7gHZPcqpmwPeRM33r2HR4rjD0Nqpf6oisLYV161DoHh
1TyNMLXit9pjag+VxLW6U7pg8eaT0lUTDngifqbWrH+JpVZgQXiprvmYJWCVvpiFTbyp0jXx7boT
QmILlxd7LuInax7MJ35Sj8FV40H0r6rMJEYlvH7sU3IkU94+URfRiJ4asYhmo40kKxOk83PbMj7A
SHnOQsX0srs0MRp/qnQTK4AluhuLW1DpS4inVJyWU2BAbrpE452vl9RtrfYo1YVutjons/G6b2Ar
xt9RC+GoNAp9b3R1jmVBpCi5zxeIf9K4Lm+0tS5PNKMRCVCQchwG8lrnv2JNVnfNmjg7IVQsDtnY
rg8UbrcYxpfpBc1ARDMlchnZ2223OLWSnoPX6qHXePG+j7AuGiJzIqd37Pd+RiA6JpJBXJNwSi/l
fLI4RoWuN8I+ic3fpbOoT4PFCYNvXOLObk9f3942ryiHTahis6BJRhEJEGI7js5qbC4UlKpDg0z0
nh4/LRkotUe1YbdapVcf9F5r71rMOZ6U1F4+elYV7UosVJ61yKRSysv6cybqmxhPuWHPf5ic8gJW
JtMCu7bNVCO6BpLSmJ3mzNC+rlFka1xHpOB+YZhGEYgJycF9umZYZWa2MPeOM1Jnz5oiXm68I3nn
bX4KHQaAbaRHnC9ns8tK5gir01bxyShSmydOouUrM3H3rzXM5e+yNPVv4MWrR8wKzRGu2IRbkqNi
xeE7qjB+UWESBjyYC/fR6Ky/iwzhvx1ckEXsxlLgfVOp2uCiDraOzu+3f/vlAQGkodLXlJgnlI03
NxFOhSsduDUK8ypjF6l2u4P/Yty48K6swusxJd8fztBFsYS0fonOSBWFblQi+1dGv9XYfqedL11r
MJmM9YA0kHZ521Pogt5PsV1xQzfB/q8xomfRw+JcU+9bUdU35pQXFpX0nCUPn2VoPzNy2OTFOT9H
RZIiOi5lXVCPR10W1F1ZPmexyP6iZVv4DDmjfU3D4jhApt/1wlKfdW+pY7/A9yY/vPNLMmQkypEH
Q6TnFW8CLhzsaPYWYR2TYoYQaRJ1u6mKbsSfiy/J8zI2JQGUvAnkXc4DqlCSyPYEoPUSPty+G9Hb
TkfllkjwtVXAikvFU6m2sW2kTW0TrwNvMzQid0GTLoqDaNLEjeHURZJJ7JAQXnqDmGZcyCo3xhCr
wm1inmXQ76bC1aWlTMwdXLa7NF6KfVqZ/Y3J0es2PAsWclWKHdmUI4armzc4J/RCLb2LwxRUuj7M
X5LZC8ypeYHLGw4eMkDN9FBn010xN/+OaPc7cY6lTP+UiPWps8xgNfLjIKwDQnXHro+nfZ1jwdg4
N8oJuYE3v5MAC2iHn8hP3VJkvBJvFqsbsxA9tzSh4TVaP5rZLn7NSCccDAgDPwYyIwyrcPW88ZIu
LlT5jhzA22iEM37dYg1AAMjDzsGhS+EdmjXN96ZCa7ur9ejD28fmSl7ESYbTxTxJp+OxCYC9BQdq
FVEcjgnCpw6mWrAwshJAr5l+TU2sBW+812u7DtExhCeop6kANpdFFOkM8iLmZAJxRSBGpueri3qA
r537eKuEZRu919XgFUrxnyU3W86uEUqeUAcO07T83pWavl9ySD25G99KTy4PLqKuyJhS3lCDAsM/
Dw+LJ9gY1czbXLX1WETRj7FvxA3mziVuWOqgkwiRZ3CrcOOeryLablJdq83DbCLG+q2ZMOWZErcl
vGriT6R5xbRnGpzYvj6k2eRDeTQp8pWi1/1UixAlJhW2H9UCwNPu7f10ZetiDCAh4QQVUoHNux40
VRpRc2woJuI9GBTvkZKOudpgF3/eXurKy6YIl5e2wbCBv+evYTHhTRXGmoVVVaLFBt1+P7TZrY7g
1VVsiEJgLkj/to1OxpEGJ97JQqvPl505zdVzbA/ae+ltSFSiWUOHyaRpRv19/ixTY2tRaVVZSEWG
T7DTjwzUJ+tGHnLlsDPjhu/KDUkyom6KIOK8SDrFzsPEtNvHKFHtB3WOlftZx8rXT1RzunHFXFtQ
VgQu/ArW3TJ9GbbC9FXzMgTohhr0qFpEapQwQZ4LMMvZeHj3lmDyxFiclAQO83be06Pz6qW1noQ1
+z5IV8Tyliw33/8agatIQgoNSDleOv9YTd235ZLKi3PS0oPS68fc1JN9VLcfxoy58dvP9Irc3NxE
lsSuQIGwCStbgkoyKqNtII4dJo1eJPdxN7XPeP5FX+NkHcNVSHEEME7ab6tTCuEzcJ3+xXUeIQ2v
imtEZL2i0g+y11CeqnVBaAXb1167Z6X+g3SSQwugt9U0YNDeYmE/tm0Q5Y1gZmpJul6NgQ/Y+mWY
74Q6q8UJcplqBcysZ3sHtandGdhe2vt+0RzhJ1lU/hgR5f1o6UWx3Lg9LjeU7BqBBgH/jp719jQy
sk6HzIm0cMqFEyhOD/60AgtKTYiCOtrsNzbUJZWO6o+hJVm11O2GY3D+rdc0GXDN9NYwrZXGDIbR
Ln+kbdTWQRMb0+zrztRYfq/Uo7ZLDbMxMRPOdeMgBuHFQG8TR04Z9fZFbzIjOuQqDquOnjHxzhN6
UG9vlctYxY+VxQxAFhrK9qY5meaioTjlx3Z4aj0IN3vsq2h+b09BvhFucDqgEma3LZl0fRjQg1HW
MKcdvbMNnN014cw3ztjlPSJBvpLJRsuGgLUJVZFeo1jTWnqYZ8Lc4XDa3KPlOz5LKM57vaIknYJg
SCJMc4Gse5MDpVqNtMgizHDCkchPLbvc6egF3XiiK9c25HlSAyQcgIIROM63kgscYmRu2Yek20Gp
iPwu65LdmFchrBq/yZODnKaK3nqkG/Swxv0xlYdr9cpbYPEr+4S+FOUiqsES1Lp5uY2iAf9NvRaY
DQk2KuqIhpTGe81heK1QK2XMoiyTo6fz5yVnz7VF6B1CGbb7rSMTCuY4ezdNhVUIBYRjoA4g0vTz
VVBmX+wut7vwf5ydx3LbSLuGrwhVyGELJpGULEuO4w3KYQaNHBvp6s8DnY0JsojSv5lZ2OUmOn7h
DbCXvX2o1O0OMmv4/k1PdxUdWMJyG32xxTUAtkLUhhJUJ9sVzj53tfxYVNQk7p/fG1VDdF/pNQHJ
BVbHGb78GE8XrZUpeX1qQys4Yn9QPGFPbeN0n6YflKyJDtog7dhHZSfcT6TDT0o/BA/3f8WNo+dQ
MwQ+QJBAkLnYHU5XjxVGFdUJawhrY+siOyq2HTxqehevNPKuISOctvk4IFBMgE4Yd/nBlaEXOjNa
nUJrRD0rz7agWcyNEcQfsGFVoIrHYDQVjUZEZabQpocSfbW+/XL/k68PBLnejP+bizMOK335M4iV
q6wYjRqciBEe0lpWWwXu9MoNcP14vYm2zUAcunycictRnApfbMfmIbfqUKHsb7t7Q+gq0jy6eAqn
Jlp5vG59Fc1lElgEJmn/Li4cI+oVNex6ICUiirY5cifboTOd7bvnjusZzfhZmwbax2LP0hin6qQo
2UlmabBxpxKlsxa01P1RrjclxC0I2xz0WfBuWb/XOsXJtFTPT5ZEFCCaIn0X25h7CrxWV/Kr66FA
NfDIkXtzQ3JzXS5TlLoS6SKVG2UYDAUYWGRt3LYPdtQBVhULr8sM3JGz8cVMgCPLWAw2GW5nmeCr
T2oUdB/Bi2hYj2H1YBcV+6Rrjc9lUIED9GrX/nh/Sq+3B43MubQxyxjOU3v5nUHuIDElKsn26AwM
tYvsJctt63B/lFuzOesJgfTmJeAxvxylJ4KKitSWJ6/12qdyMKet6Y6waxyzWstv3njnl6GyRYvH
JFij6wybe3GdUHRKTavLOsCqpb5NcY05ywQ8BPrFqvM0GwQcqSK7iG11Uvjo9CHdBidA+RIiFPVv
ngz4VVsJF2xLKTPfmwi/r9wBN6bjDV+MZRpXDSfzcjrGYRauTLruVLcDABMzyQ6dDfod66j09f7M
31hfSHRU+MC8EwwuKy1mIYtBH1R5Qqwy35WTW/oOAOHd/VGuL7W3Nji2AAYXKAWpyw+SuJVNesjV
iZjqS4DBc5w3gT/Vxj7NUHS7P9itT6K8TU+L54LncTGYWbrSRdurPuGWZj63SuAeSpGt3dM3R8Eu
Ai7HHFwsVWDSKkLDUtfqkzuN4+tkF/gPmrJduZ1v7QQCCjIZpCYpzCwq6JE5TS3YJkapvGGTOMM3
1BTjbe2Mn+5P2vVANneZQYkX+g3x9GIg+I+YoCPzdgKnnh7jceoOiDure5za10hS15uBLU1oi4w1
LHq0Xy83g0IfcsaF16dwCPM9Oo6DbxsJgDltSneeFGsotFuf9vd4i+APxbwa5XjmEBvZ+quJ8IUv
qzj43Nl2ttLxMOaw5/JuwSICIbHZQdgCILEIi2JKJKM+xA18qUKtfyQgAD7YRlp5R5T+vByENS7k
IJEbQpREpNOfHCayiZjhFCSHhKRa4JIeYwQuTUWdqIMEoqWjriXxo1OgaL1j4xvuxlAzx9yL1hy/
htRUZvty6b1o6CqBYc+s8bte5eKUwvRM/cm2+3+CKFd53WWZf8PZWR9mVzChvfvg8fy6ZO2zHRH3
qnG5sJVo0om+XnZi2d1Dnop+K7i2tvd36nVtGBwwpQ7qbHRXrghBVa+HaS7K/JRpo/FppOz2cbbw
Dv2gs9WDdNX0dwm6++v9UW9sWqjGGD7CWqQUvtRsw22hMaZIyU+0lrFV7xCAnIBod8SmflOsMfxu
hLwgEOghURJD4IxH4HIqw1QvvaqwczLbMH0kW8SZGNTNR8tT0oNMocVFNaqfSgxVrm2FPCX4tFMb
L9J8ZVFvfjgJDULXDhnHkqjJ65C3JPM5bclKDf3EjIxXctR8J1NROOB1FXUltJpDisUZMuZblQba
DBFc3t9Kh5WGFRgJ1RQmN0ryf1BTe6lzC0Cw/KdB5sPXPXPfG9P7a3YzYovwce5UzwWMy1kP1DbS
rUmkJ9vqxCGfsKVLFC3fSpT5dojAhivx6nVcR9pLZEHcM0MHls4rpGZ0NvBPQNtDy+NNTbcD+cHR
/hFQRy42Wp4IFIYxJnodtDFd2dHXDxiD80CSxZFmcBlffuwwxAGsRyM9GciyfAtBuj9qWfpusTTi
RosqAjk3ST7iRpej5IozCbOOs5PS6dG2rovyqTb7caWEfOtbuHdMjDTgBl2BS0q3SN0eTs+pAbC+
awPNeIyEWT28/w6AIAAhllgY9OBixkK7c4euiamMYwV2UM0hO2q10PYxdeYHr028lZvuxsPFxpiB
09SddIQOLueuNZpJ4LMGHOlNXMbu0tLPHLBeYxDan9//bZAx6CXOYk2MdjlWXwQ8ZlB+TlWl4LhY
ghLZh1mQD9xu1nhEsA2h1vtD3li0mYZIwkYRkmBiMZ0e1Yt2gox7Aj3rbV2j8bYCDdz3j0LASVWG
Dum8FRcFpgh4WhWDxz8lkV75kO/6j50hrJXSz41H6S1AA8Y1K4guEUChM6l9XBNzqkaTPQtDU45S
bcenCX+oD3qlRo8qUh/H+xN4Y3+wOWa8mskOIw+9XDMsiHkGu6I6AbPoHojdrS2ct3qbB+b7010i
aQNLagDOLNlSCLBxIktvVas4dYYabBoz/40VnwHBTRTv3/RzikCljhoXtcHFroj1IUW4PSxPCJBn
uw6dgEMKr+yQxe0a8+nWorH9VOI1+mlYHFzO35ALMXqDCS1StP02ap3u2UGZCtJNUiShP2llt8+k
WCus3hoWDilWUcwnT81iWM0LdahzbXGaz/xWqdNwEzn1x7aPabJ56rhXteLdjHBU3nhp+FJGRs10
MavFgJCzmozFqdCTlxQF142Qo7uydDdCBR4zgP3UWmc7h8UdYo0tInkJ86n0dXaso5EukKuoj9h8
pf8mUStW+qE3KqH0tWdLI6rTyLMuzeBgcpNGF3V5svs8HX0ubu3FiDr1GXJPmG6VclSih6TuoYRy
oenHzo2GwseLfA08cOMqe0NTQUIGB3KFxYEPZg1Rb5cnWRnaI2rvziMy8++mws9qyLPr4iyWMFMa
LverXsSj0mHJwXlvvIfKkPmDXbfF7v6tcmt7/j3K/K1/sTPGojQir9TLkzOG9ugDIm52thpTA8lT
8yhGyMw9hOe1fPrWZUbMBckfbu98oV0O29H6D3RwlKdwTi0QeQI7nXe0uEtzEGs9sFs71aGoPPvD
UFdbRiUqsr1qpNJ1iGIo94MBFzsRfemLCtPPisB+JYi+sT84DvTDQOpwgy4zoxquIA6TRX/KB8/k
28Zq6yrRWhP4xldRqyNLYRbRszYW74Fu1E4turI7ESjVD7EA1GlXMtjGqpJtimkVTHhjyWbfQNJ4
ivLA0Oad9NdOsVrA2HFZd7S4CdQ7HAMeGjPK9m5rW/v7m/JqAueHDtdAXiFkQkhpL4dy3S5ujUwx
jyk6fykn3bD2QoVK/d5oYTHOYvOnYKybsXbZ51WVnO0MWEAQt8HKEbuK+xll5qqRJYMcu1LGzI0c
G1WCyKPq5Jn1WCa2+tLaQ4PTtZY3j53ZGuCGw7r+MlpNvLIXbw0+qyTP8j6IAyzLn/A1sm7qEvPo
hmr+3ZIDRoxVbafaVsad5z10sa49DN3gyYeszmT56f0ryY5B62pWUiAzuFxJFcHoDvUk4yikQONS
HRXfMsL/ZR2hSRGzkHdQVV5szcqFsc41ahzJ98TGjBJrh0KpsbJbrq5KzhkswBmhBm8Y6MryW6zA
8UonOFqlKg5jGDvPhjvA887qN7sasenSWL7en8CrUzcPOhflMbiCgbjEHOqhbgQUgoOjZ4nhk1Jw
thFrFEcIymtl+WtgO9cxgQpFFrDjxM6LD2xqI62NIXeOnV0aP3ES7A4gdZIvWm4pT0oYZh+COhFP
qNwXh7SslUMsbPuQelm5TzxV+dp1WiQPfWQ3Kyfo+j7gh7GD+H2Uq5CRupz5QI6R0xGxHUtM5vep
iMuP02ivCV3emGrwNHPDfwbzUiC9HKXXzUa6XeQcBRWhf8SktY+S8v+/UyL1lVjm7XK+qHq8vXyo
e6FfPXMIFjvW6Bx3akudsQT+4XYac821AEfaTV/iquv3Sq63vgrC5EcRqvWzhbn5sEEuK7A2FNN1
h78Rh0/4vVTdFodq8ZVhsme6WCUc6NGLfuMp0lQb/k105SalRoPNy/UBd76KimEDa8hIYp+tawab
nNfCggWoB9+o8kCtElkmax8DEOpAMaQCvwXOsVYYvo7nmIMZrQcbhrgc2MFivi2PnZIY9nFSJJrO
DrWRL7Idy9iXltHuXS/JHnjVzCdN9MOvSdOrCY1RPdzeP2G3NhcJAdjaGYhPpHX5M2JDQnLLMAgT
mADNWhoxDLderIxyDfXga+e+K7JQOjpNy+dzSCPZh/C1j5PG+aAaZUi/yKoaX5Uo34u0GT4HsM6B
E5XeMwLRyYhvfY3B+6Trvk6idwLlI/68/9tnBSSEgefLc1l4TNNY1foUZ1c9ArGuF7W+q/v3l+T5
dJeri1wSXXmAU5cz3KWpiDxrxKETIOzGmCp09Cq33cTSWwuab24qnjq0Yuj40bxbFPVGa4Jjk+MG
Wqed0/hZAUNy7Efr1HYqXl5NaG20bsxh57ieLxMXjQRHOs3D/Xm9cZXMQvnEnBAiKPUtfoUCorKs
gpw+gFOZ3/EP6F6d0UPqADRY9O3+WFdx4Ez2mZWdGRGLguVYYxrgCkarh2CpbtE3c7Ud8shm4ovW
sDbmlHbv1opjxNmoBQYU+m1AbC7X09D7sPEQhQSkhOxNaFXyoU2C7/gUvVuhkJEgvAIZQsQS7Mli
JAQkQhcPM+XYDy1+20hBKHDUO0PBYWjS/odFmyvfABdI0zmjl59FNOSMU6orR9TcjOc2yPtdbnTm
S4JWy8qDdmt/zC8MDzuQd7zLL4cyM1solemFpwGzx7OjmNGhJ4ndBRhzr1w8N4Yi+ON+pfrA074s
9bVzxzvL0vAUz/Iug4JEk44q6LYuZLUSIN0aiqQbPwMQh1So5j//K0Mw+h4usjeJkzpq5cPoTuaj
KybvyQVAuhLWzhO0eD8p780hEdxkbtXFxohcq9RjO4xOssO72a2Fc0BlpNL9UlX6T61aFD+Bg4pu
Ewyy+yKEt1ZiuY6rKQvD9rHeOjZca5ffKmfLhCmwo9M4tcHemQm8wkQgDBGu7agwHBHGhoDG3r37
tDtzMQk9cmRsANdcjmvlhPFSKYJjmTbxzziszUcl1tIPaTq5Hw0UC1YilRtr6gBCp8+HKQK92uV3
ap1UglYqRyhwP/SoirAlbQUxaKwc7n/Z/Nwvl5QMYaZVcgrRILr8MrKgEJYa3HatcSdvaxqtVz1M
npehgpMa+ufCqyfYf7yM/9wf+C3QuBoZcN08n3PDbxGIiLp1gp7Y9TTYib7tQUzvJk0iAVh0wTaN
9d+pDF64v5GHGp9RYNg5rrJDMhJcjiby/WRFOX6bYbcPdfSXvdyLVhbh1m6nOKrN3Cy22tuj99fB
In0sTKM3uHC9WjuloTB/5r2RfrNlpx7Czqt8F8WbM0yt4KWMEPG5P0E3XhggT7SnwKfMjZBFYJxx
DAy1Ys81jVpuOBXpK257zSPKNcm3wsrE13eP59D/4HxT6GPTLW7HzMUwi2QvOGYq/k45MuA7mP7J
c+z2+cqmm+/0xdL/PdQS2NjgB5ugHREc+xSjI7cckQ9Dz+/9dzCjkIaTWVFTX+I6vGLgAo4ZxdHa
8GXIVHc7KUrxcRzwvL0/d9fodGqy+G9AAmLNCEAWmzmneJ+3eh4c40kpj/oQFP9CocNWta2qFvxT
jC74GE8HSvwFCUZdPRSZOx2wom+xM5WOOEaJrp+DMjH9GPTxVyesvZf7P/LG5QlsAjFIqkjz+7fY
UKqw+1pVhuDIz9mbBYiGvihenKE/qbga0e8NnotWrDRtbt1k8Pbg6xC7gAZb7CrJXIUVWrrHUeBA
Ko3cfo2ARTw6cW3+L0NRbwHlTELBclxeZQ1lMg8qi3Kk5/rFthKIVkD59q0erD1Dt+JdrqwZZYXC
JzX/RdAy9WrXYkYWcD/r0y7qs+lJy4Ek5k4GOdAM22fVLdqHQFTD3u3j8aHp4fPdX85bh2iWWZlJ
RNiLLLmpgxeWZYXu17FyULPjWQ62kO/XjJxv3EJQuiBFzRw30BmLl0gtUuiXiesdU2cE+EK3u3xo
aHLuCoNztEUAtFhZxlvfhbQ4WIg5JOT5u1xGGXQxWPIKziUA6C3+hLhACWWNc3vru5CCnRNhtDhg
KF2OAm0nHycg3sc+gAFN1zl5VJ0uOQ5ZFX2K7U55f5jLMw6zDL9oJnMp6YKK5RCXAMOO6Bj238OE
Kk9BkvnSIxS0crveOnJwlak6oJulMY+XnxZVRe0qtqMcK3MsHu0yyb87WIlscY5YG+rWWvFaQDDk
5SDFXOyOBrVStD+TENZ+ZJ+kiJqTleZraKSbo/AME91C8yKbvfwgPIdKI0cA4tRj3LMppCF+wqZJ
Pt8/T/MVvXiU4BYyhErkjmzRIrhVc9T4MIiwj2buTI+N4nk7p5YCRf3C7F/aFBE34oFs7YBdrRbZ
Ku8TJNJ57CsiVVC1IjGzATWXuHO2QxUaD7FSurvczqaVjXE1j3NizL7gkMKc4O66nEfSlDgohFKf
3XRwngwPAZuq7NeohteX4+x7QLuC3BicI5D3y2HsHhXipAvrc5BqGk66CPCUm1HoVYR1VJYOdDFK
4wNGuXFHAb7TAd+bTbjNTVf5751Lyi8hdpuZWNzVV7XjltK8h3Eyv8S2erklCh5wrtIS5zkeazEc
jNjxgOJHNtqC90e+ih1p388MZKB6DlHBEk3uFSUxwKQ2Z2Dx6D9Gsaoj8uj02s4ddf2hcZtgb6mZ
/Z+ZNIqzbzLXXIFJXi82zUsPBgV3NrHrsvxTRrIOarPIz1peer9B6JufEpgcK9faNdCb6tpcxKJ2
i94DMiiXix3xuJdhNeRno2jrj14RGLta7atvQG4M385E7BHkjB3hBTX8n6Ptkhx6Gu5Ro3TavS0L
iASJUj+CA8+gWaXOyjTc2I2kGATxxLVcU0hlXP5Ao0+1RrXC4izgQiJigGn8FlJ48qkU/AoL/ME/
HW3MDwO+Ao+jLvoDQK53B7wOqeOMgJjF5XhF59for1QicTGQd0VZnNumnZ6tRLonWUfWexFab6O8
udu9EQKXbxo66sXYtsU5VpxqWzdK9lQLI97e39rXuMl5GHqRFFLevAsWKSMVVan1oi/OiaWNr66I
xWbsIuVUFj1HeSq6Q9o14bPlIbBUmWb/OQtl/9CRZb77PpvljshaecJhg9mLi6YtNT0bOys5U7y3
0UdGxPGHZpXtt/sffOMkwfMH1AEeDZDTNReMDANNk/TspC1VfbvykKZZ9SK9fgeIst7wmGAjaR4v
np84cJPSjfL0nOS4q/qQLrXndBgtaL95Ovy4/0m3BkPxkoWcPRe5IC73Y5qorTVOiNHko+58Adeq
PBGNeQ99OXUrB/DW7HEz0AghgoQ4vTh/AVjtvuy94uwhuG2MbbVRXKiB97/nKpqbBTpoJMAVmKsJ
S5Bn5+aJU9hZeW6oDv82Q1vbt0M+/BdPU7hVTbbk/fHemKgXwQIDgoumJkQITgXfuZzAMXQd7GJE
eg5wH1PA8nvagIQZUcomGY0k91GqQwzTjHLnsQx0D/f2dMICKOv7BuEqIRoHNyVEa0ITTUF/GukB
wm1C8ntT94n1Z4w7CVSirbzvFRX3U1X31kNX92201bSqRqovDJzEN6shONFKqRANaPr4WbqS1mgq
TMq2YzEZP+Oig22CuVdAaTBVqw96SnMRjYbEQwxayaJwW6MZGftJZ8XmNmxlcaz6qq1AekclZL92
kuO26Kvhk90Yengw+q75YczicL4AW1b7quzdBJdkofZH2XuAW1OUW0tEtute+m6nlpo/VCKC+hP0
Vcjdm+W/sr4LspdGOqU4rqwME79YGIiJWNuidcDULcUnzRoZdxEhE1ryaKEID23ecZKMttqqkt2N
Q0ShfGbAzzK+YIYu94BCciF6WOdnVcbOzishHVitClnUXOMPXsuSOtw+NFiQzybavoIG0jxU+6lh
KIu0dNvAf33ohtTeBbVUT6h5u6dKmcLfrhTaq+UF9U4vTPM1ROPuR+k22iYrOr1BhSAOH1CFTZ5R
8co2eZw5vizalOB2Eo+QF+RpQvl2ZzqJ8QehA/Pj/bW5cUpp4NOLwteZWbPnq+KvV9DG3NbLZwnX
ULEMwgIt2Y5liyxyEJibMk6/3x/u1voA72dpaKo77IfL4epU0aAkq1xyOjpng5F2flG56l4JijXi
+nUx0wGThpIaVEVuIDjdl2MZZK2TVdfN2Sx5/303dMZk27S59xpOk9bs3KJsi6PLPSj90hvcg+qJ
sffJTtWtXoHwxPI8SJxN68jg1UOD53cDQ51K0qTVO2nFlVx5xW+sBfLAMO1nARKe88ULUASZ05Vt
XZ/jwh3+o2lnoFHTIdzHzaVOT2HurMUN1yGxCSaFE0nBgs7Ikjg6sb+ascrVczjU2g71IRwB+m7s
/tUGut/bDDT0Y4p62DEanf6k2UFT7e9viPlSXtwNM2WIR49looWw+OYA7uUsY6eerdbZGkaj7l3R
fIzN5D8rT5M9CIA1iAwO1tdj8hzB6YAESSdombuivljnuc2YQqR4T1RtBJ6KS1+fHsNUGNW2tDGk
PSTshIOTi4CNGrpWgCS0gUldVrUENhMYbk5vM/SW34Fp8+CgWNEfxOeSY5ZX4+Cbtgg+KHY8xAc1
t8dvE/ZLqR8M1NgqG8cMyijoKPijmuUvXOnTa5hk8hUNdQlPq0EKwLCikj4K5nFsg95ROl4qt/ls
WtkI6myYf3qq992L3Xndn9IIJ7w/4DR/sgQVR7+aiv57qqfxDycOxPTa20qc8OoEyaccXPr3sTfF
BzhV7ueq0dtfdmiW8aZM+vgp18JY2dUy8H5NSWlHG6MLQ/TF86H7tw6dpvczNFNexyQDhmObwSe4
/w36/9Zk/gqh0vLEqppyVuMo+ClUmUu/EyMwVS0IMwT7477L/CGlVuXT+ra+lF5UZtuyDrvPhpBo
5YPQSH0ZCSYHVgIgiDqC8QRcg6lCl7bG2GLSnAY/pMyjmuvSStc3UV1Pz23myH/Jcx0A73XePjuq
EgY72yp6eUj6QDR7mQ+u3NRJ1rBsReP1fgdjrd06ItAOvKuojmSDg45lHBt0yqumnzYxP6hHL6fH
SyBouv6PknV0s3jGsvrJCrNkeMZyoKgPgUT+fyPVOOXxDUx32pBbqzpvuvTyg+iAlAJMrEJ2FcrZ
2QbOXPrD7dEf941Ecz6kSY+uDNgzvl8b7AZl/smNdrGVaD8IT7KRfDy22w2veFtsZFVG5UZzy0Tb
ZZ0bV9vB6Kxs0/Z59tikhl1sAxwZUOLVW+U/Ens+tokCxYZcX+jRRgSD+RtmYJb5SqCrwaOYesXd
dPxP+nljN79mIpDwSxnrcgfyKdX9IIpz26cmpzw5QzJGe0TDumAfK1r4C6C83c7MrFHdsHgoCatG
wD+OKEyLJ5w7VhGmgWb3NUaeq99Iol02rNZhGhEV6OX7QTkG8REYTPuKfnT6I3Gd5E839VbnE1jJ
dCU+vREEUwkgVkCmEe7Hsm9ZzSAnVZPquYbhtqk8ET8GxeoNe+PBg4JhokgHkZ0bbr7z/3pf0dXs
vbEzpzPFn2JH3jttU9Qut6WjNStX6c2hwMFS5CH7AeZ4OVRhGNPYTJl6dnm7nrICsSUvacaH0MP/
4P239qyURSkYBMCVlBt6paIhgp/Oup5Vp5QWwjZw1W4X5Gn3y0lcOFyjVf28P+iN7wM7Q6mWPpg9
A6Uuv68sqO9PXG7nWFXLl1wB8utTwiq+hWO9BpS+Bik5FOQoU80FAp6JJTPf4Y1os0Ydzxj8BI1v
8mJwxeG64fjTlNXjBk6U8jxpVoRAtjuFkx/BxvoPLxdt9Dse1U8tV8B/Ztrkyso6X29ckJAzfAhg
4kyIX8RQWRuGzURsyaNdFd8t9LNPaBHanX9/uufpvHyZ4fPMH8+OmmGQiyrS6DppGIauPDcYwG9M
k050UWS5X7K+21Jwid8f78ZnMR5xNEpSc39wEQmoCcIYNSW5sxrwxFTCELsYf8Td/VEo7N/6LjTQ
qI8hKUHYsdhGyCuO9FTrc0kfedzoeq+cKMXjn6UpcVrsRh51Ot69FzdPiS7CU+sMMaoIdmDJrVUH
UbYBJJyWW89qh2FvDZp+Nq2hi/cAU53PuZnpXxr0SZ2tmpbN5FtxHNC4b1q92YagQ/HOaQrni2PW
JXLkZUQHZ0i0Qd2GahWUm8gzi992WJWq3/XSTXZVoYhfQdBRpWsMt/ysO2OgbxS19MZ95TiK5pet
HMqNjcFns0kGxR12LWbYP2QSqoJQItMzP45scIxD3uGX0GpW/eqkWv+ak+KSZo7SMPZ5PTQxX5kY
HzKe2gEnHIDZW12R6U83jJofqS6aZCcnjJL8LjZd/IBML0m3LY2acdMSpeS+Nbj2a4WdVbJps6hv
z+GoUOAL0shN/I5fFkHrxJP0OfGmWv/EpEN0UBK7/TMIT1cOjRDV7zFro59hWcvCt+uwpqU/ZC0x
WFA5qg9CARFnZ87b0VYJewzQjKLYoNySv/QlCJ8NLRGZbhKsURBckaVyFpo5flFAwvzqNat/MMsx
DH1eI/nPQLyk74XEEVDmrZLuvchiCUQ9oZWm9KoqkbL20AnWptZTd4IN5RyivmtR/gkVbToPSTIn
Dy3SzNseDOPvINWjBuXmCWFJO0ubB9WQst4C3iz+5FYddX5qtyQjMjLTV95VWe9UdK8+l5Ft/GRX
VfoWmQ5F38AvTvKNbUwkyxra2fw36TxkVpSOiOj+mZgvjOVJp+FBVx4096xRcHkipDloreaJ/lyL
aNgKyiZHsqm48sMuLLYiDaaPfVBH+F3+D0VYgHqATTUYMCzMUmyrdtJew4OoP/d5pflAXsONWrVr
0P8bVxnsfmL9+Sq7rnd1KOZ7ie6259wIokeoCfWLMddA4mxMt+Cc25Xn8cZVRgUP0AEvPjj5Zd1Q
ndxeE0kkIVLE1oep75XMj9ygfHdtmdICqAGAFKBD+LTLdVOSsOtKI5bnaQzS82TMsAUTfef7u+NN
s26xPeb+G92w+b0HpHw5TOU6ddMUQp5RsB+MjQdd4gNygGbto/Dr1D6M4+HsKrL+oRZ5TdQ56AQA
nIAs9BUntf9pUif4Dl7LlL6pVDXsgFGYX7WMkHYzWQjL+BMZSb4x1cKJYNZP8W89qEVzNLFW/JHr
VRztcN2Y0m3fKmTDTTCSj+S97AM/xich3gYN6G7KY7KWu9TpcY9o4wqxdKULn0Mzc597NWl/y3QK
/jNllezZiFXjwy6Oxr3ocIHxwyjy0q2rohfr63LCAIgnTno4SFAO2BBCSgw0YKGt0XSvc9EZBwNe
4Y27RFSzmFxMt5pUqO1ZVF6DlYdUGoxqovjYCF3foSiV/Zebtfvp/ppeh1KMCsqb+GYGUS1lCusq
T6uuNjgQZhJ8FqPTPOIjbz3BpBxWopWbHzgTkGmm0hFYdt3wN0psbxraM2mmHe91UvsXE5G/FzSk
PUqcXjFnNWvVuVsfCJ8OzDHzCmhvUeGOE6NPgkBpzyVlmsEP1DJ4mnQj/aKEln64P5m3IgoSNkqA
8J/Jb83lOQzrlDYur51rlNawGdzA9Dvq/BtpZ8qmCvOx9BVDNn6shtWe50P92I5D8iSJoDd6rHr7
oOqqh0RG6g/KWQq1iDR7xghgeHAS3ftlpjJ8qrDne3FskT1yNrRTVZrZykrdmDNqQLM4JkRkxAQW
AZhhd5Erp7Y7mzjHnMlLkwdSsuFUF6F4uD9lNzbFjMKdwcUE2NQDL3e9WuMI2euyO+ta2XylCJGm
W9JBqgMq9To7CZRtZmpom98f9sY7QLkHUVqkCgGxLEH+wrPbMW777ixVcItWTSnADZrsbBdq9yXp
C3flM6/JLexhz/v/6xkc2rKi19J9iNzU7M5h0ai/9NiauOuUwo43WtGbjzW4/5+R2TavaTlNmx5X
1m5M3N9zwYEiR4F+lI/tZ/5PYnrdFxlETbiDFSG/1nZXfsDaHdfpCuzv10wEstwNgV2d+kkrnttI
UT7XbRN8aDXRfkW+Mv0d2U6t+1qtfLUjKgVkvFpW7MccPuXm/jRfP3/ciXPjbNYvJE1Z3GmuM4jU
nJL+XCieg/1qLugv62uGTNeLOaO5AfDMqHFwNfOf/5VZh7ZsVSNzk3OadXt6+yXEhr75GraWfixo
Q6x81PWWRYeKBhOgbiBDiDcshsvT0gJvH59lIAael2Efq0EJMjZN/TjQvgAcWIOh3EhCCSPQn5/r
lJCOlo2TMMHVqrCd9FwiDp1ubCmGeH50IRDC5JiSvU5O/LMK++zfiqSw8k3Eh7/Dp0LyXM97OFTY
XSpyR7NEvtv7DZ4QGHqY33TiZzufy/lwEwB3FNBbPA47ahqQsuaS49qJvZ71y1EWfW0txWRJHbla
ecTdg8yUMSYHC5OzTr4A0k92+96T2eH+Br6BoOClopcOMoBF5664/DicqaOutqP2LCWCujEx+4tW
29O2U4rs6NJsf7RNkYMcjfuj0TraQ+VG4zdVavam69T20KjSOqde4n0Myihd+XXX9/T848jLAUS9
UUIuf5zH9w6OI9pzAk4JwL1uoTGsyp2X1u+W7GeRWWGC57kMgMnP5VCOMmTT6JTtuSAwwmesHSjz
ylUd6fm6v4wwGYYW8RsEdj5gl8PkuaE3YU58bpJ4bqlGBt9yOp3PUTcUaETEaOMGXrujK6LTWevi
ndL0w5e6sZMDWLfqf5hfjP5Ye6o/FArm+f/rYmlCpSWX1UhexaSc4aR1HzFUrPcD+tQrT+71TUmH
HPAvLAbcTIiRLoeqa7J/vEQ4RI3R+vytZuMUQ7y7v52vb0qYBABGaVTO8d6yy6O7cZ0FGg879e7o
gTRf+gb1rG0NKnFXNVOzkk+ujbc4tAVySkKSm5xHK22/QrSRW3OUyMeWytOgj2siAzfAL2wdQPnU
q3gRaP9fzmKHi3BTOp48Q8dBOgWPvMJ3hJ49lE0pvgZ5M1D6EINzaHo7f5SDk59RIa83aivlGu3u
xuEEUk1HbVZEvlb0bMIg0pzCompG68cPlXR6RE4VhUlZrxnhXLOUCaGAb1seZE0Lpta8u/7aqG3t
dUXrBu05UCrncwKdPto0TY1Fu1O3No2tOBo/uRmG5BtFjtlXxfk/9s6rt24k2/df5aDfOYc5HJyZ
B3In5WxJfiFkWWYsslgsxk9/f7s9M9eWjdad94sGGrBlbW6mqrXWP4XjJ+xJcJ6sHMZKySxZz7YL
PQ8xfAz7P8rhOi6T795rHNQw00LzD8D8XtzViGB2hpURop95wbldL6UXd2gAT4XTjYlVW2pPlJJK
vNFa7/76mf/Nm0X+EjINYuaIuf5zhf/h2ri4XlvsiOOZIegss1Q4e7vTHzU3vz0KEAKiTvBaJIc/
3wG/FUtl9el4luOesKnV2O69Oa0+eH9/80zBhgamPXIjUZi8u8+k8NVNenyfvBqjTScrn91FBRsP
6OeDIuc358ORaGHwjUIo996uOA0ya3IB0M6mlYioZpLjRpNa/cFRft3UQ8YWdJ/8j5CT9wvswhc3
w4ZVj+WPVWh2rQ3SARKjnGVNAFL0vliNjzySf3dQRO1cRHo05jLv6hXNiL6UJX2oAftp1w9LDtW0
lZtiXqZTZxL+raoM8wPe/K93DtUOfhdwRFiX2FN+fj4g2XUlUiYSk435TkuM2jq7fSIbovjgQL8A
+Sx+HAQVHGeHf/67JbCVy7LUwvaIflDjc6qlg3uUwE/GrnvjviBovtpJUQeXJVYp53lvdJu/ft9+
OVPEvcdBAhREiAu/oAWdwQAVAXl31ndVGKvKWTfK7p2kpKD+4PH55SHlUPaRJuHAKeKY7841NY1o
MIKsO9PRVCfZHFjJOpHU/h+fEHwETHkwkEJQ/GdU1w8LyARgOUVGU5wFpvZ3SMtuA9LVtzrP7v/6
QL/yVIAGuWdMD45oJKaXPz8koyATKHXL7MyuYA0Rr5oHkjSrGduDdl7aJiFXtGZ8vi5VtluccLmK
lm75hHdXcVU441gTz94SHOd2IhCkbQzZV68dl6MEsw1ctOwYZBz++jv/8jIdH2sQS4g1vMPIl37+
yhVRj4WbhcbpAiPhBQ+q3iDF1C/OcldPVyTaFX4izW78T6O/WNLhKB9lLxwazPbnw/rRhC1JmxVn
teM1uCSpIZFF023J664/4kX9MtU5MmIQEzHWYe09Er1+PticZnM+uatD3VLWLwVSi5u1menI7cwj
yz2qrbo8LOuSnaboisYEfu0qnvpx7W6tXtnGjYOnjns9FFlxUhWGkLFpL36z8VzhTTjgGJ3DqDQy
oqTE71Njq2oGOk4rs3/D+TK9mrwSNoApEObFpbEsUBQFhmJQBfrSA/8JMoJ9K1Gam1WO0j/XUWsd
eQuKTixIXVmdai+rbjIVBE1SjW1K1opfOmrX46qLg3+7jps5mzrvLFr65VNENW1tjM5Pv/WjvdwS
uE38rqVpc3q9kK8WpdaM5RHhgZ8bORrmSS6wP+GFKF2VBEXm1fFoDcWQ5LZfewmh8O1hSs2U6Jys
2/DeOF+EW4qjr0elzlO7zuwkq4VMEyRB3oz1IuFYuxEFE4k1awGHQ8xjeEpSZ/YFKCbydpk/yYKW
Fn1XUveLlx6q1YCrUTAqumyCArCNeqPrN523+lde2q36ELmrXhPPhVGw9YuhfAzbSvYHeNi+uVus
WpIG2Q+6uXWHUvZbSHDZJ8McYCcq8gg4pcoczI3pgIVxzVVfQF3JvS9pNKW8YAiAcU2o3dKKw75t
OzZnO3+tURKQOkRuCn5exkqsZyr09FwL0RNpEvWk8SyzZzw6ogp39tpbTx3WItNuIRL4ylSGMHZ1
Ieo7YtL63VJ44a5ahJlvJoxor7nS7mer6O3TbuiCEzuaou04WOommqbmgS7Z3UV9KW4aPUOqD4KH
ZZUNXw/XmE+Lb499gvEejw6yGpzdF/cNsyMWGnPVzwG2Y59lAAVZEd5X7UhNZxjZ2s3w3Nh+vu6M
cCI7XeZF/ihyXb4yOJ+j2C5Z4DaNDBQi5UEyp8BFG5JQHjpzstgqd8kvFTC0O2wq2o3d9KEgwNDx
+7iabPXWHUdU6Gn1N8kLTq+wVu3zGub5IxBsyy9XiI22TpumRWwQan/dR2okwm3tnsFU7ReXxLxn
LlhWAc2v3p1TFmGzrex2gg9bC0ds4OiUfpJ3lns2rmUWJUVq23tryawWmxM1N9ysaUljt4+AtXHl
1+WNZMBCCV25po5liF6r6xd58ANp1luBNf2LiOTxtrdtNaNgUEMY+6XRca9bKPhJHYbNcpKikoPz
M5jqxfC7+lGtkW43NHx0KIvBwHPvIFG8rnVRq7hbYNAknUp7IN21FHNSWvPxes96KE8aGHl2EjZh
9lpUhaW3KwHGWUK9Mz5YLCaCgNZ0vMwMt3n2hk41O3RR2V1RrE2YZLAVo0sJO/gyyrrlzBaONcU5
fCWb8MZo9uMmIlI9Dr1ymbceufdntJLYZfRpVl1MVEYrauAJXHx0Wzg9nTtWn/IZf0qyegpdndLF
9kVJce9hreAtjruVvIRDoq16OKns3i9RUM32rQpxIE90betX8gC9AUezHAufTFET7XpOKdpHhu7m
LT1TrTeWDPI7XsTBPKxA1Ze9XwjWxAxDg5g48OHaXdJl2ghOKor7fundpFvSMJ7LfBp3ku4oj72u
DLvtXHpkl0hEJ3FbTXLeBtpZu1hPc4mZcxpmdhxC1Pa3C6sjdtq6D12sgXJrhPpUSl6DgdU3DiMF
ERCxcnY/ybKy43KAHpOsMwtsYq4ibLeZcGAd5yVmaiKvLDeJDN/7krlleNexC6QX41iOrxOP0I27
GismyB4YaJI6pbqs5EJ4jquK+dJUQcs91Y5/V8lRdxsMQCrm1b5RL3tbwZrdBEuQDheyxnTmQpcL
pHIjtdh5IcHLy6ixmqfJkkSml4WUz9qwoaEzB8A6QMGc62NNFgTqGsTRCCjSnpT11FpE4ohSavB8
FZy5lZPmW836vMnsNcuTwY7gxAfkrT2NoQWD15g9ZmHyiKD5Am33XtSFeeuzrJ45xJE1G8209BJ+
vSvwuWfWctoutlmx3rjdk5+u7UnB2w7ATk5DHRt5uxAvUeOylUAa430f7Cy9ckOCYGJTB+beXCg7
knxaLF60fnJu2qbltuS1zPWG4NTaj+Ha6dtOVs6wo862ewLtlffG9i2vmeGu7sFi7VExl2b6Ct2o
VLshZVR65Q6RdGM/KnW2ieqU91mFwdpulNn33wDffX5ozKE85q1CCSiGtZ7YbiHGnodDAFrueWTe
byDjt+G+LAPST4NlNr4F6cJf2yX/7bAKtbpNs5L3DmxaF/l1XuKfuZtS8oP2S2Ot5THMZHjDDs8s
d90QtV6C76H2DmjH2I6ysTODLYl3jdoqavvPyjOr22Jwp2+WAa1kt8LMWBKnMGAkBBplfZfN8mWw
6/YV4UVJ3HWD3h4JvF3thM12x7XLHH9refnSbG3RlsWmtCQ9X9S5hhObuG/BfJXzfOWaWbFsmUOk
1sEh55cOtO7UnoCGhSUSrKKLR6wr3Fi2Ek9ta62uDN8ZQHYcEbz2axk9lXhtfW6ntfM3FjBUs9PI
Eu5J24I0JSQ2ErnZTUghMX/fRqQX7KQzMs6ojAy2aF0uxKAOq0iNhIAAR2+AbsU18szSTtYCnq3d
d4ubEOPo9MkEYzBPfOlgqFV7yvEwP5LBk2M37iUcnbK8UfBjqk1HFYizp2us80Z4XQohwC8l7Fx0
/5dIQtjaiHpiKZTS6uB65EC5yZp2SPWLjnXdm8KxQenRRdcmBqJPWkfGg1f3XhdLo7dmWEGuXcaG
5ctvA25Ij2Yf1g6UWH86LzyLizv32rjsBhOb9TpajBerss0ryxHWtHHmYUkTnGbWM1+t1Z292Fhc
9IMDHzbScrU3QJLZt2pU1v06mNUXwyzCaOsoYvtiHar2m89I1YlbGsI6VkFlLjH0XlKI8np03gpI
OjWrWbEUcZMOXZaQ+irP4JguYkt+SOhsGo/OJJkGhwfcaa1jkVezFG96UaQzsvqaCdq42NVTM1rt
nbGoIUuC+uhVmbWW8UVkNWScekz9Q58G/RdR+sHzwibD898P4KQuI4AuGZRnpbwRi5IxnlU+AkUm
X0xEmbW/5aNqxWECQvuGiKTm4U31aB9UEZEU4S2RhogAxfXOENOyJQGBz1jNopFJIDKYANHUtOhb
hYMPuyVbl2KnVsVVhOQA+GzKKjhf5Tyup8hfsC9hRCrOx9yxnkJjsXFDXkfvxFw6HSRMM437xoR1
F/d6ql9FOpGu3JqRaPeKTujW073pJLJu2ARTHUATmkpynw511w837mAPTjL0Vf7k6XbSMWELUsUV
9oGnIKXlazOsebApsPZ4LvNwPFNeWTEbWxnrxQFiVO+6GSdyDuZUelWcYeT6OewdcTND5DXieQZI
THo764ykDyjPy2UxSAwjGNA6YF5rJKVnz+7GDfvS3vvEiX1pA1w+tgM6ic8VSfJRwvabnomx9aub
LnVZA/J+1X1iohP8PDN/uF9yMYSfa7/ov7VNo4vESjFlhMwKwSZZapzG4oCns8B8qPA+qTEKnm0d
1N0hTydaUfjz3rp166q/7MtwCfHXZeeES7X2X5BE4NMQ6ChHrgW77DpYQgOq1yi9Np5IBLi3s6I0
YAmX5W09kGQau2MpR+61ad0zZHe+DhiByF1nB5m3DfIFWTgD8egjC5Nfxq7HxhD7F+voMAbO+d7H
ujIY0ZvsL6dFPuV7M830J6ag1oWrVH09CeJK4skNOgKFimw9Zo/Mh7TW8iVwyzEJg9S7UaCmoIaN
t3xAPPpzKvHjxPX7d0M1zoYJRvk+KrcV47gW/uicMkrIkmz0BgJNZ3b4VFfU8p6VeTuVhgSGV263
7zQk+Vpa2a5alygx59K6AaYIkz6XztbrrZWKTk+npVuofWbiKBqaNLzx2ql51zEf+D7o/O/X+X+y
t/b6+xft//G//PmVkZQqsly/++M/ruRbc6fV25u+eJH/e/zVf//Tn3/xHxfFq2r79pt+/69++iU+
/5/H37zol5/+sOUJ1cvN8KaW27d+qPWfB+CbHv/l/+sP/+vtz0+5X+Tb3/94bRlzHT8tK9rmj3/+
6OTr3//AD+SHCcvx8//5w8sXwe/dFU32Ilv19svvvL30+u9/MOX6Gwj3kcOGmw1PH5OP6e37T5y/
MUQly+KYU874g1FM0yqd80t/QxWNAIqUDThixynkH//Vt8P3H2GGzhCUcAB4EMhN7T/+de4/3aX/
e9f+qxnEdYthTv/3P9x3gA8TTqBIYOqjiQGfZ74bB81F4S6LMvASbNLqNWdnFmokjL6A7lAysfxk
+4t40QjDyriMHPQOczpaOhYMK2Ov7zVB8UFK3FgaLtmJN6l828MQBfYLhlkl9RLQr3ajFezQAVzN
tvQQhWRmCcO25KlW0sjGhOe7uVK1Wq+lTMsmZo2okTMWxoMNIHVXML8vEI5U4RKb0Xplwo/HZBtP
+DpJ03VvmbT6cekX/mM9uCFzGtiPTkwJZiTVFFRVrAVinhhTI5nUVbeekAVsfsDo+3Nw9sP7y5UE
M4IyyBwVVsMvcig2ykBDAG338+od/BShnFJecRL25HiRP5eyjy1ipxjfs5OY42mNXict52dX0MlB
h32ZtZEdMMhpLpXrnPmprtF11G9t5kXbPnJunDWlGWlHxeop14sVRsMmKIthiV3gi55mG1Jd6q4f
zKePT8Av58WIE7nxMbr2/RMC+tv2szm1+2YyvkRQoSAGOhfIU5rEyo37sqHWSqvuoyHe7456fM4t
nFUZLhzHmD/McL08L+sSRuTecEYGq2h6dgXcojgSoxtjBWHtf3hp//li/PgivBuL/nn3gqPLC1g2
jh7vgQ0lRmc2DK/dL669XEM+NM9tr+s21pTldFerQjVjfxQ5/G7y/stB380pW2zhfDWH7T5C7xtD
AWL5rlJrS15asPvr83tvqfX9WEcSzHH4e/TS/vmCNuYos1BFktu4rDtI9DQhzmmPH9saldYGYnW2
WXBz3K1RfVlpnSV5M5avgeyrjcgNOx6EaC+aFSmQT8X7n+HOf347mJTAwEfkD7rVz99OoVIbsoBi
bAgffUZ1Z1qtKxOycjoQwPOfoRDfD0ZnfZSjwI14rzSWGTg9+th2H6ZrfsITmO2muv7ISPJ3TxSG
IeimQ7KXf0kpVUvau2roW3hhqXuiykzTq8tlX4tqTLwZLvxqlfP3bfinXfjHx/gdwPL91AL0PSEa
Xab7xyfuh9fG94u20g6nNk1lmcwNhv2tWX6UHeG9w6w4DHg9tASoxfwHNPfzYfTUVnDx/XafByfZ
cBuqk1SZDCuibdtaZ7WS20ncTs3BMB6Hbtm4EimuLDeR8c00dpaKdmT+Jjp9QC8QN62zI0Vvtr4y
UTy6A0HaqZKCZnApd+YkSQ7cp45/UM62zvqzzvzqDu52AfHO+heRrieIQMI62LvuZ91t8+gkrS+k
58Ue46a6sfZteuNkuD+PyznCQiR1UyKEl1SrpINgiqWnrdcWu0yj/8dE5IMH+09r0p+Xz2MmGuxg
RO1gEu/5SCrqI2Mtqm5fQuzb0dbkdKyed9OUBHSVMliSzunWXeuw+DO2t+ImnLCiDZkVeJ5QJ+ZU
F5cFU6R9aizmnmAgqNlZ99IR2ho3JKjtGKvAH/vr5eK3X5ssGxIBUdpRFrxbmsgbHZfCUmq/hAjd
YxdDbvbl1+DB+SYIcY3lFjHiI619z/Qti/29f3vjf3eM/P815R/2Ubr03/+q236pKe/zl6J+ab7+
VFIef+VfJaX3tyN4x54MwQthBDfne0kZBX871pGEJ2HQdHRT/ndFaZuUlCytx8YHhw1AuH9XlHwY
KyH1H9sCSTiwmf6TivL9ngbVErccIHNsIikr32NvXl93GM6V/WEUhr4gmEHYcXW0Zi+dXHxERzg+
hT++XBwMW2W+PsECsMXfS9CLxihs23K6A4IEfWSfdQejmLMNwFF2YDDEsO+H+/CbMuF3B8SD6lh8
Ay4ShvTzwldaQ+uEqlAHOwKGg/ZVGJdE+iBIMOvmevanj/Ia3ldfnCE1F1y2o6E/L+Jxwf9hQW+t
NidPijYcaXFJ+1b5wZmZh811P6KAa9M82zGckF8zj13lr8/1/V7i4y9zLGVRVFDXoi76+dBRbqSN
ZXZc0hI4EUdEe1ej3PzgKL88LxyFE+NqwsxF1/fuigoiESmYOUo3j/oU7ND7JDLD3ilSxT8KLzx+
1k+Py/FYsAPZslCIMgj4+YxS/I6bVU/dYZpawiDn4yC9vxtIZY/zKmXDSj/IhfzdyeFCBxOKYoNu
7l135UzKwDJHdIcgMoY4zfP8YM6TsV8C7/WvbxYu6cf78dPZMarwQmRg3DHiSt8zgICLNOM3zHmq
cBov7Ko2nnFSadYEeGi96UTJiIcmxdm27hxiGJBnG13SHwLxucZXDPqMz80yqq+qXNmEo7oCozJU
FBg7EPSCJiZfh2nnIZpPYwP+ZX4Uy453ud0X8NGsOmc+ZHXWXdb186W92mYbD6h0njCnQZNotk6t
IcY71k3VHXmMEN2dO1MXrhfDk3ZwuM+Y/2DPZIG3M9xsug2xD2LcVBF+O+dVbvXZoS4d9r9R9ytl
woTho5UD24L4Bj5aB/ChWvO9CAJwyZ8oRhHmpytIaBHEEd+1SQScnie7S9vpYJhdMO/Yt3X1aOd2
hdID9ybKMjTl+VhvYP21uknKflX5VRcYEQBLDpw5PQ6T31FgrE6VTmcjVQ8KeJ2GudiMLrKxjVFF
UbFxYFo8h0FRgPcBEdAiOx1SdfjWTOyemxIzXaY6o+wAihs1zDQ5IgjOJ9PtjSuzXMzxvHUijA8A
cgI8wm3buO9qcvJiX4phxQPBIlAXdeJwbXMtiw3OgJnehiHI2dYrpcxPPVmqz11qemBuGVZibcM1
AYLfFfgvLgAmfSPODHsR084xy7WAC4DoZrd40urPmJCKKcHdT4+xmmnGNiZmGBK4we58MC9hAsaa
mTLvzMYJSlRymKXHHlFxTlySlzM82bNVPLRRHwyfMsw55S7IHYwYMrmg4FKYZ0C+w4snvBgEMqt9
lXcNgb/K0Mc2b2rMGIf5TO2CLDOXL25edTWpwY2BXzkf7F6PRpYXG2EKG0slUYDi4YEyrzcg1an3
sGQKClyTF/UIoIxBx5nlQYjehgPsD+wUoimIPuM4ZBs67pQzRuf5BAqwCbMcXsPqud2wH7sgj07N
NMLHIJ+jNLvshROCJKQOVGr+ChwVECZVzabMrRnYKLcbu0waRxZYFEdZSEVrdiiFE9uABBRTn/fR
TZW34XCOa8Zkfmo8azD4N3Z0SX7IwrNrLKu6rSHR9NdgBYENB8NrHpSEjJKITjhyNxTTRIZuLYdH
p0J/t7EaeyQyqKlU/hjmbkUcfd+VsazToDm4HXr72zHIzHUz83oAE2Iy5Z64wnEujnEhAPRC4Q5T
oDVARzejrbvnaY8eMg0IFEvczR7aghni1shXPKzbiCAXhFlN1qNtLSFIBeTnmPnXDt+wITErFsTL
Hu4Kdl5ugIUXPI5pxXmk85obH1hnitFI99ZGzxYyDDh9LnC95UhrPjijmALOM6gAsBBa9Rt7FG69
c5l025sxc5dL3Vel3JQ2ficJyUyTiDHZMMpDCqhpb8rVq5iXC4H8vPEwFQEU7afh0qkX00XQjd5i
0XhVAqAayMYhCH1pzC5bEzcLVIo/h0gZrgbGcI2tiWx3RV/o18bx0y8mcoxwQ7e+1IlpCwZMsHOK
ctMHoWZhK2f8l4DLhxtplD0BHallvHltOsk9Dqvro8xLMZziTrMOWH1laGoya8F5v5oAPWD4TKgx
1xLWCEhkeBOKObeTlEWpSmq3Ga57Q+OUUIF7BVvHXCfUyHkmwxjX3WqCUpM6J+inijSegLCbZMbo
JE8KJ0WheYwjci6CpiOXW+OJ82AOer6TKk/tPQamqt4NY94Yl01RGYg/x0hd5ZHGwtovIrJNvGGO
pkRC0nl0hjbzExxIrFd/yNTLuKop25ntEqgd3W53NxzjYxDQ5Uf0BZeZZnNEhORF1ut8O9uiSmPH
wB4gCUYA/7gLXXlSeLU57PO1xzuUpHjy+wLS7E4CDJyaBJHMgIpcB+5LZ4Z5xePQ2Hni9GSXxiUu
KtiASsaDSQPt8ELZUwOby4a53ax+EyDYMuaHwijF21q29RekRuWucfX8HPmz3LP3iSev7dcnq4/Q
AvURAcNwgoCquGcTm5aArzWfOC3tUKKdYQp4PS3uNl4g+W7EHGA8dHoyvs0gg1fU3lmP5mEunj3s
yJ9rR6l7bSGxj6u2K1XSGkVqwssgSmxvF4t+nYSR5kkm/EwmoHLlDQE2acmlbB0oVIhn32yrAWaU
YTZw5dpefirSzMMQKw+9u6OD2efFzLZOATNlkDrcrmOa4dYDVexLXTjVOdxFUq0QVFVpizPDJGT4
IJuuujeY352JaYbJ3TzLft7Zui42qcAgoNS28yyKzng0VeQ/6tU7xwpwuDBk2QexO1X9ue49zGHC
ct4MdtWrRDUrVkHY0uXn2pDTVhmDuO1gnpwJd72w7XbYiN5uL7BUiTxQcnu9LjpfHzzwSAhv8OgY
+wbArYbzaAtrOzn5rQxlcC3CJQq3Tj1736DYlOSZWGTvttbsJSIitgWUX2+GNRIbmK1tIszqgYfC
oh9FXnbv1BZODot3I6JpIN5+dN2kNxo8uvwzTiE7dWDUs+KuwbOxIqFtGcXmzIob99TAj1DGJdJp
7P7qAabTHNqvhlG5b/ZgW4RlLGPIfjY/FlPwDVvA8dSNVue6b2rzgBdYsyGapXvzlpx0xqnH0DDx
Z5WJxA4U7TKSAtgtjY+jn16sKB4NbT3KVJqXpcReylOePjXCdcjiYlqJVBm0ZRzqKOi3qwODMS48
c7l39Ljm+5w38a2oh7bah1Xk3wRcl8uWJIxbc85f4Rh6LCxYqJ9hFZxdSBC29VpJFZ276LN2dh0y
6C86zPbjul6cS+Ch1WM/IpUkMivCXAoCtA5wxxyLgbpYQ5h3dpvGChOelvAjjYYd8TdWCoOL8cWe
SNia8kN6kjc4BIac8sHeTmuz3kjk+m5SY+9u7WqASIs2bVlyMsQXf8Taws5UUrW6smLGPZ6PA05w
he9CJRJKLO9J2oQdLSDC47nbzMOTrMo+fKYIUhAD26m5q0RlfREarObQV/M07eAqzfIytzLok+Ds
403md9gkiXWtS2JzA7XuV5wbixPDHYfx2VL4AXxl1Nk7J4t05idVMZF8amE7nc4dAaZJMxsWgG5l
YjAHHWydEzlmWHzhS6J3srT1Hb6GUKKMslDxSLBEsD9CjiRFmaJ4Ci05zmAdHtxqzzGieZNqTioh
0Ew8p9JRazxRnGwEeIlOutbuvmEYM16UueOcUuvIWwd+hHVreBGbe+G49TcAYkyqQid3mm3EIhkQ
g1aKa7Nfoie7ihjpOrKRj2kq2m3f+TkgduUOD8qjF09st6PxwXoEpXM1zrgXAm0r2EBpFOHNxcOF
rh9hGq96Whav6DKHm65vxkNUHTeXpdUF6mchzpDww22lx0uaNK14/UU3fqrccnntpzDAJrAO6nPT
GNKrVdogNT1jZpVgf5XOZyJMKQkhn6blC5HbUm8KT/kVhm1WeRWWpXHvqyVDtRni7hbPC/zlqzoV
ld4bo5M98cZS7UKDHB6BT0IcL+zqpUvhmOOeotLrNgV5gmyAsxp25NiRDc55F40Wgm6ji26RpeHh
UgWpfFjCocPGohmbXZW6w5n2VZRYrpZ94lbTdFhaa9oXTj7jEReJm5WunVfaz06F9mYcbCEtFIWf
ooAuHzHCooGyy+XTUYwIPWaozkGzoC8Ydg78dezEJji4DwZmWfHiU10E8JUoggYK7DmHgjHak/9J
iegGwzLMTSa738LS7L7NjfK5DvQ/h8Gi5G1m2cUDNExonTJ/cNZ630RNd7Kq9tm00jOH4OurUNgn
ULIwvAkE63hTxUakzyXN4cb3q7MstdxvmNiewECjnsUpBP39DofVMTbCcu9l1hUODiw7EVtq0GSP
eOpiHK9tCwqEVrs8NXfw2mMvb4NLQ/e7dEbzFbsIPo8sjhUocO/b4hOVuosO0wKPdvJdFi59koXp
zizN63VgAfIyt6UImsoXBM5VbAXizKvce2L78od8ROtmyQz4CYLrPouo/im6upPCDq8Xk/UaF78W
r5/QaGLLbaJPw7h4cZNRXaervMpVdcY+0cdd0c+HzsbxBkJWcNEwRNvawPnxMDk6qbk4YO/zdFtp
Cw1ulx9UGngnhvKmvTFUdx1lVyya/JS4Ju7LUA7JOE32we0nWENO98lp7F1Y8rtpjfnUFMDm1HBt
46Vy7vqcF7scqPIwwLPW5yjoLi0XI/epnrJXPn7ZIhGGZZpD+cFk6M0yy7O5T4drTHMiDWO0OldB
tBOOthLkKBAw6j46rSKOSWQdfKQ2/+Kvo30SeJ0XFyY2b009pTY3tdhi1e1tTNnfmM10lxUGssgg
uFhCS19ovBPvdD3PfWJEGPC60k63g6rM+5qphrMpa7hEPMco37fG4JyYQzbgOa4MiKd4H1CNwgqU
+7zQ02Mh1i7ngD1MY7XUrDCQluM0ci6rSdf3ThOMmIFYY8HnrV9Cq3ozXWExauj77KRB1AmQ2RM/
pf04TNNdP7o0i33YfR4ir7qYaas3azHiB+hU27I7RmnqqCqTygBniD6hbX5ijcKupJijrVvYEhLk
QhOHeCMRqrtaG2HEA+FfF0FtiHPYe/ZGMWHYdsZkvDlsDvEEWf1yDcQ3XrVzdGK3JW7sCTUdqSSU
sVZ3ov3ghOHgHd33fWfWwXnUiocKd5V4cEhgrzSmktngWbQgTAWl8aj7fEuu6vBJDGZbbtOqkCe1
MdFGS+exHPCpZDX7lh3DHtow2tFjALjNYXSFPrC9sya7Pq1E1MZi4T3JBlhooHMEbZBliqpA3fqd
zT2wpnSMLTG1X49khOtgGKnkMuNxdPP0rAZDuA8qz9wNWXYoqp6FsVMjEHrmNjdIVlzYPKEde0F2
V/XtXZdXzicjyh8ivwg3cMSc06Cbz7yBzZr02v/D3Hn1uI2s6/oXcaMYiuFWlER1ckeH9g1ht23m
VMz89eehF84+lrp3C72vDjBrYYCZcamKFb7wBoAAoMHvnRjQMhWj8gWcz0UUqvpT3tBK0XR2XRUi
T6pFDyCUvlcLglO5XiEW2IU8uU6vf9fDwvtWGSlkJ82c8u+McaHKDFXjthcvLQYD+5Ggd9wovZ4P
7Ng2yAAmkCLp2Z4XGcGXQYTj5wwpw4tS78ufmZCFeWOjqqV2bNfQoz4Qus42j0F0mfai7zMKWIgn
Gw0Og2IFg5I/IeCbtfcWzIBsW9sKyI3rFt9lyh819Y08ZJHK7nuMVG6I+12/6/LHHgwyHwEByp96
IuxPutfZLGpaPuWV19v+WKs8wPSWIvFMwH9bjy3NJ0VtPCarMJjTBLp0R01e30fe2B4625xeMBYZ
CKqR/cP7xr4sDaUO4HmqIMnFgohY2rWXcz6IeYtx2vh1aJQxbYjT5F0jO2wp+z4u7gAEPUYU4Tbj
bBfXfUYg4aNtFy10OTXAtxAokmDu6WuDG/USn+OJMNo8e4azE6pS26YsYpTnE3HfVRPFNTtKi8/U
2eRzoXf9p6hYROND3Jn/6PO4bNtl7h8psYxIa9klZqC6J3uEJfOm3PE6odSBUAD2ilFnCBRK6gbd
A7KB50J0c+kPiBTcm9bU6ezfBRxZl7G/oS6EqbZdvBZvoyrqlY8edIcc6dyIhwFJqNC3qOYul3It
u6LWAqZuh+N7/tgiVjRuesdsHR63yat8jbYrCMCltQwubBdOB8Q0jwIawSu46xLAKkjm0tp0C560
e1lT1Qdg38JJIRGjI0cjIL1eQnRnd4sVd952zpAivsKtJV/PRFFcjG1rDXu8JuGHWHWi/kydh/Dc
lIytHZRyIK1oo9Egh510z9fsSr+tpxKc6VwNY+lDxWi/Ga2KvzeRTjypp3OZb4ywmCjOknwhuj4b
xUNSDVVJBjxmaJ+aERLpnUuhCiA7iMtNIxoNsGodIodnQ8s3tlK03nNVpAoRcWOcvmqh3ecHq0uW
e9jVtcmD64HJbOXQoVxtSE1dDKVMvU2sYYq8z9xc0l0Yifr3ZtJn9tYeRI7uk8qJUto+ru5Mq1he
9NquB3+uYze/SMbaEnsh4yzInQn46uRm6c2MoI++65pYfpdxOmo+zKYlv6CMC5YyiZWB6GuD8MKG
/SRyX7qpM+xcMZgm/9Spf86trG8suOCVH7HSgPbBjHPx1WFWbfK27n5mSUgtys1k8nmZa4C/lt0T
3UxiKNfVkBbXzkIVB9V07orNVKPSvgXwtxgkHuGMx3DTDPeyKNyRyLuhRsOPSBffGXPnttKpk+7K
BuPVDbNeITBI4GifKSWq+9HsdY0dQcWarZvU895Z0iQIKaLX1IApQIAWNfuvDaoUExtaTN0aflS0
fDvU1f2kaMoBcVutTQ4uvYHP9lwCvveyLF02VVss36qGvbIhizdX7lkmXxYMu/NdrjrjtqYe8JtD
B4oUdTkwDEtlxJdZr9S8dSAuLL5bWJ277dDEfNJCy7qsjEG/LpzW5eXWzDgHJVu7XxsFZwDOGyBh
r63Gi9ouqu8e9T8/rNuv45zQYc4aJ1T+SF3E2YRGPT/bo6wPkd3REwJiH+tbFVag+Ge+XL0l4Kbe
lA5J/2mxDGDSqKDRcp/GtSRV9pEtd0RtlGhlXiXWRgyJbWzRYl1+0k2Pb6iHhb8QATDgt4DX6DdG
E3n6JofVxl01zZT3jSGfn6VrDj9hjo0ghKcS8hCiCA0fdVn7CtkyJcKfEO1XG8huC3hnobkgsXha
xX4YJ13f1V7uvBAhIoArOqe4B9qbgV5rm7raZKU3PiB5LqFEWc1gc9Xaw34wnaE6AOdu2ZRQSXKg
19CdNnpkCfvOXu+sIMzSPPfjJCNVbuIC4ow5jbBsBm8qKELolc5Di1Oju2uFln7tVWoUlzY1wm85
Zd2HxkbSeWs10rjFMd2FMBHB2/MjgeAyZd1FEamGXuztk7gXgOx7ZwWDz137gmUbmvlhuo6bs74b
x+05huHsQM8wai2pDmgYlfrOM4el8lvcP6950okie9TVLBJs3peNhuze71Y6HYQTQ8/JDxO7qg/j
kOpYP7fGH4RFLKhX+tj3v9FYt+WFiic5XYZe4hy0bPSWLbteksqnU/9H5W3T74eyhsYyIX4zbnJT
NHdKNeIbleD+JycbPIc7Y9UAd4RWWe+oPiUzmpPolrQquUknF4y7xwPEtZXp5ZNbatW3mHtE36Bk
jExEVIviF+XscPYlggo6QV6bXWUF4EY/6jMCJWovYELQYmeD4I9T3Va5a+ZbQ6spboQ9jmwQserp
p+1MEn3PpB6WTUenvfYjS18eEP2muWPkE5LjzWI6DTVeARxKJyn9k5lp9yUOI/UZO+Yi4TaOIUYW
Rmw/VUnIo5hwzL+qNNErvxrtJNlEhoYHVjdQyts4dR0954bDO2dqKSWEZqotI+jgq97KNGLn1SpF
NxNdyl4gBLW4z8gNWC8QUUtgNWa5jH5VUo7a8IrDilLLjHJH7g2tGSCdbxd7aYUjSZoV/YCLIdW+
BEJ3jYepCgNEWtwLJoRkfS3N4TceP81jlI1suJH+9m9iukH4xgxPb1PNrvuD2r53bVOKQVG2rDzI
JMM0CxD/UpQHApGIon4dgeF2G6/Z5+6oB87oEv6Muoa8OdpVDT2XSmhfFxgg+pbGB6h4ufZ/AiOX
ZBOlXtl0EoZ+Xo033CzZ2lT0za3W9RxcCALtytDJV8oTAu6AekxcXT4vo6W+DVYkX9hd5ezPeqe+
luQyD2XY8NKMSbVw+Nx6vJpEMqHt6dBT3ME+nOxL2cDVwDshKm5V53LhZLLTF2qSLgWnKerYYd6I
l+dd4k5rXWXoope6i5tvwwh9F8KrMS57W29ImlVcQdOQ5tR9tVJHULfQSfruIrrB44+sbqIvlAVZ
CESh5nkHFc97iXLSgsfWat2Ul7WiZDwqQ4y7wcNOfZu2ujL2FdzdNohSx0I6CJVwc98MYZP4KKoT
aytr4GGtSjMy965qrWfSwwmL6Wwe7Ju4SfRy2HjJlLQ7RXuz3heZA7a81POZSMOmQknQnTJJlTdj
fjXjmIJu+0B2dOs1evtz0ONc7j0Ypt9oJzTVXnXwW3YRnbOG0hNv2QWPxOywz7EevSQvLiXVGIYl
WeANodthLsWuY3d8b2KjXrYdtA5yljaiRdkYLeFT0hjjjRNLTGYIiSN9s8QUWwmXcfm8m+2eGSSj
Hnbw9Kb8aWx051vRIRm5Hwv0I9d+MN0JVrMpD8CAu69egTDcdWagxbsrjZViPddVCadUwlncUNIc
5HZJuUgvyESNEBsXNLO3eJnpbIrRnarbEEbHrw6i/vhQ2Nri7VuItskeurz2bBuxO+0twyJUo+aK
Qj+Fm1nb22ytn3FeWV91HkKNGFLZ0QMNAM55m1aO9wQpzyXKnwzihETEy20hZpjTrhs60FbZGf2m
6EKJNK6kJL21Ovg9vi2UdQG2M7lErx7OlcHuvgxjb/kZGUZnbmmOyM8Kjma9L+tiVjCcFaUhkkOB
JH+HWcmmkWMOxYsQmucokvGVquM2vWV5pe6bHYXhsaIruhldXf9eNLGb+dDmqUdUkzJ/EHwK2qNF
ty51pFWQS1BOvmtGSYUwjDwSZyhPET1t15prP82NkAuFPusFMUC7+NiUuRDKsjYsN2Zk54ZPRGRc
pbnQpi0zqq/LXGtcNmOaPUa8IQ4iryOFGbrFurtpKJTre+XpYUBq4NmbeE7sB9MD1QqpN1efB/Tr
w22ztMZLFFN8Idtfyv37KItX8B9gFaRBwJLx4YOXcgJWkbombVyzydb6UT7bop+/Zk03fVUu+USR
CPhW7w94CrSk5Im1LG6kKMg5EAJO4D8FDSvlaFp3sEK9x5Kh62J61ygY11tNgYq6Rlt6SlhbUp8g
KU2qNGWfw0J//2e8wrHwM1YJUAPdPjBdp6Kj5sqdoNneH0StD0/scm1b91BzqeOVZ4QiXqGO/qqa
egwFkB4U6/pT/gE8Fcq0V9my7uBYpd1uoi5M76n95Yf3Z/T6S+IjDg+I+jhpGcjv42Hspiq0URfd
YYCWt29QJoD15sWkbGEdDEkSn3G/fr2CjIfWE2C9Ve73VIOQa7ajkZp0B9Eh30Xr1fjcJujS27C1
vrw/NX397UdAIJbQILjCtgCkk3E6t0w2jpMYc3fIvEwiyANsdJzadt8A6GLEES1qKmjllTPLmTK8
XLaGPrSXyqidx/d/ylurbFg4jZr8HqLfk4+Z10AF6AL3h6JIL4SsfsfV+IykeLSvxf9i35i2h3yX
CbgLYbbjD0rfdInQ1egO0I7Tw0q0O2iF1M+wPN7anWAnofPYUhfyVLdZWURkXao6ilHApzhp/ZVT
6urMXN5aNgzrwXFJyA8YIx/PJU5TAp8+7g7zBEkvUJmntXewJfPpCjUuhL01OdLtff9bne5QUJsg
uldlGNuUkr16PKhdC3LQehIBOU33x5E2SGVqSnG2q2ctfH5/sFN9TAoSKwYPnCoCmXgHneqLuT1k
T9dtp4CuX/GjbFv01QGgpDuQz+LCE/BBJ2Dun422lS91NBLNFbZ5CMss3ZXmVF8bxI8PZ37U6cH5
+6MIU7lskcaBdXK8BK4A70g9Zgqi2bX9NlfqERIzZX5jmX0yiXoHh3i4tSqAIKjwy31XNuG+n5Nz
R/iNb2Eiqc5Vy41L1/H0nYHu7UhEUZAka6NAT8LqD7Tn8R49I/vu/Umf7mjmvBplgPyFgqYz9eM5
T7NTjmDclsClxeFXbW9c5JAUz5CI3poQHxrRIS5A4bgnm2vsaNFYizcFiS0oRw7oFRN7Fd4cATBH
cf0MTPet4dbBVvaQBfzyZLjMWMAj6sMcLCGIfniPANnM5QYfsXOKk28sH6w+l/sNuCzI5/Uo//Nc
IQJUas6CbqjhDgBaTEEdQC/OidW9MR+kjzmUvFUewO+Ty63Qif1JR7vA6vLxj7JT9+BFYvplV/QP
P7wfbLR5wVJzCzjOKfHKHEe6ZBb9VWGJBae75ZtZVGeF6VmVf18oNh3quFAPoUQAEz8F4mIGUxLC
eG3QLPXvNCm93Wx1H/QzXa8YLNn4w9lwsBhOJadkBzkC6cg2WDSqnKVlxZdl7qkzgcQbGwA8m+MQ
qQDR5rwebwCXEhHMRlzHAcel2wW5mUud4sj+/a/yxgZwwTfgQmQiB0ov/XgU9FvaWlPxHLRzZdwn
eqHQizRs7ToFPPBB+5h14VwTtwAk0Q3w0n/ZP//sabPsBERwNQVE8wN1JECI2OrhbTpdRv08PGZI
1Ixnnrw3lnElpkFOWM202erHE2R3ZwrsyYT8hj1/0uNiDNLZcj/oVPN3anCydFR4V87rqX3xklQF
lV96ucPqI3Bf04Gy90MrSvFB5Pe6hvzPgFHI8wZJ43g+VeFRvfDCMXDsafg+Ctn90kkPX5LBWc4w
x1/vDR3iHK6DVNTwwjpVKqTCTSWQimhQuPhAmiYmXkPZ1UFVU6J6fxu+/kpkIiv7Cy4TYrTy5LFo
vHAa6Iih9DPaab4RQGhzWP+/3x/l9YQMQWy1qsUJi2j55EglHiiTxpl1XNlEGhRVOV0ZjW2jLVC0
X/83Q3FJcOWhTXiq4ttNPT55odQDS6v7rZcUNInHbNg6ZibPrN16RI/vPGaFLJ0LLwfFZGEe7wiq
F30skBsLKjTrNv2g99PWc3Ljh4oBou/Qg30qF8ALIc2KM7fH689GEsBpRt1xTQxORZoB0Nspysx6
oLAhffSWcKZ+JYwP34RgLHkIvTVvo1i25rL/XBu0PQWOSpETFFSCDuXihNcGEmJnlvGNuawX+sqL
+ZsfnoxiTTbQiTxmFBkOWyPLup2ASfDhqIjnj+jbIhAkQhUnxxd8KZ9rEg4rloTgfUcbYbAhTueP
0l8caWJpAJ6N0IEn8VQKH1Bv3tKWFUHceulWoda3tSYTXassKz/8fXg4KFwYSA6sz+LpFTtWg1Na
s1x7v/gUY6a8Fz2qMu+fqNffx1rldHnZTZIX4/RE0X6vkXlWMrDW1mQ0QyQG8Wt8eBdAh1rdh1ar
Ap6Mk++jiwK4ndfJoNfTEU3x+lcYI6f4/lRe30NUXFa5W8QbVoLZyaOrZauLmlfKANRqd4uZg3tt
4jhLJpLjX/f+WG8sG1TalbjHtccRPfk4yF3VdGQcK8DupAZZRuSSbJVpDh/e2IgcQUvmraU0wCt/
fEiTAcGsFMn/AK/3ebM4EiAXQNMzn2f9U47vOgI7MCaIXzi06+yTd8KMip5ySM1sZldetZYWUauO
hU9DrzxUYvqgriwv7Wonj1y1vYaTZG7HszKVsiCqCCvQeCVh6bjLgS5+eOYbvZ4VUt0Skhq+V8Q8
p0kM1xrvn5cC6lRllVyMyFCUPgicUPjA7edhB/QUQb33N8b604+XknIb4rLsMe4IZno8tcLoB5cO
vAyMCanIh6xdegr5fe8UBwuLCOrYkYJknocmnDaXorp1VyzVcE4Yfv1ipz+DAM1A/0GudMSTL9rn
tgtkp5ZBAT3/EryWfiu1KtzP2TTdW/ow3TYm7kzvz/31oaAQAeuEQ47pNBWt47kjR0xfNctlkEJD
9CV4dF/HO2r3/iincrGsqYugNeeCk0EqbK0/45+HaylbLW0S0QaJGgFuKkfWKBpm00rxKd3wE/qg
metriRVa2yShiRQAcsheZuVq+oXtDGBo7BIXE1/GclAQ7is473XnTNbFXEzdl65LpslfMsuOdtJc
STNeNJaGr1DvoBmN4ulwoVOA7c/s19ffDEYgjxd/UU8lEz6eV9a1jUwHq4MQ2Kot3IKrqCCinpxZ
XJB6u34fzcmZYPT1GWFMrCeJ5FfCqmUcjzknq1s9TM7AK9LlgVhe80sxez/0wh1+uao3z+QNb4xH
kMhno05CRe7VeDiOxcastUFPzr/toYft0cvVdrOQ8tIFQ/n4/mZ5/SbwEDBDJkdljgbp8fySySqy
PLfaoFVpcQFiHHE78MngKsNzBbnXU4NmzPuzasroUHFPdj8hPTRRLWdbNqr7k5eRQAyujD6FxEfb
JLKtD8cH1I2JqnjodNuinnE8td4ZaAKHQgVJJexLOC+Q+mUUnavNvD7UHurfJmE9Su40NU6mlVPL
X5JkVIHspvzrBKnGz9woPXNtvhrFNkgfEN6niuYSKZzsQ0Qlp8wAuB2ItoquCFmomCjdvvjgbmAU
Ql7KDAg5WXRIjpcMRs7a/G2HgC5qfoAkFx88NwFJkw928P5Qb02IdgX3AMmrDf/heKh8iZStx0hN
TqE0PmeFIy5Qjq22Hx8FHzHg2fgyEcuf7oEWmCwszyEIBRgvtx+sL1NTqA86EHFFIDUgDYqbOpkC
d9PxZEC09E6tuX0ADMjaTRFqH/kUlh8s1v8dhdSbStUqEqCf7AHMRfqpHPIhsKOKWi1ObVu3A+Xw
8SVzSBIsxjHQHD/9MMDDU9vyekDzVfQIXD9CmnZOf358FLYx3n/c42sr7njFZmsGLQl+nGJw3ADa
Uq1xGyVTvv/wMOsLL9cIZ42p1l34z1MYLhiNWFOCoCnio9VlWRb2dB0lTlF/fKC1PIeFBDuaUszJ
yam6cNFBJvbBYrrRjQaAZ59OznQm2l0j9KOohSo+bTeqc0BMVwOO4+mYAqKQW1R9gFqqnu4jM9bT
XVyUdXkzRZVxl0dicG7GdhC2b2Syjj5+aNdsnzoTdBBp2SfLWQ6wkUZo5EGv6uoTwsgDFfazNp9/
y9mn0wR6Zuu8SH/f3eNpwqGeJntmmlVuppdGZCVfslLT+/0Sq/g+NhB/jqQbf6tQj9gpFXo7mSXe
mbVe1/LkR1C7tykOUWYiuj8508OA5VlhJ2Mg0QZGfrWt9gDnwgtjgogEuKEZ7xxIL+OZVOPVg0yn
mJIUMSn1Gx7Jk4PBvENOpjcEZTlE1xkkq62Qg3bTQV36XwyFrgnpLR8VLMhJliELNE1bJYYglvSv
QLqM7csMj/W6RSv1XOz71nKuXmF8T3YOJnnH37Scs5oWkz4Ejeemh4WH+LpUMyIFRqfX+zpp+NCt
yH99+PyzjSiFrWUinffzeFQXXCcCGsNA2bLQ79OwH3clptofv5jXpNrTSawFlamThXSyaDKxghuD
LhvBHdWivYohSZ/5XOuXP92QHAeeGCLE9do8ngtnoU8ypbj+p2Y+ECm4qA6CmkB9tAYlvi2xCPnz
8eUDvYOVFT1+vMFOJjaZcwOXaBkC/MAz1K2AtMI0sL/9b0YhymYAcutTEZqOdgN6BzzSM1zjC2+x
mm2U59GZtGhdntPlo9n036OcVD+SQmG5rNPYqENM0CvCHL8fDW/70bmYAiEjuV5dNB1Ot8IEJAkM
ZtIHdFur3VIjQJvpvXFmlNeXBE1UtgLBBoJWFMqPt0K+OhWqxhwChcAduF13O5coGWRR9uE6Dm1A
i74tOnYG/c5TxEOdFV0jsolv08UZlNq+uxDgIs6E6q/fNcQYOT3G2kfjrJ5cDrmaZeuEGVIv02Jb
QDwV1WsIsSjXQnEsv7mhuAuLIYSgkVfjhwMekxD0r0YtaQmPzvFiugX+rmFMjOC0sKcjDaWGHoHu
M9vvFYoFNaCjYU4u9nQ2aA6i5Bkgn2zRiExnSGVUd/oCd4woSuWuyDzE4FVXbGLsB2DQACxeUM94
/vAW1Vf8ExcWhstER8fzTVTE5k3CPsgQMN7AO7fuPYxgP78/yuv7nuQL2hl5EcEkzY/jUdx68pTI
5j6gnjNmn4xKQ+FgbtzxmddlukpnbXB3SgJePvNuvz7nFBypE2AFRPeNPXU8cKvKonPNvguGMWpu
7Q4DX9PMnDM7dl2k49sE/DD9PWYHJon7+HiUMU7DQlTtGgkh6pnG8HLyqSgD8K3qzM55ayg6GmD0
qJzRQDoZqssXaxwy7n0UrOAraB2C6C3YfzXo7kerHdSN6FeCNmIJweednMPQU0NPzW0I8Mi5STKA
9tqk/64INZEeM87M640PRfEerAGhzurovv7zf2LzEcgkpRujD6asqvd5WMOHavq4/fL+RnzjbqFf
SSS15hmUiU/OHWQuJPwtcrN5MVACSON2B4LW3lqDZn2N54i0sHaGS1zDkjM90zcmKG00jakYU1yh
TXs8QSrtdulBKQgQ66h3Q1HOz2aaIuv0/gTf2B/khIA3WUZabaepVJ4v4OBQcgvg+M/JhaGBqN4Z
MK+bbQWv5/v7o63LdbLx6fWBS+Pq+Hu2jyeFhKM35FBkgjYyC79Vi2p8x2lm9Ov/IuWR8A+dMzN8
PSZF8LUPx51FP/gUC1cabap5NDSDQQEXpdijEI90f1VTO15aU3bOX/n1dyMeBgCBjpsOgOxUdBQH
D1c1DXXGWNZUqxanwipkdrbvL+QbWY4kj6ZVhjEs8xLrd/1n/6MgPynhkOV4bhagdvZDTCr1ETn4
HUX2zhqTn1htQ0ck5Vup6B9O5dbRqaSuOwcMzsnoUtOikRiF+xkO5B/lGe01Kkzz1/cn+dZS0ow2
0GpkNfHePJ4jYk5QLgaOQErD1rfxqt61Foj3j4+CvyZXFpU4yvknb03ZdlWLxR9z0czoClEJ75CP
+pm78fUx4zATByGzRwWTtsnxVEblJWlXFioAMRD7TVrJX22aT/swtdL79+fzxn5nKLIW4kc+z2k5
KelELp20VwH2LEnr19lUPOH7K8yDNAbnoWhU/eP9Ed+cHMZyq2KhSeX5ZDckrZgqWsJI69dO+ugl
qHVALuhnTCmxMurObP03RuP6oK/lUsWnOnsymg6FdylE2wbKkmo3CQxL7bTCqKI10w+/03Rtiepo
3/IXAc/xV6sRrHARn1NB2vUWaD09/QwmdLroQpzg3l/D1xEPYDZeaJSK13N12sPtscsqtYnS/UAL
BdvEAn3+OxxU+mQP46hJb8vJEL9GEebLGTD2G1cJZUGaoIK4n31zqvbdNHraRBgbB7pTqzshmv56
xJ1c+5IMWeRDgrK3aDXVftMOW3jI0YfzX4ZHZXwdeg0s1yf4n5vMiHVD5QuqV8iJxru5DUWQxOmZ
h+f1plkHsV3IJNzwZFfHg3T05uPW7pHeiOkSYriJjFDqwaluzvVFX19ajERdBOVX/h8t2eORdHeE
om4viHghl7WPWmrtDRYSZx61t+ZD4EgOx1mnZPjqasQwJasJf2ZDX4mUK00xbT3fS4f0zNX1xoRA
ANMLoWyMIPxp5UCZWms0Du8nwKrse5L08mIY82L3d/9/SN74fzTCODLPeNdYYx3vv302/v+wzJAs
6P+sbkyJEw+Nh+SFO/c/Dhyrzcb63/xH3lhzjf/iraWU9zfLBPLIJfQffWPNdf5rVYjHSZRk4m8z
/P86Zuj/xX+A8jktH64TMNz/6BvTzAAtAkqR9IMyz0fkjf+mQ/8vngPKt0Jj5YqO5SpeyxbHm10r
ll7ks5ehTIEu8QaKV7cbsSW6JM/A8t4r5mrbIEP0SZFw7TTNRvGzgp5tFmn1M1NtfSY7PcmTAQVQ
CaAi+ZeRBKD2ND1dItgK2eA6u3ly9ae4ddHQgM+7jfV6vCv7IQkGhPyuK0PmOOyJ8GuJY/N9majl
6Z+vePefNfhXe553nbkfrQ29Nh76VeoJ7hFlsOO1sasmb2O0xHYdChBI8aC0Iqehuiixa7wCxvML
scHJn9TKe3dtAH7TVLVXbjw4u34IxfUiS/0O88/Sn6GjfjNCTQaAQov9ksAD7UuUCmPEN7ZJUXg3
nRPRpbchnqpFPDSyewkN2JxVPvTXVpa6N6EqUEJrZ3EJ0At/JRNNuE2FePNd20/agxNX5SejcDBR
RTtvEyIxkuLiZRt/zMmygyLr0UyRWXlDNdjxqz6/Qh6rDUYBbRpP2D7A0fYFnl7u02j6zg8xD5qM
519Dt6C/2GoLaBfL9CGlPFh5fjV5kfUl72x0Ns1i+oG7YLyf4k957qL1JcwXR8ue7VR8GuP684gg
w75xddM3yuQmwyL3m5vWuKnUenwfhV28gaHcw9TX5bUSKFEKvZl3Y6vamwXvxq05htM+i2X7ucR+
yXe9sr1oswr+YY7Cijevkm+TRbZaGjU6S8iTeGNlvbjdkCDdNtn9Zk5fisadkMR1NXEb9tp4j9Oh
xvqhRouPrph/l8jNoigokBCohgwmcyJbpD5iW1k/8rFJ8ku27rWmx0l4gLaHE8tybdvVocWA1teG
L7UU32ygCJs6ajwsR1t7o9nFT3zILs02/kPZ/3uFZOUuy80YieJOICCSi80AyOYqFa2NMxbUWNRK
Xzw3hAStI6fhrdIFqANs3EF2N6VlUm+QUOaHGWKclOOVSL34s5HAbMysTkMtFKfKYcG8rjJ/ph5q
Q5OOO64hsTzstGYzmkYOXTOxN5CTrxFLrQ9aPf9KkfHf1SOAfwQbVGBoo/CVHf/W0/pQzeU3QDrY
d6dhd6hralIIlnaHMJOPtNQQJkLMG5MvaAmOW/j56NyizIuAmkaL5EJ0QuyyqX4Ie0WBktjTNysl
7up8nqd974YeTSzbuovQecTBuPc+A0vnk6Jrd73UQoN43obJZZgI/RYvsOkuMYnBfRdK3ZWuWhsf
xXK4LpGDWHeyQs6pRlFC+j3SAEgea/aCW3A7xlcVt8kWba1xW5Z1BEW4n38kQmT32AzTTVv3IIAW
zblpIySdd7jsrNpn3lDHt9VgI80KlBal3g2AL2PZhOPsTZvJEib6YnUz6feIKkzLAbWZudo7cuLn
QDtCLKp3s9sx3E/4H38r8ZhEhOdJJLXcdgP6tzBhQ3/u8hBph7FFpXcR/KtxfWlao3yY06Xzo6Uq
90ZjYN6qEff7VmX8yB1P/8GFl90pCTMXT1+65wMdA8Q3s1l+L6xQ+y1ip0c7uBdPuL+UNybGv0h2
h07zC5zTgupp1uw1qkEbqq9wvEUd33Q6qq3NNBkHZ2zDXeqK6gKr2xhyULcE8OiL3pdTjLCHly5f
aQf0mxGp0M8wV73A9YaDobfjwRgT5w+OKwUoEn1sn6tyaB5jkrTEV0NhX41o/6bInOrjJ2KdOMCa
DVnW1EI7I5ElroCiKoOJ6rYvZzaaMtSIQqg9ZQ8lO4w7je16V0wSfYKshS+yDDHQz15qKyWPKvKX
BTS3+5SaYHSCiXpct2zcWCI/trgNWt/lnOrhp8SyUmyFWwoXaZfaiNCaSLUYZS1v6hIp6ILw3f7i
VDi6oTp8bdCWu0WVpbwDba+glUfo4ViZpX/DtnRHvmSNyIaq/mXM9d6nT2RepBgpb8cUurKldwPw
da82ebHScZvSJtilfav7rkisC7N2kiAr+xQ3W7qp+xWWftmH5oLQYtXrT3lYFdAWBjIxzIoiKMQC
ZsFdJKPv5hR6pa9QquaeQFW8yZz8s+sOWF3jf22Yq35i+gLu5jFB/BQBWWjgd6VU0x1bZrpDFdS7
LivEczYN/sBq17a1/gQARX/SIEzceUjmXIwhkqjAHZtrEaXdxsLy9jF21XggWS4eI9CjjzA37jjv
40XM+t/0FrilzQL05mal9+2SVtN3CNeNeBACK0kKnODyFBsyWfVJMEFe3xvDUjzY9jAgMWOixJHm
jnvtpeZFPZoIgpjZUD+ppTGfCZbN3i8mT+8eE61Bxhbv5H1UYca86RtK5lx9rhIbU1k13HvL/lpz
D6FZg93AzcAS+1qEUjlyVLJ9aroiGrYNYo0P/F0T4PZV+EmZeddjVWf3EEc09AGF0fveqOz70o71
foPzotIRhy3dHbLPy21pN8CbB8sMdFsz852dmfkDKkw7w62zz6isyegg54prYJi6p2J2ridrMPds
QoHEgIsqyzIUq4d7yHkZADX7GiokT7PCXjpK1XJfDhUWm4spwCqiBFzotfalrYvc1wwRoIGDUqAK
5aU+LuMusrLmOV9w5J3Dynw2cHf0BWnSAQxZw+UQl08AvZrnqBGoKBSivpvdfPiUoou/tyOLZGSe
PNaUcxfRoMbyu+MOhkE+GL7Fb9/A47wpw9Tk1krSb8r2soc+JiasxKh20aLCqyVzu0eBXH/q271A
vb7ONfMCmSFzJmHrR9+LnRYJCbSSn2nFutfh2DwJjI1/JBbqtM0EY5/D4P7IZoOnTkO09m7ICFK3
KEE1e5Qu8sM8xtFnGwmIhX/VsO9N1fT0ShDQ+JpClcNsNS/kpYzhdQ8wThGBdirefhsf0q3dYtvK
gxqrSwlluduardn+6lYRjKyzd42jsKDR0v9D3ZntSI4kWfaLWOC+vJK03czNF/Ml/IXwcI+gclXu
VPLr51gV0DPVg0ajHxvIzIcIpC80Uily5co9yWO32v52bhxitQ2rfgr0srlgADN/BPurgNjvz6C5
ltwsoibhswciGzIlW/dEU+onZs054euLvjfLtoys1lDkIE7lUWVB8+ufB0RKJ3bOgyD5Bb/Xj8n9
Sx4ag0h0KjidJ43A6OywGJogyU6z5CbBaOySRQ/99rjO1mhfdFmaNwZGftxPmXkrx94miYUrq4KY
wC5reEnacvjJpomjwHVnjhl/UI+rGvvsVTQLC+lBLjx7P5GMfmjwOYu48jtueDUkatdDFxdbtzbV
4z9fy63ZE1k/AZj9W4s0ICXQ73/AAwejJALBNm7wqrm2xix1PL1dZ8iYPU1WroJ2SOoIp1yuQAal
y2PXE+LU+Mb8EaASRfqUJo+icquAlBuKe8caml+WXPtLEhhkTNqtrR7/+YdUGtyQwHv5r0vIrMXT
Mje/REAGRixHx88iAmf4BaS9cL6RnQHlQDXut3Cq4q9rFfZBlTX/G2QD8icYRaUbcpPUo665zS+f
gPKPfta4PwMvX43YGFz+yp2aX4Dk9ceJyn/XqJZvnpU+KVvsDhmkYPAewilVzadOstu/sXUOpnQZ
+VPfHtPHIO/IurlffnI+g6vttP9qVf5HrfdNVvzznwGU/28z/b8LU3mXXf7rpvv2lcOWp/H+d7bl
/X/6V9ftOf8wEPywyd3lIobK6C//arpdoEKMZGic76q7T6f5H1Qh2/gHix76vbe+2zkZ3vxH1225
/6BFx3yFAsU8k6/4P2m77xLS/+0sGWHcXZYoAfjgsXUybvj3ztJ2Mh8AuBXsbF+RnJ9MzevQ9/N7
glvn4o2aeR7y1nhiO+O/M6rRhv678sQ3x1XFuA2cmskQ5/8bKCZmq5PppoydSZm7N7K+eeV39sYT
EY6JsU30td4kmPeX2E3cYdqWTXJa3Jr0w3Upv/uONkWOuvU0+uu881XgvQViTV/0wO9JeqlnC5+5
I3yyZLL0ScjA3M+mNT35RVDV4eg4nRGLwRbAPlY1PRoQGn4nCXplXrITHKUqOTf+WoUjCYXglHvK
W9H9dolU3CswBVtmNv6XwoeyhtowE6IyAbMPO+hfZKeras6PATnQmgK3QIIeUXPTPd5dcDS+TENi
nZTtZ3+ZGJTDYUgrAyTYnHYy7s2xerIHSW1H5vi5mZP0Ymgdm7bDRLouKZvN1coVuWrl2LTfwbw2
L4XECxKPRiu+JeFqH22e1huPbIzY740gjewhdRq8ahwCG4W/wYgbRNRXbZ76D7ucSe8vyvWeyIzy
V4VpokMPV15e3GHN1RvUWrLoCWYjeMubi423VP7Fl6o+eH2SbyZEzH1KVnJscdJHTbdo+0IWOa/0
QrJrmGbbStfzv+RDaZt6FBj/k7yzKODMkYw0z7yYg6XFWH/UxQiS5lZ6mbadV73bF0lREJ5DhH7R
U521EjZnOM/q1+CQ3AnIYqp+VKHKjzVBCVl0XkXTlE4UNVb7Zo8EolvOlL6SdUKwSramDBNYLw2V
kZN2hROtCAvCfH6YDjnXxO7Ap69gU2GnNnBRhUzjUsMTFOY6MhSbKw/NnTu4lFRI/mgO26zJ+q/B
D2Jy5x8CvdsYtr1GNUGxe7IU+gNzlfZpaEzrWhstLPUUDbxs0h/OC+1YerKI2hXSsKj14VRrlb0l
PFI75HVpvDHO7UNH0mjLzJhI/dGrT1pr76n3luVvlVnEItrFkr00xImvUZ8tI2Fy9hA3xjKdV8hQ
47GW+vLLK2g7dMLuvTAj0JfUTWdYNxZt2Laq0+ZAyuiBIMFv0pgS2CmNjHkwfrccIqFbLXlk0RVE
9kQEmqEtj46r+X8sf7gIuAuDEciNM8E9dtgMcHpsDulErMXKJUtakrkIPCpil0DOE63pxkjdbidE
chxS4xkNh2DvamXV3j6MKmHHp7kXIX21rSte0eQdBYUJEWJpp/fZNEjAM7872Laxpad/NOOlbTSy
hMkoIlo6JObpSZXZmxyWW+d29OnWjWT3FwJsn03R7vMRPIJVxX4+79wxu1jUSUmi4Mrk+PCrgYep
qAGApN2trrsvLZ/fOo/8dCL4WBx1STxMDVaBXpfAIWlp+i0s+yYK83MRy3ChH5dXCtckypzBeuzN
/GcRaYZdWamHZtDOxeIeJ8DdRm/s7ZkGv/vDOhENpK0dG8w60LLSe8BSR7nY3/SAzHkugZXU3IQj
mc9245+HjOZcy7ubvZRnGdihpauNmAnygYqrt0T5IuVxUQXNrRisDamc36Xr5pFGAuMFE6A4lLIq
9kQ53uyCMr1ThEwS3th+W0IjCo20tq0ynLgoFmJ75QdRpf4fLbC0vds5x3yeb7OT2RsdUPuL4Uxk
e5fpu6lIzO+nICIWlVxEcZyqNbTz91kOw841xo0keDIqOD+JQSdd9NOZavgzFhzuIv9Tm+0zWcBN
NASc9oP7sMxlR4ROCnqmemW76Cb8B5EJWmiSY6ui/knIT6TlIdeUIG2USlSfwQBLM87PXkUquVsR
/DVGRmv7ke9kxxK4DdvBn6vUr0rpF6ZSKG/TmcBs7YKcMm2WrHniw41V5+/FBARIV54gjqR/BkMQ
57pHwqzEqeGKjSSCPZwBY2p2dmk7B7ylEfECxXcQKEHXtz6YnFRzLp/MFZqRJknLR2uNPTf7SDP3
w2wItgz4rLKOcGqCZrKgfiJZ+Fp0xpMxsqeq+/mxcwc2wLXgnGu9iEhgIxWxWbgDVYZrJLvmlnbl
oX5hOZNkF75a6rrgUYKDUcBfIq0Qrouqo341iYWbnOvkE3ufNQ1933RutPFXM9cPie8g+qRfg5VF
BI+qiMQzb7fo2Wn1ey1siZAwdediLB4Ins59TsfxhDPmoV7Zbsq1N8eqz8ashbmw11BU01PBy8I1
ZBnr3rLpxaAT+2Qd5pTQwWENQr0hhNQriYkdNrVS+8F5JbuUhF7NI8JRjTinO7rjPA2S/WB0Z1U5
F6rlfGc3f3i+RMwugxWtlvJOyTDWkZPmxUZwwJ+NtGyjfNENkhTUTTSzHRd6v8AEMPX6sZaDuq2+
qx1r134uicADgWXr8Aj4bmtuLXFQlTRcxczdo1UB97fOa9DjZk0Hf5+vNBC9dJNIUWgcM71eGLsL
Su1x2QzWV8O6frzYdBZOQKZrEBDU12ZJccp87eKli8aNU5DFl+X1dira9EXLOGOYpKv1a/LGZwSV
N0r762pV1pvySrrQJfFffTyhpASTpOqFiOTsW3GlSgdadb7F+4qqm6uLb52H9o3ePgsnm4+p17JH
Gmmeabbg5fJgp2U818abp3mvNkm868SyXWDnv8wK80qSiALmHMY7T9XVdSihJMxW/+m5HW1ZIlCn
mmjp3GO68kZajb1nDG9+m9ATp/nX2K2cWqa/HdgQbg1Rh55X3FME6zbsnImDs7F/ptp7JXCdZDwH
Sa1vyt8eYkEwaLAoqryN+kEdVq1LuaFayq2U8O/UPDSau6/b7LEvmheRi9cSaHGi2dHiCWiCpL57
TvlQdy+j3u9LlceKXi0ltbZEUljakYYeSy13SrADkXIsHNHyHmuPNKH33HSH8pZ2n3zyKZEHs9O3
hOcLro3+AXQsLjIJOWr4myfNJRjaY2dXu6ALfqk8e240RJjG3xi545BAPjxbsmzgsNBiiSb7JISv
D6WNdu1q3jH1lpOBitBXM2fVwJ2/aFWyk7q+b0XiRh3aeKOLeFUqTqssJufeAe1en3uVdLGnIYw2
3KihPR8yJdpNm7fn3EdbmDjB3DaAJkIsY9hq3SNBib87feDTsmsau6YbY9YuiQhcFDAz9ZJ2rESa
M1P3Rne3/ticCgYF2eiab6hicInG7DmfBkRP5s17nURc7nhCBPuZzMB52k+6mYd61tpbm8iIcCSU
J4LHl+6w470qB2yAW3bbcUSsdsaNgXd+BygOuAwiLOL7fYrSGyZqG5B4k9p7Uy3iA6/9TpTlUSvr
J1tQks2cKOE4eJ9Bh7TaKREz+GG9omEJFFkc/cTN2i2mai5ylv7GMgresOSkZD1pE7StHuFWf+vH
8ilZ1wvxNXMsvZYpduJy7dvkj0Lr1qrlSbIiR+qrp+1KDWjVYnKBFWciNgXOJpLbP6o+y44z44GQ
ewu63dK/VZRu+zT1D0lG8PHUdVu98e1QSBmNq/hrIF5Ead29FXe+mWe+YU3YpygN5NZycpiEr99v
ShdYXisAq+WBd1WlH0kpigNEhjbEkHwhA9HfWlXzyV6JHupMXSO9QxaWrCgiRJIGKSt7jFIJ6IhY
36d1yN7yAfIlB3Waychx2ygbCE1PvXfghC1H22Tt2FIpmJTq+14VryQqZZHVqA2kGZvaanhzy+Vi
MxFp3XVfetO7C7INjPOjOQb7rFWvMyQ+O9d2cnB+FveUpn1OrssCjGxeT+ukTpml/2l7f4rv0EBq
s5OZDL8sRh1IhdWJON85YvmtiMkB31u90381Y7LxOn6GqTVxHXfLZ90S2z/n6xc/65c/Q5/p9Qc4
zCTyktMZmpZGvng9/far8slaxLnrIcNoHJlx7joM2hhqwPDo0GNTz8yOGnpJ4qeHwTbOjFbCOm9R
kNQZgQjwTpveancRu8bJVFjMRSi6joGUvVzIAyYEOkAitnixF9kYuRWHa2rHvfWMe/jYeSAB3Wzd
Ih8KG4GVY0fvXA76/GYVwxixNx6vjvXX0APSeCdChMTGNZebprsLgt6ws2T21llgCIuWup4jdxyK
eOzbKbS1YTvf/e0jOuOttFK9jvsSqSnG1iz3c8BzzbBspGGs/I/Aq/qDIUbS4P1h3krCFg/E4btP
LWX3plNeB34CnNdBX5L6wASm2ppZlu7ge1p/msExQTuJBQvj7K37WqZ7TwBUHOglwlwpIzSUnlxz
4qpaqhimPYBxdO0o7CD5dkrX+mATiHRgygwyWpsmyR7pqECN1Kqli2WbLo3KmtFYdE/OubkQi7fz
VNJZBsqw/hR0GpwZmVGGVA3d39kd7/2EmOE+OMI4MNVvN3PTGGrrtJ12RZgvf+ScyNMkM22vodhu
iimfD/Owjvt2JQPdG13EelUXfagSVT4jdljbhEXxLJRt7X4wcGOKU7iwbSpUwdgVur9lAcfbLp7f
/jic9Wep57UDwMdMXt2unb5N4lyO/lA0H4xMXVAy0BFCLArqSDTkhL7veTLyZqPem1mdvOSD9LdZ
oFn7UU/Fj6mAcAGt6wosCtpc+fsMVhUHWtD6Eful6u9QCO1KwqqJrJ0clVrmjQzqipBMZ+UFGoDJ
8ycw5KofdOqzEeWRymIMok4K+yG9w89DWhjnqApQqMKlTh4Kl8mO4Q77wQzst7nVjC9p8TkQZvVn
rQPvBV7YsDH7gs3TVqUPg2UdSlG8+ZmO4j1k+o48SzKWW1+aG0sKedGCWe1QtX2aLTntcjAB6Axa
sJ9Zoeb+la72MpCdHERJCzDRoM9ciAIPnGPSjCaB7Z7VvWaBL/7M6zR95q7CRuFU07arFqpnu9Uu
61hpFz0B7tEl83AUgSFBd6wZai3fUU1CMGikk6YRWyjd1qn09vgyikdQK/nBkE6PTo1nATGeuHTc
v+FkNAq2WpIwmHfke5tW85fbD++94hGQ8ymlrdrVncUEi8D87LduMQWiewoIZUzWkTxuGzhptBQd
1EQ1sQKk7DH/toXMTzYTtvlOJOLZZ38ZYKZHoK6FTu/q4xqhQTTHqZ/aS2u7RYzB/cqPrW65W7u7
zhjaLWGaXdS7zkNr0dbJXmfYb6qHoR4ZYxba7O37dBpO0p3ldgWW8VuzGSEbtsGe4WSoHS+b8qlF
qP6V46g5uCnFPv+azz0Qv0s7Tgutcw7aKeAk2XeEa+Qh9ohcjxZXLKG99B5tmOc8qGKultBK7GqL
a5bwVKBwkQSoGkpiTv9UmZP/opvwf8YU+sKSzMlZNnYbtqkgnncx01sye3B1Cse72sPsbwRTxE1j
DQjPU7FEK2Y8jUPCYI2K7vKY1FV2BbTAAa6cfotbJX+3g6F+LEy9ujJPZPXPznViIL35qejn6Sy8
df3E0cFJLEbnSRj+sjMLYznZUzBeA7msn7wqbIpkv3bjQtrjZhYwRHidltmlmfB9hi5z65+xb6gm
KV/PDUr8oxM0kC17y3xtDao6YQ5M8ZduuelezwuHpo9M+IAovWhaCfPGOW1ilUn6SOr9dKJxYTvM
a9xr4IqG4HptjSuHmbe/6uatqUW5F4nMt63u9BtIKfl+BIIWT3k7ymjQjeZL47mOeavqmx7XVZx6
fGmivpOonJIk8j29el/8BMqjIa2N4WjJyTMHUDfVCzO+bBck8O48n/rCzBB0urGyX1avnyITn0x8
DzyhSZYp3yJdhw92eLC0EKbBUKAe7q5T+2gkRHdrTu7TQvrUYqiWC/NlTQ9aCmll7I3ZHx813Qve
UtU5Z/gtBE5hjTX2q+z9eGJ1w41qUrfZznCQUIjGUb9qyEXtdkrTX1aVVdT+RqWdV6MA7FrX8NZ3
Gc/vC+zeaqPPRGsPc1Wbe5bhWHsoxhRqpt7VjCY7WbySDgXIdAmC8to6Sw0WN7u3hYQYM+pvUQaM
pn3C6+ajLPD3YMAWf+MGojt5s+OAslHNZ4kC+GaClTKZka+55oSETvV73pMgkMvi4gTwJAnZhf+e
1XMZ965wGYr0I1w4MCi+xtByMDu731etq21Kz9i6Y3IfKTHaPZQE8F7sVjFG16lZHDPDmjmJctL2
k6sdKmHdy389eTQAH2+Laa3ZJ/Nz7vZBv01W96dgAkjyRJN9C1Njx5hoPgnX9z7Y/t11mrWBOFaj
nGmoEyt32WYE0zccGz/Tjm7mDnrEKYlLyNeCe/wwum6zbctMvXkB1OY4STm+0Uo6HofZAAZtj/Si
LNdielhcoOR+mcqvPhfl78RABt3kpH3vpyDFAM24NaFHnINsL4oyuJF8vW4H5fXZY60r4pxtL2UH
s/NazsZpGen4SijvB5uMS0rXtG9oBrJ03NA7W3ziat7N2uI8itz0YWXx5Uk/HMdzzTbPdvYoOAnm
CsCsIIPn+25KgzcXCwEsZsvYrujsLtE8reJ0aZrpiJ2tohi2RdvSiMvE3BBGYJ4genZ7BX4+Kpd6
3pm9ZX8mQ2H+srVp3JWVUR/tlZlc1MBdRKF0l+onNcb+oGojuQIcsd+wD01XpyeFJ8z4+mzHZf6h
lzlvBKNprNe+RXcG77Vmt6Y03N0scFwAvszdqLzfX2UOP44U8Z1RG/YBfAzvhqVxOvB24LIZEOlM
/IETXLu10S5Z7apvdudN9K5VvmSqkUxfVWo+jE09P+JoMON69nrIeVUho6YsOzO6J6MGoJMKcWtZ
Rjnoejm+EkqtHRZy1frQR4bF1Tb+pNMCP2GULHJES46tKnbPmmZGRk5cw1Q/JmmK6wp69SaAIcZ8
lx2TO01KsclC4a0VSPeJ/lC4jXeylV5ihkiz7tx2hnlKxp7saw27dcg9ISO9VWDMc5QjjrufdGyQ
sqVhXSwcSLe+aZtXmepITkKb1+M6IONFnpZpG6NABSOGyYMQOdrrdfYSSO2DmMxtPZMH1OHhCYHI
Ic6wogcRqxDxhKj8SjOYnCZ3kica025rksv4MgeacVRlCz4RF4TzhOwmj1ZjETBX2OrUBT2N0GDf
+0ABxcLo8RqWFpomzinvJZVJSq+gZeOtkZb7nqd+vwP5LF+7QBNiZ6EUfyUro3wYOg68R0dU3hrN
df6BcaneCKBvgBkYYIW2nQX3IsRvw6nrC2fD7qi5sxDI1Rs0GPdKR2LUl8XEYhYnbFYWLOjiLKzm
TrZXO+vk1deb0cNuUgP14RzqfvXSyb/b1gen7NZCnLKmH95MnINPQOCQkvGDfa95U/+tzL7ZUq6M
r3PV8CiUgf0L7Bsx0F4hwXgJrILKqrwDhBCEWyMvtEttpuW1L8fxIbGhFPYO9MUys7GcOS1czxH6
Fuv5ZliUenNFlOKGGgLzK/Nzs96Vw0IhyF4/lsJ0ml5R0foiHLK036R1YeGRk/c1sKDaptooDhmH
0amgLnrltvjpa5fiATEKsFMwPGtDMNzWHsQrpjateao4YURsrBZ3QFmJ+glzV3LWETphs1NfT7Kb
NswM6h+GDvhmanKhGLEYy0YbNR6Zvh0DPbS7uTqXNSI/ibJP3YhYZrAffRtEo29AWppHhor9ErKu
WW68no9cFKO35Yzrdlig2zizF9CJrJWlv53ZN8uNmck2NiB0jC4iE9iV7pvP1aKDa4Y/HlTBeBg0
/dEN1Pow6J65JWHGjD1YG5d61um1bK8fUFVKh3qulRRcc/cI41V7zPX1FmTBrcsT9Vx5TbVxNHdQ
uPt0J6UNa1pMRs76Wt534uhB5nkEtVeR4JXMtt8Bb/K1w7oyT9V6I4kN6TfPnd+hNXReF5d+Wn9W
md9/crbMZ9td1osObvskaIPOWW2vr6nJe2vw3OazEJ3Ja40Ij5mR4e8yl8atTvqfKkgRdaVItg0K
zNm0GbmFemuVgPQqZlEjDPiTYSfVdcqV9UUq4p4wEnXEP4drqZDEf6V4Nw4I2OrRrX0b6FKPYBgh
+4ELEARAnRMastVV5WMO+wZPXtWcKt1rZmYJ9cB7Xmu+NeJ0Xjl80EboaHd0YlRg5npaDF/GupXW
qIXWT0GCkB9OAIMYphRWV0Udy4l7i1fQ1l0z3Fq1LOWbRtDdH9dDdzQlgz2VlMuWbni+dOs6bfIF
itJQ9fVRdeap9PKO28R9t+wOKJN1N1EVRvKYzS1gkJY4s11rwZaIyLGtHkZWHkK2jh9K0Nzfqat/
Fb4Qb4FEJsMuxaSDkGunQvWjLXPPTRF4Fx64d0J2+nsI3WLDNwcgGrp82EjlC/LRSpnmNxZpVa3/
lkJXj9Ni9fDK5JE3jQdLlxCf5/qCBzBmXKA9T31nnaYC+Y5ueQ5Fcm/3R2B5fbO81znjFzDcKUwr
fm2PGWsMDphLzeaX183uizJTTDkW0mZgrTSuuDYFxCavegVM+dqWq3/ICdI5UFscF0t9ahDo+Nlx
qD1hT7yWefMw5/UGifdsSf0zqeuT3+qhMssD3L7nXNVP+dxd1nytuBRWia8zeUrHznsjXRzcVz0l
EG0hvmmde8ipVd1Qx/D5HlSooaNmow4Nz7PLlv7kaPq209SNhgQVoJQ7d6bqJqig+l5Rp49rvlgQ
q9xumnEwefbvTAHhpuYKvEhTmdxhn4KwJHOoWluks+WoNIuQt7lv3meOvt3KMma0Zr71HmQFtlix
JhEju7sy1czP9425KipGh6Epq81o331hpWG/5NA9/ADeWZ7kZ+XOgOfUXB0GyeIZC6DVJzNx+u6y
77at5TAzYm825F38oNN/7oZyafYBvd0YQiD8mzeKX0KXLLjKldJxtjROyV6UTwWvugfaVrThLljq
neEm68PEWbgDUXzkhTW956MEwMjkPl6LAeWf7p0sGZG86a1LgTsHDBoH26axKHRUmtAcecSwYs5b
cH28pLSpb55SqDXzHhdaGhIvXXCRJLM4COS73M9XEANBMLJLx9EcGekMcrbRhw5DqLVG0NWL02L1
C4a7BJ/0goha007j1Bbz+BEwbvzBmo+cRlbS8AlnXj6TwqgYMeFoBXa0nFCOaz12HOkcqrXMHB4L
eCm6phlYoZz+zKt6fi21vjuTljN+uRoW15hmlZ7eMYb+p20GdVS5K94zWfcnsvrx8AdL5hwCZtO7
WscYGfY4OdJoyjDLNqWeZhwUo6ygEhOqFq4ZERSRTrGBCLPMxgtS3fRKFjFwwSCHqLDp7aA+L8rQ
5CYdlJkc29TC+qitdldtGfvDDcqZ3b6U/pQf/dWzL54PJpVGWTtoS4F311Mwye2sRXKoV+Kas+Qk
XFNzESvT6pjg3mZFItD8C0BkPOUgbLMNWUH+G4hAOiJmmJInBpTuW7m6BfF9HMRT29ZPhjIMJ5zv
bHpzDYwLdaJ9QOfWBO459lnob3TqMsE+JEzkcnY3iL1yY882noMyMPEuDr531BvvxpoFepYj0vyh
o3c9ZU4LvFwzGFvRAWfLYPOC1fWdmxTeX7MrsscVEBkj4a6xrtbIAxhNFly63nPLO/GDlJJ0aK95
wwnIjG7akq6oxW6RmRFvbH4/5pC4Bfj1stmenqakZvAs0lbb+N683GpnlK9ukqT7BRNG6Af+sF1d
J3kA2d3sk3tmk/y06uzdaYFGSl/4YeDo0wvQaLmHPm982OwMPAI7H2Jqr+mzB1tPmk6unZu6h+lb
6NKNGtiGj+sgspelH5unCbaimSHybVAHGwSqwtEBLxIRQmxBljMcA7dUUCKteXGq68J9bO3Ciz0I
lV6UWl7wPWdOecgXOTEvtw2GEhxiWqtrfw0+xEh3cvFGXtiy5TywDmkHIb1IK7Y3SmsVjFMN9wJc
UmBZCKZjM1a0LE1n/G60xMPe7zhnnRnDUU5T/bCwfXJgtIhV2at/i6R5KRNdVmFDn4gay/doCydH
4ZNcgNFyOL98EdmdX206I/jbF+t6y01hRqOf/bGatj9pXlluaNOXi19lOVDB1L8xatefhT+OTwtT
oEtWFsilCUsEamSSFgq9CF4szWvtcPTy4KtcK9omkkLp8obKfVJmjTC1rl0XmWZOQ+n5S70XM1RH
h9zbP9z/OESawX7r0zrdj6sl0KO0YEsfug/ybN2PTgXv2peut520FehuUDOMY80H+7pgfOQMncB7
u7DIVAdDEiOsu08wTZl50tCtO6/KIK7BHoSo2DpkUhGdg0JYGqlzQOkyHqval49jLsYHuI7yks/C
mnkYMQUA6TAOWVkxkZjZec3Ktv9b6Zl4HzVnYW+jIFgT4p3ms1FVvYIcNd6R7NDXsO6fQQDTIK5N
u5FskWzKtAL41U7eObPK4Qrhddo2HRhNf3DG76S1m7jLoFiuZlGfwU4mhxLw7HExO47ZwBueR2et
H6wlz+KWsNRIr2pjCoue96elVww2TCq5eW2NO1HwyRL2EmdBaT1jOl/uPHsvmhu/ffPmTYuXAWTp
8Ogms2KZZGSiT5xygxdqI0eSPKLSnQJ0t4BLRn2SnOrV9uJx0SH+DZaXnUp7Kk/uNCwxDIQc68O9
VU5JsU6AFB87ounfESCx1KQ5kzvJk4KYc2WPOCPhoS1e19UarovDBgxMxOqXQXe3S+XafiS98N8B
x7k/dtXdCwpphzjaVOQrx4hrYZSvhMS9zn2FjGLVV3/p26NeTd7DqK+oOmlrX0x7YAsoG9vT0ktt
xwgfPF45yUdmBPyuhqWMMfawBRwQn5M3L9fVrihYVYkpwzRez21zHVeOx86wkF+duR6vfesFXyIV
3t6w2iENLbQjiyYsf7E6Pq+Q0Zh7Yf4x74PBqEZu8m4+m6nJDp/k7OjCLMisHzLMxpjhwCWYKhvF
xU49zBN3Yo55n7hrrNkcx4k6c+jZZ2GM2oyhy4DsZhjYDGyt3kxal/wuKnU/W0Ho/UjsPo8jDbwf
G6XOapDT5O2mvu/7+fWfoaIMEetym4Bhq86Yjnwf61Qgx20SAfojLFhH/OyxvZB9ka7opLYpiE8e
ooC2eQMqvbmoGn0w7iqiCZxM4ABwKO0eCHXNHyb8YhsSq9qN1XaHtoRXHOLwZ6OR2BQ8kkVqM+fX
cGRHPDDafxe3bN4Nrf9meCVPwyZ7PLChHPnmf8aKyAka6NKuwQ4xvMemiVFoSbzyo1wm+9Vz+7na
J75mPnX/h7vvaHIc6bb7L9rjC3gTIWkBDxD0LJbZIKpquuC9x6/XAedpho0hCL1ZKnrVHdFMJJB5
8+a9xxRuYbscLgsaE5Jg9zBVlpgEGUi+hvsGgnqFDq0CtSvXpnwKEiQZuj4eXfdmW4PXlSORusDy
dVRJIGgD/Q5jfPjzee8poXOiPQQswJRlYaYEyizo4dxMBKJOyD5AfA3MxvU9aPFAONsKQhoRs0Yv
UAc0p9RYACy0DLdPRxQbHxbLJfCI/z1G9/w55nYcQUCBe0d2vAE7XUaJfPAKA6YKjdt0/1uw8v8/
Gd2Qa7378uonCNx/Urd3n8mv//U/Lp9BN0OWT//hT2Q5RdP/gfQauGTUn1Dwv+jcSN/+AzY38OGQ
mhXgeIX/8198bpr/D1C4kNLDvR1cYpjf/IUsp8n/wFQFWlkMeFUiM+HR//f/BG7f+5X915IEC/63
v/+2RCdFi793GkHDXQt/sKR+h5S3HgVqaw8X3Nyh9r0jHhKTRtFb5jf1y5p/IubxaAxhRohmvZKE
gZoHp91js/OvcqcTa/Tv6TEfPL4wIebvNCRAAQwIYsRPM45wcp32NXMynfzyfthVsYxpkz4aYprV
3RAdyof1SFekU/ptdKgF+L0CQlCCiVeWWi0AYakmUtnbcUfADruqrGYA17eDNooe0w3gXWHBGknT
CzK0zIBUiKeyA4TrVIgjBigjMCKgHwlnDkXJIzcvKNR781ivQ1HUOpau1JEOc63pqBIdhJA0JNLv
VCiZCRoPtW3EiaoAahI1TwoR41WkYFBL16L3TZF19tNJEa8IOccCpdUkKhHgvML5k6jSgPbCEKYA
rIJTUBo8aqQpoM24AJ5QDjBrkFi1iSkBMHPjA4gaiXLUEoU1KYpoXp/EBzImv2sRqGfgCpvwTAcF
B8CSJALDxLBGiw6GXBdd/QcJr3jNRVXIgHubh+s3nQHyLjKbqixzg4aaN4RYxWjnVrg8ZEKCW31E
f0YgFRt1LQYqyhPUtvV5IMbgDKIRXtBt4GCVOxEQBjLheqCXD5WEIVB5q2Fe/y1EDYDRbEwqSVuA
P+gTnhWRAlpaDFdsaN/tFBpkXICMXU9JQvQPMgaHdOyCFw4s+ntCBe02pJH1pVSy5pX2O4njr50m
TPI9d+sIyHShgTMs5bDbwORVspMZgwb6cUUg5Cbz82idTvyNu98XBsErhmkrlJM3h4xspdFA2Mw9
mWhsqVXDk59uWDmQAZIGhMVTKRAuAjsl0KM/3YW9w5+D/RZNfj+3/57jJI1w9wwhAQGDsi8oRwDn
HfMUNuVoTo2fHndeQtjw/LELLFGyPGD6no+59FpnZ6vkplC5ImLGSZiuQ4EHlMN6iEKlbDBzHhRo
NEb6ViN8qvpTuWQxZs4cE/6e5TT7u1mC61MAQCqNjlgEmuRVl05ItHESmyjCLdoJWppIuzRj0FsL
IzUShHeOnRSXyzGzQQ9UUDcLOIDoqFd/uuIAUwlwG2CNQvbeEfkGEWXl3UwB9tGSmIL+3YMKdc3H
bFqNDq41KmC/6PLJrCokvhxUG+6PZs37iF44RYTZKcIDN8j7tDc6YWuU5QXVOhdkeXSy34TJqFdn
gDvGfTDzN4LdxRCOUKA/W7wIxKFuzDI559HhX60GfnbUVDUuBONADA5roDvXgLfPOHz+BZCKBgvm
52Pc1BofvNa5phBFwXGRiqPBYWTcuzf7ViecQQEkcRdtW4vTKzlQEqtRMwVFBs2TUV7Qe2UHiJ8h
HQv9nMipNWjnUhF3NroTcrNZO2lvWliPHm12WIlkA0J4hUejRIMkcdOXUW5IAMHuKjX7YTJ5BBCg
s9GCksFAKL6ev5GZCstfO4KfxbZ+AFt/5MIRIulKM/HR5aqXtCxhZK7aZS9o+I8bXgxXlBJnKjR/
DzcLdVVDJDVqOdiAhmf6CnjVMgQbEE0Z29PX3uVSQJ3LlrceF/uihFF4wzWaa2qhQKmgsWu6Z+kl
NVtb1HPF1fytqwF0ray8yt/V3P6e2zyeQQeIJPl6dCCSKo/cJ6o0IaOV4BQjJ/B3Ha7UAnfxQeII
UE0nAUjkgDyTWXpldUu/8/3+foBZdOMFVFlBYxidVID1bRNfYde1w/VGF7kQQj+hEgpWKwGe8lF5
kgqxGzmNWB3Sc0bhA3kH2UwtwHfhOgts5M+4ZES55gQtiTZR+i6hOi9KA3gbo5MPHyOIt0h9VVya
dL9sdQYyQkVliY1FhE6VnUB/oYUWXJUNTDmUJrOJ/FqRp0nzIGWOAfcaDg04NVeUX2RSPNJ4wozq
tCggNZf2TtSwZzrcTwHtGoJvAciWyrXc8a0RjTiiN1ScHSCsaQ91uPEJF9CGGvdcox5FVUS9jvEP
HltbkItUg1TQqcDyqm2d8mbPtZA8OSHd6fot8JBK7pIWl01kD3YAsPfMo0xUS81H3+KYqzoQuGpu
x3T+N5QAtmD/q8/XylLY5WbbDiYbcd2MCLuiEWw4Wia38YYyo00TKOmBMmtt/BS/Sad/4V/rbXem
ncp8PvJSnOFmOzCAAWaT+BjZI8BmV+oOzqKBXFoulAyuGe0p0CAaE3t6U0OxJZmPnj4+H/pm9vkg
xHGzHIMSatSJ4Wrv9HGzBXNAGUkWQgg41Bq/M0qxPQA2YkHKR2bbawoghUSgyi+iJC0abHPxquKt
kk5jv0nL6sOPBhklSK0XLmhQyE3o6lAR0sPIk0eYwkEcsiC1OAHcsMSCBBIWKgxGXkRAQoOWAkaS
6Pl61oVbxFw7LCCvCwQahdK3EO1Gz6Fc24Pshxu9l71D8pAQAuLu7HexnGTmwBYakHJOQyNhpeU8
ilaO/aWvMxf6JtF8E9saMaSpMiBMAcsEdxbkvi4lAXLaUsl7HZl4U7LE2yLqUAIHKhIAvkSyIvG3
FENm+YDbJUFZxdjjQE5CdgO4GIehiJXp3ao/j1bA7JCPcP4C/VnQTlAW5EcfQjyhBM1Aq9vUlUMo
zaIr6nJ6RgE+X4Y9bQs+Q9kxFUmYLXDLEQt9HzrGohXHKNAplweK04WhWM5KpQKbbSgK5wRkaiFp
pUOMFDjFmqpONNriWELQsf2O2g6snOcLeiHgz01tx4TgxdrDu0LCMrSmiEPTHwU56r+f//5NsvjR
65rlBL0YNylbYsMMNrRzdFAPNEIhlBLxgdJ+iD8CHZbAa8fXtAsfDTY7vkDQo1goxA6O78GV0P0Q
WV4jkyPuXi6qXd0JWGO5hdoUcDflJgv3YBY/n+bSa6R/z3UDv6PyGLhCp0iNFN0DtKkyYg+Z7ZXf
v7lMP5rZLJmWujaLvVQcnEQrPkhNfP+urE61KJm/6oktbEIddUS510QzlQ8ozyq0+k0ptYG6+lf0
hVP7j+cTvbn0PnqQ2eaCrEQtka4wOBG1ZbtvSEdRmQkMevCRXKtjG+i8AQwYcFWiXBqEDfR2cAm3
MNcsUYcg1Yna+pO8t55ZoRlnNys1xps5zoPHYme7svVKj2jZcHDALUBX9SMSrzUIcLCBGH+iCBLk
Xq9I4K/uis7gcnts1MA3aNgvgqVGuFbVq1xlo0M2AKWKej63lixOr+XRc81KRIUHvHgT4ruNOuIB
8dnorZao9CuPrG3liyws+qmAd3/PoiV+HJOWx6J3Kq12ulO1BbwJvaFNqKamtOXfikNoplquNDJt
JFdOZWRPp1buPDeT+kcznKUBKCCSKZgO2ODxq+QbNd3LWVTK8AsAaYanjTElcCapjM+jbaH6+XcM
sZkrCLPo4kPNBLh7gHODdxSu1ZKXqy+xUDCXZiVXYJbezixX4PjRT3qRA4LAJYGP2tb7mqt347AB
tbJtXwD4AW6aKQXFb/W6tT2DL9E5BIbKIIMdVCF6XxdBrEivaWZyjF1BlRa0ZGAKrLjdglHRJRGY
VIcq3fklOHjg6T//rEs7fu6ImAopCCLTg5c6JAS0UEHoUjkZzWB5VBHDVMB8FEJ21VpOFM8C1s/i
VSOyAgV8QBt3AxlYKeP5wyx+5FlgbamKG2IqRdoT+JuS7w1BfE/AbhaOAQllI1JpmF2ZSXLaAT0K
hO4A8GcFzZuaBkYcRNq+1r3wY2xwuqA9y4EKhH4yGv+4UbTqyBw7QoCgDrGmV3uzxHy0KGfxOCKE
CSY3bTvkHgpSfgrXZE8dv4odOtYZRP1UlBTTHSm8AKFRSCrVr5jfzdouf91g5i4LNeFCJKMhUBTe
uy+52nxS5vAOaep0F2rPvwazkODMfYncErBBKcIQAxpiu+DK6MUpVys7NQYTbV5r1JPP+EBtwLu9
Elv+kBnBS6+0V8l2ZX/nKcjFdG+LK5OVncW19TqFmwevnJlFYB8AVKLn8VBZb/KgzBR25iqUpKNm
nMOJU86Q5moD8UMfSJ2LoD4J/0S1kUW4FFNauQ1bXWp/SPoAYAvPoud7FHu5SOw8B88R+aHcQSTB
h/6kDPvM8f35m7z5Yj966Fl4ZhIU8IADoxyIBOqgDxiUjguc1rx42itOUaM3WJ3UKbvaxL+eD7l0
sZ96NPfhWgDizCtbDBlabCz3TraJjV5vLUattgHgaXot434NWrA1HCgNCPXk6/nI04d4NNdZoIaq
RDym08C8zTmoiKi9BlOrrbCSdS8t/Ntqvav3wXl9cl3F70NDgADuR5FO+RVCGpQWbgP1+RxmMrd/
7a5bmL8bpE6lQRpjDCKdiUwWcGnawZRekUBqeCPVzPIO0X7t7FgqLDGzqAfcuN9CqAeDAXN+6c/g
kr0Sv3iUtbYRgfrZypwWksfbCXA3Jx/I8S4fMYx3zT6702h1P70jmPyZ/M4uhFHp47U5r62/pQOR
mWWSfhOMPOT4KIc2CFxDtyO0Y77jZlP72giADBUq3YHYtVYfgpWrltBINdtTq7BQGSRl+kpZUQyZ
M+CsVPgb4Uanp5B89HZid2iwyddcKqlpBz5arbM8MwGfgGBYl3I6e4BwSEbr1cjDc+gN3sMAB+DU
/m7aA8Q3rYzfxLCbKJhDY+UJGHJ6tpJVLq22WxJ892VA/+yrgMa7gncIKalsf6Rxep05sM0bDnXl
feD0xUYANytAVF3Zp7cCyoOpz7Xc8zjwxbD0aIeUdg0kIkPFFdUC3wUEQ0JOwWxJtnkGFoROI1bu
pXJLZIeOlwtks1e6O3uShu4K4JbpFVJc9LGnFCS6AAoJhd5BXrCK9CDR2fAdaHKvAhcDOj+HEYU8
yewrs58I3jL4DWT4q4EBhoBw2EHEQ02ag1ejd7b3TlmhiQyECVZuN7eZPZrxLCaKFAvZYZCXnFaN
tMSWdFqDnbae6+BcGaPKq7zsnwar3rBq4dSKv60NcsMdBuMj1vKX59vwtqsfPcQsPvItDf5ogtfO
FWoOeMzbQFjAXw5G8wNfaQjsou6m9ZxcnEEQlt4/UVoR9+ULMpxQSWi5vQLqucuhx4JbfIDAzgpK
JUK85vL8+ZbqKpM43P3BEaAhLwA6iDABr+sE8lpqV14hm7DtAWvTaAvswHqDYgQP7LX2fMzFDzNl
1XcbAELrvsBRGLOHs4A+QDgq0dpKDwWVm+6cAOIXhMyfR/ElMjAu17+iHJ4r3S+vUWizszJQQqpj
xu8J8DJ36VqZeCk5vjXH7p5r6qcJEYnnAtvHymTfuFI6gpfWqrTi4zzwdfTE5F8UWh6VCrckOTcK
rVZfei03KKWyfPn8/A0xC3HqBiK6e5IkjwtwefEkWaI2JpCRvDLadKICPy8B8mVBFxi0JMW9Vq/R
jjVDA8UHILMT7K+9pzGDmYx6+EZtvFrrz4PGn5Nj8uPuIE6bh69MRWlrCdpSRL3Vce+e1It7YCmn
08x3v3IRfGGIoqJXVKl0DbsNm4FIvl0TZ98ACAtYbn9LjMaa1eBiJJ2Fc5LJQUSdEq1M7rRkF9mZ
YnFHDd6M2llYuwlP2f2DHXzL8u5mOMZRCXVjDFJiMbROo8HGysy1yCDRCXNVaVvuggP7BhH3rW/w
hqisYq2mPfho5FkemTBgcAELRqEWzqijCpEEHRA6hbGxHvaRmtq+xq2kQEsN4Nud526WLEAOYTpd
MIJdbbE2p8aX3BFtqATjT3IB3NlgZeSPh8jyLrlCbCR1zQdqIYW8FfnuhqY7ElIwoM454pFSL73M
7qG2sb5CF4olt8h3//NeybclqIIOo0cmqf0SDDC2DMJae3VL18Lb6rwboKPJJq6mBVLrYMXgZKkM
XhUvgZLLpAoFetyuCf0Pfy16LiR21Cx/9FzwOEoWw9GKaPD25QTBP3QLT9Csxx2e0vfQwdrDhkGm
1USttKungtG9MvjCdezWvbybaghf+1EqMXYks1qi4CqorSWszNK8ZilkPVShyE/fqdahNckaoy6i
3kjKhVZaiZacQI9WPB2EdoUzoX0pA66Ek/zAy+UnrWa6i9AHya4N+tKoFankysa43TQfbcJZjGGZ
YKzDP7MIUkv13mmurdzalIxunxWYIENprNFASUSrruB9yv1P5rj7Rk+cXqsNE2U/C8Q7g9YHLOrO
9C1PXwtNS8F3bssBTycw4qfDm9qPTqfxBqvk+0IBXVumrUoFLtMSjsUh34bb5wfTUuGdnIWkCLZO
iTuNmHsQdRT2IWGP8oFx4RAEOJLqVZ8U0kuQVJRIE1kgllY+w+JUZ8mc0HrQa+lFyhm/ibfxgsYW
qkDlH8gWPkH+Y/d5AulMebCYc2exX8XrynwXDmJo3f6WqlASmdflNN9STU7Dz6jmCP3+tOoAHlcb
7LAQBVBPLdde8ELMJ6d/v99hSY2KHyDEzoi72i+XOTfFEdQNLLAj16hIO9BukOtSZX1VuqxMcmlM
9vcxaSjjhDGDdzscpT3y1KTSfbidKMDZgwZby8wH/KnlSDgN/DYIVorYS4POwlgHUtskHgPsWP9B
cVc4rSHlHVZy/6VLNjkd5nevsSbCSChbvEaOkhNeprfeKdejLXsm32DTSF2fv7ml1TELWX0PvjQf
88g/hljARY6IwO4g3/IaEn6SCIGy3MUVqQ9XhlvqEpKzWOQK0B0gQ4wHSgRYtzvQpa/FNtxDJQnI
oEtpVs5oBxaQ+z+VSZu5TetoWan1i4+bzfMpL0QAbu6EDerECMYfFkv3w6nuFtUm5i08wIhshIGB
nP8wdn4qd/6RP/3LAWchR+oh+AT9HtxQdtK35F6gQYeBeEbuJJn7Rb/S56BRfWjs/+G5uUqtFPEW
EqJ/uJL5qRCDZIkVtG/P2ame3nH1Eu87NbHGH8n2zinsl2R6k2nRKPOokhZ7iAyYzyf9eHMAEj1b
vrDnbtwY8mEC6Stde/KLa1NxK5tjoVjI3WAyd5uj6KBCP7kcAgVE27UVaOCpy1Phf0TR3//8/CTN
URu16bjKV+L3rYr8z2P0JjV+vyFBfveGtseM8C4dP3RYgChdOUGdGYJth+SjYGVklkq3J1/dV8Gu
RSXNr4HFnbrObFMZiJsRzWxI3SvBtv9hrtA6zG3xC1oK3St49fTGPyYrS3zp5c8iUxaOHgiZeFQA
ULToEqycJY/T3H+Y4BJNA0pqhZ/luTcXNr/CR1+fvHfSVWFaRA3G85Wz0ErlpFlMAqsugar2FPm+
gxO9oyxGpzk5tEB7c7X0wtAyf+G24p6VYRyhxjKOFNSGd8VUh6i3mU6gvxqutS2m0/nRV58FrBHC
FWxRYaUNGgDCWF++QiqxDvlKmVd/MUq197VAL1Z2zQJ4iBOnV3+3sIkhqGBtheEgNa0FuJ6NOlwb
AM7n1UMuMwqI9LKkQgtZxavYeitre6H4yU1a+ffDxkPFEsKAL9vYUwWNlmnSDAIl2vlQJN1Ip3YD
Q8gN/U5fILlyIFT2WH5XG/8D8hIWjTsxr3OcTr7VdrIt973mbtg1Z+SF9z93nWWrlq/ToMZiqN9i
aNjUgP3QgNuFJInOmL8SUPilYWbhqgHt0Ath4OfEPCByftQqI+RnoQerRcK3y4+yANc2eI1yQK7D
fQtCPyDn16gWZO9le65pqNQCYgnVBD5qTDLAYgWAuI6+hCSHoQwEhmKQGetdUKs1XEtRDoGAxJEA
mImBouzof7GkDnMZJUVd0+3TRi0GTofAhhmK+iQ+EmldCuVMEn5RaMJCB4djzNC7SoLMA8QL6GE/
fJThpYTGN09e044y/IiXxwZqjJDmgLKCEcavUbGPwHSCtIHu8qVKsLCnablAeb5tb7e3BztFnILR
3dLNIQhINV2FVP6bBWk/V4kvqFCX59qGMWbyTcK6BfJ8ryujLX2wWcaXNDEMOSFT6ZTEVw9VDqLX
AHOBRGwJIRetTw98b1bbGMZt6DMWVgP6GQqTMXAWIa0/f4ZpbTya8CzKknUpcLDfwqaZNIUinAm6
QINaWKQrAyy04SC19vsr7bssieEUNRVuWnXQIhMmA9vabL8IjbW+w9NUsIsNekNcAJt6PqmFcion
zqIvm3R+mcKKAGBtqFDv+g21Cc+eDXEEm9drA1yRYZMazwdbDHez6Br7MawXBFATOnq4cINrMV5/
GcZA7wYOrjdTZT3cFT5rUCIUIwZG690AVNI/YJIlMzVj5l2jBGi51OUHC3BowKN1C/rK86e7tR4f
fGBm9nQ8XcNqIEVUDEVrlCyO/qFTeEppbKRlnEJCAyKGqE4HbQdofcgFa9OjSUZW7ssZxOShzIub
faJGpROgD8dFoLJTdtb5EGCQ3VBQIlotAIhq4I/oEw6wHmH9zjKfCV47OjtF/vZ8GrdC+INpzJle
SQrLnWZgUPJAjrRl3gWTObf7ECVqlUk++MwRULuGermDp3Y5rTkDWUxBpEIZX1yg5gFIhObGyr6d
tuejZ5kdNEVahzCvxOoSh89SvDSQJn4+y4XcRJjixF30gflWFvZujovFoLiUXaKwTqXXlrMq6YUL
Mi0ptecDTU/6aAazkyIJUU2te8ygCkDVgcAulEO0UNhAwsmI/W3V/zwfZymeCrN4CpUZPnQz7A20
dPfZZ2F3L95R0OJP8W28th/RyheZ0Xr/b+uYE2aRFEDyqkg4vDnWqHalE1u+EquiOioSsg0ecBrc
jFoZcjGb/CU20d58XUs7lmKNMIugLYARCaT9EN8ODFQsgJVGfcr7EE6pCa2jb+ZThN4Uuw7jX/p2
s3hKlUEfctNUO4XY46arjWpv+nqMahO0ioxAfYeahNJra235pfFmsRQa6UPnDhgPdqaWJF8g2ees
UcsWcAXcnN7DikTDQUwM1UZU1ocdpBXk0OzBXFlrTkxb58FKn9N2fEilgq6FBRjHH0z3B3csrI5U
/XalfLIU/OeMnYDN6s6bTppWz+zeLPeJDZF5NdTRZt+0m1rL1G4PAwHNt6Eo2m3CYuWMuwXwRzOb
BQuurbo6ZBAR8VXe4BFAysDpj64RcVA1M0do+lHQUZVjE8qmHOpVsVZBSejdg1FEow0bKNMUUIMA
qmiYzBoUQQ32zGFl2y9kFXPWjtCFRQ4bPQQyYNZ1XkHa9wdkiokT2Gsb6Uir7bY1EhVGOysDLn3m
WZyBNHUpFhSJe+11dKIPaIoGQNsI29Fwz2jbShaaXvyuNoL3ZC2vmQ7QR+9/FnIG3Dciahqy0Nxj
ZE5fG5rqNngb/zKo8bPIUkTQnXJpjBBbKDx2x9pKbOYVHWE1ckAQNnNzUEuFs+PPFDUC0hAuqyXt
pcnNgowQQFCumNJCjoEs5CUzJt0jqMBs+tD2N/7KxXThIP0HmyAaXEIqcEmOeloZILAUd+bzBbFU
6JgLEoQjQddhgLQHViThO8TsoxNDKeXeZd6TwYCGepipTQuVZ4WrUcg9e+xJoo64qQgvbXehTQiX
xLtmD5ZlwyjhkaqNkdW8n+oX1O1h0BLAQjdX7BAlG5Ob1N/Pz597KSBys7szOxkPD1O0hdcDikGe
Eeq0BbyvIZ7+5QhTnL9LMpKQyfNCSqei1rebqCyTQ5eogKqV2kL6sGqAULuuUpMXunIcN4tScdHF
kZh1+A7gsWrtm7DHVe5UW6keWePRv7rnegcwaf6ZrezLheNqzlwaOEhOQ151qnUUNpXKsOcBEu/X
ah10OvYebPs5PwkasiMFhaZJcgBL6tVHxws2nCqCmvzHyhdaCGZzHhLsOtmUJRDZJ382bPVQq1o4
1PJGintzjkqh5NBniIrSnY3TWWcPcIcA/scsV7bl0vizuANRexhGQvvWQcWq+4nPrT2ZsK+1VhbO
Bm4WWiiPHCC0SsCNft/v3c/W6qDLd+BfupNnd7AiMCA7Cw5vOCr81/MXupBWc7MMxoU0OinC7MRp
YZyLyhBSQTuzoIME6aZ/V6zkZresEOIIPpHjleHa/hVvfFZ+/ugLL2tOfRAHroQkJH7XhZJf3VZy
S+x8mIFGawfn0gCzaJCTUi7lvQgNCjhr7dKLePRQvXGkY6u4DmUTRqole+LiruEhF0I+O4sHFax9
giGSSAeC/GrVHwumUCEsB9OvwId0gjoCp0aB87nLLj53SZvj8/e4sKTZafp3QY+iR9gpTO8R6IMX
bJhtsXr/X2hycews9yBEjk56F6/Q2w3X8JBdGbQnoTY8fkb7tWv8UhydMwbiEvLkgNYD4GOxGvjt
G+GttyKbzuEChPIxXOT8TbHH+Sl68AZaWX0LsZSdBQKIkYxwTMZbqy30XbIXeN+ZzZew9vNLH2UW
CQYXurBkh/xGkFBiIzkFfB32qxFWnn7p8jlH61dQqOz5aJgaqkMpQzSy7aDYKQM0A1G5kwuRdL2h
1KZeiQELOCjulovcLTLI8RbwvsDRIxBb6ovbdiDgh7Jn+Uc3AZYWVVAHAOaV0abV9eAcmkPyhzoV
WrgQoEON6x+AxOa/2ig3KNzdHESyr0qKcBGd+UquhysBZzDuynHwNFvBkt/AyI+efBYCsqQtpS4S
cLzYOaB8HDhugV1f0oOwAUbf5o6pmu8hGMpncq6QYLvweqD6wLoA0X4VN5UGjTRrDUqz0MzlbjiY
uwmjyyR2Ujh1DQBpSXXSpo0IhUn3km8aBy0ZBYUtHW4kO97szMYkVOR/Kgt8Gff+/I0vROA5tD5w
OTgvdLhBlgOsQxQwrLsWutXYE89/f2ETz1H1cLSqgoLIUIKRGYfYQSRFJg7u6fmPLwgmQIzs98Da
ZG2NAwS/PsYfgePXm941hI+2uLq0CpeRGPCUxpfX2mpLxZY5nH4geBhsEj2uROD5jJp4DEOYVlDW
6CvoQQZILyNRJcGhUuKrv9apXQokc1g9UfNkVE1d06L7+mRKvaP1ltcLK4TrBwQSzKZ8dT9wvX/+
Thf4jtB1+/2d1oTgMpmASYbOCBhWL8nZSdAhQ6SWm07v5fyCpigqW/yh//He+89gX0GV5lqt3d4X
8qU5Rr33YPnrQRbK6XXy2lybnWczO7QqVU7LnNBGxfWbB9Y2PZFq/C+zQnoWFPhKknhhqqNMWF9u
k9mCHh3zTYAWZa0Q7+SmPtaGq6284Wl1PghBt2Bwt+lpOMKJeYvgSenXVkcuv60vhRGegi331Tuu
lTm+mVnA0aP3Y3hKuPt/gOouXK3nUG+p6piRDXCSA1ZqUlBybqwRDsqxPGaKP2gJ5JOK4d9l8rcV
djdPCrK4EhUj2/IZeD9p7dmN33vpSr8+f48LB/gcqZ0XjSvAJXzKTmHtA5cWqHqcwLkb1hqnS9H5
nwhsDwppJYcPpbIvo0W/kJGcGO6BeZ2yU1SQgCAdgO4E+Br7wg6nj2V8pLg6NCu7cSFhnSOrYcZX
tPD0YqFvH7Yy1F+3WdWuHIVLVYobNOTu+yQuF7Ich+nBhg3y9VZ6IWkddyLWYiS1lvRWfHGLA19c
u1QdAQHOteIkDhDIf81g+QlP8jSBx4fVC3bjwtmzgwJ2C91Yu0W9A7cpzmk5OWCt3uhgjkmYNHqI
QrLJS1hNw1WrXVllCyfMrfN3N4uMTwPcf5Bnjfvae2Hq06RvG+iw6CbCla+wlGTfAIl3Y/A50TEU
ZCYd8upfGLNGEazHtViOt8gLlOfLeSnJvv373SBZxTdC1dRIshvh2DDsN+W/0GjXc2YiQW72h5Ui
6OnDAbig3itYSkNWF05dcHoGrZnL9rm0dqzeyiMPAtQN9nX3JE0qchBZRWpMRhtuAKOShG73pWhO
xbDnIUpL+HB+emX3NEhRQQipNaMcRj3b8bnBAMDgQwZrrNQ0noRqauxM8CdIM9wn7K88jHVI9YVw
hIY3L6QEJXhnZyT86J2ReG0kmCwYAQWoY61KmFaseHA4pH+RIDVQcAxi420ooG7WBTLD2mmwLYte
bTwVHDeNButBrB2S/Xj+PRbOoVsScPcS4mqUuDxH55hUyjNv/2rt1Ib1nPH81xc29hwvPrAwP6Lc
EnGY+ybrd9db2dQL+dwtibh7aigJekXi4dONyR6FeHivwaBM9lYlqhbOjzn4e+Rh95ayuG52ocW5
avLS2oxNacjYofK+lgIsHJC3bXg3iaaHjZHQokjY6tA8kSM5tygzsULd1VGtkw7xypZbuMXcyqB3
4/CwaqNKeAw4IwO8fPwOezEZzhXPv/BSV3AOzJYyryKxirCAcP3bU1CNhEod0qjELC2gkjYon2tY
8aWZXoFbtutraUSXVdTVQlicg7Rpsax9NvNR+oRnjYIsjr3C78IJwOOfGhOSEhij5muAFUvvwvvz
KS/hQslZHpVF0JkXOazq2Gp116gMuI9egk2iiSpniDqkeMTvwRH+5TqZA7OHgURVJcUW7ex+L9rR
FpAi9kCc4MerwJfjMKzcMxY26xyP7ZdZGyYiFj0bQ0EbkKmQu6y8sYUkhpyGvFuCfV3VjOgh6FNN
s42YCpVUH/gXdy8wUBPjeo2pBCVzX3qS14oRLWSXUTkClMmkwhW1dnKWgc/hz8rTLGw8cvr3u6dx
obkKkWzcp2q106pTs022v2BTBAqGaLZbfyXdXlqa9O+jRH6RZxWNz1ZSkUPSMOzpM60t4DQIk2CY
XVtp1a9swqUbIjmrvnYs9LfRnp/oU6wN/p4N3I/swEkYbBFuZZAleAg5Bcu71wazHkoSJoRdatFa
ZUyDeFq0heebCsShARpsuQGL0vDOsRG+CAfC8iV5wJVCWnmChcYNOwdkAwEEoMM0TWA2QJGBBTMA
B+CsK2sxWcJU/pkSwG/q9ykOYtiSJex1nQjWMAmObhM+ZpVOgQFZ242/ciouFLFYaRZAyhGKuUKP
N0mYlezePhl4JDaYNdAeGdRov4abWprPrCQ7EmMsMTSCM3xCgdvIQbANrOBQHtdgOo83NjvHV3Ou
CxMVAQPwdiUjOz722zVg+NJPz2JG3cLZJ8zw04zwwrDX1tWZCCog+9xfqVc/3qCsNAsDBSM0AtFj
gIEympMLTRUJiKwC1GyF/z+cndeOw1iyZb+IAL15pZWX0psXIi299/z6WeqZh9t5KyuBeWqg0FVK
UTxxInZE7BX+cff+MpmnWj+iwLyWqUB9xcMvPIz1huotzh0TjXSnYMC/nCQKjA67oQiQL2vHzbds
ubghJ/jK/9Wt+0XrUH/OSUOuVdZJ4m8AJoWtECAiIz8w9mjgd5fZk/houpXwCKzdTedg6J/NZaNj
LFIcTX+k3U7tUx+FA+ZTn38E4OuX/6dj9iOSLGECbGPiD1rvRlfYVyfZS24CKdA0m32KPwSI3x79
zxHpNtaFRJwomfrlSau27bIXgfT0+Amu+mtjLrY6bJK4or5zU/qXsbyrzM0i7I35XnwrJzvJ/pqV
/GUNQf05Ni2UhhHJFhqBNsmXIWr95CUBi2gZ+mbU/ESZjqlyTBQQLrZOUpE+4u5XSFuxp5Q4FiLW
AvuwjP94J385WD8npYe6iq2w4Y8RltIZetadZGzODRaqseKM/xja+ecMHWjof0dSqlWoHzEhrjY2
60q7S7ttYrSeP66Cf85p1Z8zxMOaYfdd8x3KgW0kCXQ67rix9lcH7RoC/uEFNX/EHmBI0BGvFw07
mEF9WO1xr5xGh4VLjzEX5I9/Pwi/hGfzRwQSLCZHC5OPGf3hDWdp+7qeIB7+amj9kpurP8eCmR0d
VVCjdAEw5LpEd4uTn7Od7hrPxdv4JD8bODBg7xQdJScHTwmVyAWn8Wdz6Ld34EdWkkh1Xg7j9esx
FpLNW2zZrbhw6/SP9swvAfwn/SAHtwcU9vr1WA5uTqQDjknr+Y9j8otSof4ch+3WCBqkQJpvZgQH
e3osffMO63fPnOzBXXdAB+8XJEztJt/8+/vwy+qn+hOIMKzxWlXXelmeXJPAsJE2lWDn+Mak9kyP
Rt60qavDgQuyCwjc9rT88cm/zNixdvnf5xWoq5hUMp88f7Bvl7cuCBudbrEXBeo59wUnfcQ3hG9q
HbP7jN18Ui/vrzTll00e9ae7vpVE1pKxWU67KnqFI7hbfdUJCZB30SZ0l5csWI7DkeFSl+Wd8la4
WVsbF+xjutf9ajPAbbLjrz9+g+vb+Q9n/+c4bRRbaiwrRK7JKd3SH/frTefDpQu63V9OUr/+zj/i
SyupgCk1ZveKk/VcgolKnPHAUXwM3cbBLvkQ+pqn+tgDaUw//XFcfomZP4do5XLtxBQs08FM5G+h
Z2jPXLAaBmb770/ul+Nu/Eh1FhT/uNJ5cNY5ZhmzO/w16vhbAmP8CCTZhA9sqlKwlQf5DRGck/HU
fyg+ell9GC/NMXngFfWSALjKQW43eeLkO+1FPix/PLpfCizgU/99PIwGl+D/DAS3mPe84RYMtoLt
AyDMUGWc+csEjPeXIP+LvqD+nKddurWJW43OycgQLeRMp2bq/lO8QJyG6IzO9YFTdvc07aad/qcu
e331/uG1/zlkOxuCGC7XV7J/Lh4b1jhIRz90F2jytvfEfeb/uVZ7fWb/9Ek/Qs1YK9LazEw8DLcC
fg22EQCj98tjQ5j7o/b+7cv8yD4GcxmlNenpxZrFsDFlKIhd1rR/XNu/1aH69YT9j0rYbHQsRCTe
x+gN4znBGx1sjSLnQfprauO3cKz/CBDQXpZ4GBrxACz7lvZrej99q4+M8oApSBJWr9kllC7LDu6s
C6Z6ccvjn8ycX7LznyOxmZr+v3molSJg1/qrcS4CyysxIsh8I/Vat/njWP0SMfQfEaOT5jRf1YFB
JcTwVezsRT+ZgwRI8y8btF8yrJ/Tr0ZqtNEiX1vnoY9pdyu4S4y/bcEoj1A6LT5B6R/V5K8vxY8Q
sQATWnuD8GdMd3Pihu0brD7HwAB/iF6EZ2F+Tv7yNv0l8flfA6yhpeVqxABrmbgKm6b1ti8+B8uf
DX/ucvf/K5z/dLZWC8nUxBAmeQhz7U1P68LJ5xRbknaKB7surNH+9w/6Ld79nF8dYzmMpHpYD7GT
TszjZimEk+c8dAdmCQsX629Xwdmpauyq3KqrO44vZRu7yl+n7bfr+Oc8q2GaXW6k43oYw91U7SEp
2iWWV6UnsiiI6S9E6hUv+V0yb4twu3wQ9ofoq8gPdSH+8fr8Z2DqH6Liz5nXsDcKC19+7Grbe/YE
balO3Wl9EQ0vVg7p7K0hPo3mehrqU9a/Lk1I0qA6UvVcAIFtKmfMm4dpLh1VZHMTonS9GLdpvlFw
ZrbmyGuHxiuUxinCDUoH5q05JVmgYzYsFXu5rr0ifZvoRJUyTqEi0PX7zvhcBv//8yf+Ec8SUUma
OeMJC/twJ3+X90xX7Axn8fNTu5Fuqvsys+/Shz8+7ZdT/5PYl1hTKZUj7I/BiTYiDk6TR9/Xj64+
Pnhcxm9ovVh842pt/3FYfjFUU39O3FZSaEoAqLBJZvtbvu86lKSyPMsRBk/5Q6ezoxFdVA2Pn/W+
TLUAurCtl5mXJ+VBN9Zz09xjSwKogCOAIbGue5HCtEIMxHp28H8bFrdWK3uUSogIs23EnjqcFmDP
//7I/hM6/un1+5FimUbWr4YywQAKe+wmaKesqr9qmyw1UCLuzRGnyo5ziUQzyEsgx5+ZcKqr9hNz
cDvKP9bsbaikYIm+zPyplBC0tpMq2K266dMnIT0PuIPjGW3dhVmQoeonOFlo6bQvOOU63t4dk1Nh
7jbSk04jR9TKs1oFdS3Ygggs9QuXEwc+ryvHgl2Uz3ObH0chyC2vA5Sx8J/DEcdSyqNhmY7Rejor
vFP1R4v0l9EkfqT/vu6FxGiyXsMMWUQLkFzhVtqULoLtY7ONGVgT/mhq/hLVf84hp6DWh0ZTl4PJ
JLqKEbUdgcGIKlazl3trfPn3X/qXZVVVvX78/0heEl6ofNLwxR7d6Qg3xfKz7zZgeFPbyAF3b2fT
H1wl0xmC9GA8j5IH0UozbNmpptqWDxnipX8rXNFH3WaMnaFDzMRHYzz1OIaYf7yQv10KP4eYB0lS
YUNwoAjIWfmOFftePa+eeLUiyp4Np+9ZhGfJxJFS969C45d9L/XnCLMW6r0YzamIJFwzKN/dqCvN
BXb99HPyVJtuVJ9X6X6qP4bOF2+a0FlMezafVWm2u756ktlNZPXrYwhXV6FrJSb+OB2XxYlzt0D0
045prP9Rsf9WkvwciU5l9qEFhRRR6uCdr76V8kwwSsNmQfK66MVia59J6fZFbP6SRH57Q39EcTDQ
9ZyJfCTWYLe5H231TXf5qzz9rcr7OQmdLmWXldf5/pHNhIDqWz5pNU94O76r98jkmODjqbhf9tq9
dVN+j7dt7qwXCevxoNr/1eX6TTVWf+Ski65YVd5dD/uNvktfYA0F6VHaSm62G/f5uTiifAjYYhaf
Kn/Kv59JTf7PG/YP8fd/zVGbKmMdIH8PcZHeq6J1Iy7PtZC9l+NwA+u3N5gKiSVbypgqWvEokIZn
RbpNtGjXJp3bduWxaiJXJgqWN0t4MRO/am/G6i7V4OiVmdPQdgCdCHTecqN5voRYj4Kx/4zDYddH
y6nVio1Z0Z1Pa+g/KYa9MjbNWUcC1FJsWqFTNGAok3a/hj0qzORFeeRNeF7msaeE7MiK/a0gWYvd
Wjr2I5VvyZLbzKoLP8A25W1ZHPKhOU7WXcOWpCJumWnz+tKM2Xk7S6HXz6YjyG9ceW4fTv5gVm9D
shW10ZH4upr5kqYqIzkwJ0Q7HN6LCgpMnr8sVu2UxnfUWRtz7pxslRuX6ybr/Xp+Egtf6NHUK7NN
nTzCFiEbE1teLrGaF7Yi1aeogKJrLhNzTslU+2ufef0w70iWzHYLLmunavprGOV7uJ1PY5q7VlY+
wN8NalV9ia3cmbviPZ6ncz/HW8kKhhon0L4UN31v2WwKyF16qJMWIyWVU7jIaYmDkpqUg91VsN8V
KM7lCs8Biyv5JcuCQt6l0WfVDa6KA5BoqnacmkTf0jZGdlzVkVWOoRb7m2bSXztTOVmtlQatMeiF
ZxR6+jEWcvM+VE2BLUsDIaK0Zp4gblpAnYS5dCPoilshguhRNJ1h8xQXe2wN/p+jrHuLOtqaQvBi
Q94rLVyhhfY51tvoWavKp7R47fN+PGiZFkiz5lZjZm5ydXmVuiXfVIrWPccx1vSWWn6vVROsU4dx
spf2d2F8noaHVj/HcefAycaUfsGJohk3sATI6I0yvsStk4WWp0RBJjlpuFvKAkREAWLRtAY6NNs2
Bth6kzULO1qfoWrLyUVhDzfep9G2SDd9vZvbc0cqHGehowy1G2L3NNt45sWTLfYubq28ujFxWHcL
IZhhC/TJQR0O4uIM6g2G1Lm6oRDFAM4Ubsf5EHeMtIBbbh0EbMOD5Ks4YfYorkcYG8XElGQruq1k
h8Kyz8XmGGIaUtBHwQrtYq7xrQWwcWGTo6pPU3ZX894az4sIYqyB4nmnmcOhar+K5mvmzKktUBH5
rZ55SZTxtuvjwMzUJ9p1rFYZlCTC7CZqyrifGONfPThU6U7MGZfq+1K9rOF9NcnV1ijFM2Yj57yV
jq3ceg2Ur+3SR0+DZPqRjp643mbSqWAjbJ5e16za8zWWid6kgHFP9xg2qzNa/X4RI7wmrN2khNa2
L+U7ZVFvYdoq92Y4dZsCFK4Qu4Iy53stRZTg8NZFCbCpxMiKV0OlgdXi9ZTadSU6av6kNLE7L+k9
7tvTwm8eg6ZtDL9qTuO6No4J7t1QvGIsvDkDtNL6xbw+jQ2b3aDeRksgF7Xn6DS85IvOQy3O4wRD
V8BPKh6RyhOsNEDDCBGNrN4TeFW0PPEpz9i2BKQz3c9S6rfG6laa4lRGx48kNlupcUvZE69LUri+
VIdSKCOMuY+C4Y6oKiKm2h7UKPf631GhQs6HUsMkWraCNNEsvxG7aqPEuHdYev3S1OqllpfwUER3
03Qemq8+bSGX034Msube5FfXE9Si3mVgn9NR6JVjDKLTKXtd2CRmGbrlcFrxJjeT5iDE+bZA7I/E
rHDaxLoPgQu7I7ehIuh3ct9hoS1kOx7wFDT5EeXJiryht9uDQWQ7i0jXxmXssXdm5SfOb0T49fkr
68WmdQdxRRzfdSvUbIFxjdfcCsRlA3mENd1Ud/rckd75N5t1m/ZODZDEtEHES4wy0hBQ7BEndz05
TfCLqoO42lFxW0mXBM+r0uspYKLGN6V9H94I63dcsNtWfkgFvhcwQwxc2LMhehjbeCOk+VaP8weQ
7TitZ5UcdMUuptHRdEVgjrHhK6yvaRYE4FkPOu6rQZFhXmRON7Szk2FDiy2nxpWmEQWvVo77SLkn
kicLOKUFy6JXjVZCpO0t6iu1nPBuMGpH0zaxuPZOWdV8QtT3x6Y0knfprk38WfPCnCU53ZGv7Vnm
LYtAMYyALSoMbmfDkfTE5uXxok51hIoJlIQFnugyabK7Gr0tmKAUjWMHoMiMCKLrtvjOV0xR2Je4
rSEeZJh7b3s9c/oKRl1aTi9qN5znHrd0DMmRPhavzA+g5DIZuzJIdqM3SLta8YTYaxR6xrja9Hyu
aTnxlPTYyfDU3pLs1OHUnVEWTSwvHst1q2TUkuqXIrKir7pLdUrFh2IV7AoloN8Zuid1tFjaB6yj
Aq07RKobxSzUNcONVp3q0euw7FIRAgCjFmCx+rv1ZmTAJ+1v2WEswxZyXunh0m0a3pAAGVEfloV4
VM6+zs52Jw9Ov8wAq91BfDXTTwP+Q08Z4ydfg0mQYAW1Ik4x8MLQLAbx0rayFEeWfUnyrPa+jR60
aqdcQ4Wtj8eq3NONioqTvngtvr8o1KpdGU5dE+dehPmuWO8rihZ1cMdwK7MMNgRlv7Egf6LxPa/R
nv6jyuFY4zfoW74pWwdLb45keXB7J5R8Q+q9oSmIQ+lyWy/aNuIXrSPxrFKF5nXSH1JwR2Xb0o6i
PeeozepZ67xLce3wIrHjilmyM3x2u5RiL9X1N/M1br2kXHlpU0fR5U3U5XusqHbj9eGj6JpT5g8Q
QpsVp/fKHwn0Nb8Fyk0/zzsMLxypGdxyOeV06cfGuLS9Y/W7PO5deW6CZRhLp2mbg4YOoEPSVpXm
3PQHWbgLlXzfyW8ApMslZK29Hy9KIlxYOXEaDEJxmbwfDDQlYacL4E8bLCbnSbLV2UnN9DjNjUJ4
KnUYnVW7H2Sjcqx1IbOSNnL0PBhIRoNqkFSJHckeSVksG/5SzMX7OnLhp4bipoXP8DI+8VYVqJHu
L+qAC1PnDqtiD6j/iJbi0ag5v9mWS8BQ2b6u1p26mL5cUlbKehA303menukX243aOSLegW0xuTIM
xqVSnVg7WLnGXHa57K21AU+MFwcXW6Lf1VPns5EIPxKaLFqAJRTgk8X4uQyNQAjfRCQD1DZ7tXaW
cQPlNLAiGfDp9WVmESgsVdu8adtAK8JdbZnfixIp7pgKl6LchrX4JqXwqxJ+am1sArmeeGIo8w89
bac1MO8YJNc007aMPQPfDVnI2r4uyxxYLf5I42NhvcriY78+qgtpnVfnNys4AKn3F/g9WE2H2xjP
SlIBR9bT20lWvkYWoxwRgAa+bwNTacW5SepjNVqyrZTCVq95Y4V2Y4y+XAVikX6oRuPFVo+F7rWt
WK3A44GztqXuTbme2qydz3Cmon1TFtNh0jtggmUfb+Nl3o0AfWy2YG/HSjrq/RJvFHF8qbjDNywt
WkHVvklr6pWp9TXPMFar1Bn1x1QnfWdkH509uYB2B8opFe9ZSmEyFkADJ6xSxsbtcsa3lmFHNrtt
QmFfSukmrsMAzOgj9n17VRWCZSLFGcvkW7GAoUQw+jSg9ob5Ki4GSRqvnQ6FnWjJlERVnric9wrT
xV17WNPXxHoRNULFycis2M448OUI1BPT/syrEZk6rfOEhlAyzvjT0O7ed+sM3plVLDuxhvgw9+am
DZVzbbQHjaZbVBf7dbaw66IYaEM/j1K3kkoeXy1u1L6iUb4uhzkq/GRNHG15ElX9tZ4p06RyX0gc
KBTXVPtKu5eYDKkvanDqbAJ4jaZ569Cd5aR3RMWP5feOXq+plHeCdFvjOtJODzBRD4WaX+Y+YtPA
5L8ETuc08Alyt4AxyReSNuWpa6uXRbE2VZc9lvH0KKPPzPKlGQ5zGX9BBoEZCjEOtti4hNyL9G8K
AV8aO6zvI4iiEm/gXQ/XirOQeVl9IsJWlSd3+4wmtOQvVlDkdxblALnG9eyq9a635I1Uwnzj9m8m
3hII4vfG0GybhLDbaO4iMBkqvU3ivb64Q8rmkCp9yfnwrE2fvIQu9RjxwwmLwmvj1A2z2Q2bD90A
N658VaO3Gs1hIZHrpuQgKaIt9F+6KdgSVOryQTFvisQtDFy4kbor/BtmtFSlfFG09GKFEkgPIdsu
rJM0+kKMo4U6Va6sP69xvlvM6qFJmB7oio0sOoWIoTVLNLnmGtbOIE9UPtLIJbb22atq8JCchDWM
lCc3bOrEU5P7kLXU8jlWXBPnC1E4mOKmeKfB2GpOBOynfJmUZ83ckiWsc5B1KBnSLplge3TxzrB8
reGmpkzZa/NwWSfzGOE0wb6R2JWuQLu370lpMUwddWfEBqrP8EwlJ+o/5xVyErgL5TlcghTf+JY9
66SIPDk9qc2bzvqSOaYAJSntRl/UjxnKLSaYcNr6zG+MnV6diJ4tN8yYHhR86cQbGWPJmfNT964p
AiKB8aiarmW+RnjRtJCx5a1GDzJ8Wx5iBhOaq/9wIfvG+jiz0tflTo/oBAVA2tYcqOYUKr4WHk0L
TplDpVOT8fWCOxinXimIRfu8x+12tU4mWbCaNZ6EkRKC8NBmrpQNAMwI2WTZXRFtIyouxcq8iGpB
zjjWIj2126VE9O3deomOOMQFXU9FMfc7oY99S8IzM7kKCQlwocaL+q8QGmuSL34zVsS4yk7aYIyC
VstxgnxoVcxpgkLyjDzkS7T7NI/cKlXIjRNXF+fzVBlbLaLfriqfYoSLU9FuuNovwqT6Qu6HOCzO
zyH7G22ZbxfRU/RdVXwbhJ65pOzwJOTSMN3KTFbaJvvOdHK2Q/NqqNuR4fpqeevqi8rWR2nTX+qh
zhEBcpvsOxu9fLHLLxBGdlPpj0W3leNTLzxD9w6ECUiFyXY9Lmw8fbN34d+a1lHKyYzCvcVVO1Ys
qaV1hU5Wacnn1RqSatkwhpu4mqYXrRHnFzVsOqRKc1B3glD5yjQHadl76BONE8eZr0OHDnsqX5ld
6bT6NjlrUdliyD6pu7ydd1OUBLIFE0lfL6skszGV+f0ybkup/Vx1PTmSAt9bYlRuGDVxsDq675X6
timm7yiicFPxIQjD2Aj6uLytTfanQtO6FRdLt2c9pnpZQui/wk0lL04Hjprv5YrL8G7mYxxEofQt
mJJXDeHnMt1mzWntnPpVaT7oEQ6sflDzDK6SO/mHjjNXOrbeMlwTOKPfV0+CDKcCGze83czg2mwx
qcjUY52w4OcZAtA8V5rspfSk2e+rtyrhr7dV6V7t7Lx2YvW6nrDlxKqVl+Q7U/K1LnLC1ocphMSw
FM/4U5IIloz8ur24l1Ds6gYY/BZSmGVdigpryG/9XTqrj8qLsPjAvaVAGlxJd+vOz5O7IT0OWufQ
OdYuPZe1FrmIFWyy4osdx0FWnVr+ac7Xm1Hb7C4/Dum2xHpzdMo0aHC8tM5KGujAsxkqLg2vATNE
FRztBBKd6kHHjSm8HRvZGwp7zD4S3Q+ZOpe26lFhErFasSl8N9LMzkNano8NW2vdJlX2RVFvUz0A
As+q69S/x4MrJ9sw/RLit3C9j/qPMVu3teS32DjVLqVfiUwYtZgE25B8u8az6nNlrIRTxtkiNLBs
RyK31pWfmm/WmJ5yDU9hnf8bx0MDdFDDGVZLZ055NbJtdqfUERXobZN63CVL6sol3lFpfGSaOGi6
+KCaB/2s1QccM00caBibqV3rQxgbqmwvMh4LlIny3I1baYUIn9Gqx2+r0anD9226I00Q2HcX4Ryw
VGk9FNa21p5jiQXEfLrV1Q8Dg94UgQlI/UQwK5/VFiamoHtqcyhKNxY/Oxm73/LdYn6u+K7Hi0b3
X2G3vPJwyJQ0BI6jXLygM/XxOay3jXZXZsdWO1Q4hTICXuAUynCTKHhceku7leQtCcFafZahl8Mt
zwvXQLTrPexQbRmtKp376xoijvDxqLvxN1dSCJpwVh/KTiXM+oOA0AK7eTiSjtRsmX2Q47lNvZHw
MnsqKtt851LpHqsvrfGj5j7Xtyr+o3DuIXz0bHZgadwr1ngOi+oG8qut1DxMQPXirRUGgD9j84Hv
YlQ35Z0aP0bzGa9hYX1oFTKbOHHSpDzVPXU8RbUeF4wyDYEu8uXWY/hUCisr08BbtK2KyVpWo9zs
cysPjDLlxOOtZ7lSfBF2Kh7SJc7hh6KpHnVuyZwkTI4pZvNHrbpEi10VN2HPK3/UKWdKlV+AkUBR
xf4ZXuniROZlye6sdSXtO9JZH9sz42q2YRyW6lIqD0140khoK7pgua+E7ihvinyfsGc9KIiHmY9u
lZbb7rYiDmLO3Mm8stQ1d3XpG/rrsO4KAY03aF67bDOx+Gu8KbDfRC5N1gbnV76XEQeTCOZM+ijV
DeKmnVc7LfFxLwEeaBn+8MUpEyyvVzd0QCcykPWSGA91+TXkb3rT3aC3M4WgdIe6d9SM3+6Zv7VM
X2altZuWlqFxy7Coxc/XWeImRouoq5u5eFmS04q1RvTclZFdKDdpGJTU45FtWA/q7CK7Wae0RQdT
AqXcMp3lGESqkUIMESiHXGg8Sc1eZ+woi/cjqSxxRHfajvf9kHLvDzrlvERMWQUXaYiUoi23ZEAU
ywnnEaoe70I4s1Ft48yO6mWxyGb5IXdd9KZWH1P+3LWOyk4R7i3WuaxKB4teHa1E2ncVOop+Zohh
LKH1BUZ6oXYqZa5NPbcN5dEkrQidanVEJmK7mwYTxoLL4zvTLkp1KXJHj4JI+dSs3NX0+yxy8nQb
t8GgbmhycA2PhjOBc6gf8A1Oc/y+hONS3nUwyOvTkF7i7kkrEXD3nTB5IzsDaf46W1tF/Caja4TI
0clSZPKYeJ+trLBlrjAzg+M0DVQMu+SdJ3sRyUfsuDW3U6je9VVE/4Tvh8MJfDPN7j6nasNJqWM3
bQMz3bQtyct9Bxiui75Cfa+Hu5Uh2Ng18mD8bFJSNayPWNPXvPhxhl88u3J3Zm+YXLCjwJPvLRT3
gwI+2qREQVwSOcsJV2Cgo5II6baJcjdvHzMdinxBw2OfDiSNxlbo3lbTcPRkV2AU2FWOaGxKRpwh
bchcp4FxymZPlR/XLyV5kkHRCxS/TyFr8sRlvXTEgl8fMKIbla5BxCqOjJII2meH3Hq/qCbatl1g
Gt8SR3OAwr0vsDAJJZaOwPw5q16/x418kRgBQl685wYyQqzf5I2sf2Tzc3upuFjiTYLhCWla+KXn
TxOTwEhZOaFWdZQ+dJnRGXXSc2RH9A976rYL05Ka8RIpx07Faibzp5iHND/I0543IW/QCB2FdbzG
tbqT2DPaidjryupTgvhgXMbZxTZJoY6UHgX63SpKstDo7jgjiTGMYdhG81WFpwlbaWurvujoOTFp
82YxzxXAyMHWTXwHHiehcpl7tNfl86oHvjD2a4gHcb6ZGSmi9K+rYOm8OvXFyakEN+y8rt9iWy0m
r+a4zdLSnSc6YeJwo4yhvRpmEEX4zHc35cwJo/zUIBswpXdO69to9Np600y79qGBBYzD/De1Z8go
pPoUMa1oeuHdwED5i/E9ZG4sOZWIQ/1Gtmy2fMxpM+56+geDJ3NHfynpTvoqVJz7ceGLQtUbolez
f56lG/VewYZAHm+6Z2UJKv4ixVuXFanytoykDTkIKE6HKj5MXldFdBRGtjBP0Epjy5WMLkO1wHMI
sqtkR+g9R9qblBApvb7YI9Zb8lccuXn3nuQBSitkcXN+kIR917rZvAnFgIJP/1Yzw2lfUvWzHt4Q
eUFt2+mrTEp9l5UmL1l9nWlQqqBAec9P4dxsW/1IH9vOl4PKrSsMqLB+raAPzqBJ3wYcAMwb8buq
biklcn2jRpXdzHut4pqeqVu3RvbRSJ+KdnvV/3FQIrLJxeU/wtL1lVPt9JDEG6xjLEerNvQHmOIS
EYbi9V1PtyJIQ/Eh5yef+JdXFqSzO/Rmm16rEd6Jd/RNOiCH+hw084OW36W8U3GNCzcer9Otuu3r
U60ExuKGs49awkAYMADcqwumG6llOF0YAwWtuG0kn/fNmF8HroXo0GueETpDFIR16UKGrqa7Ncby
YG81d0jF08cQNU71rKp3/Oxi5+ZYfOvB2PpI1RMrD++rvk9DsAY6WsLgNCQ1QsOvtjxqtGeSx074
WltH5sUxFvoe+yuIQL3OsTlWVDhK7VlS5Q7FJ24PRuSll7V9UlT0FYmbEOv9Z0zWhGxDFl0v3si8
lMD1H7QqIwCA+tp3KNaWts+1IM02ueRY5K4gckxsufrANInRfk7pSxQCNy8Um2wIOJp64aNwC1AM
kZNyX7Qe47elp1Iv6E3JzhhvNOMkMeYnH/tmY8kfE/9w3Y7Gts7sUngK64f6rZTDXZg+0Dm5Fj3W
wJB+iz9W99wdVST9dlYcJb9p9b00cplLrC0/WOHTHDMUUjn8CORqEon2qrkpLTEicUfmrNMhH21x
vJq9J25WMdvN/1orGVV9r87FfoYHKqv+xLuVsYZqC/c6yw7Fl6pIL5XE7m2OljfTyGC7qpUVbo79
Urq9Xh+N/3u9Q2yoIEAt0+TEUJqq6k2Ff8Dmin5jNPKzgABhC9pw7WFXxf8h7DyWG1eydf1EiIBH
YkqAoBOdKD9ByMKbhAee/nzsO7mx4+zTo+7oriqJBplr/dZrG1h7riEB8mwVGSgRbTVR+9QYct/O
8U4vK8/u621Th39qWn+4g/hS9GQjoZZXmZ14Zru1sywoRnPtiLVuD1wsqzIKTLbZC0ImBKQroflV
/KPHXzpqBP0Qig0rOC26jbHT6sMdhot91f6Dsi9+XMXYJgZp1Xj2qrO89TJa9/NfPxg+CpSWiwvM
eWvyL6vGWluMfjN1MvbIPQsGa91owSKCEqrF6pO/yd7rUCeT6N9Lc80yLlvPFOMxk4QXd8Nh7niI
CzAxHXsNILWenKpHt32PLDVIR/LQZBZETnYFAgiy/l7fpT8Ow32xB6idKNKum/ucrJKLzxU0NdM6
khyv9XIEUwuX4V0Tt8RIr1W4S/nTlqU8msqNUM4m45ogIf4Sx0fuzXEOFpcZ68H6i8bfEaV1BAKw
YsAngsLxNfMwIl00aAaIaA/wOGrvQy/McHdHH2aA7+4yRtty2M8gsZBVUAlGdHVL+At4np2lHRYb
yF1f1xmn4LKvZmCi3bLAxh25hZPeE3ZgTreSoOpmFdrrCoNmSIvJZlDbXTWfqh8HzVXmDBfAZVCK
Ybgo/V55XLoH6izwUA7OuyUi3l0/1zeFs3XrCG3Dr01USnXWb5OxKzJC73aU3K0yauE59YY+YOE2
myfTfUTtQg4zcgJFv+l89ZmT+YxG05+iQ8qUoTIgkNciyCCDMIoIkqI9e+APAl63X7nz3o9bR9/N
JBVR1zX9DGgCCwi888BZbvZMa8U6gyYOJ4K6jXjbDucifXHt4zyeMlhWgF5rb3bo7QB35b2+e5JB
3ieg/W9E48Ce3BjyGFE0gg2fh/kstVv35/7kib3qk7UdftcTAFaS3Ca7f9e4GWb+ch+/VvVnjhLM
HQ/Df3p/xySAFDU6X8He1Q2eeJCDxijxnjE9MkbmAfidMa3crUtTVXjOs01e3tzhoRnWSn5W4Zb7
7EBxsTDE6/wmQT1/VXZtcM9N/VOFv5bwMpelH61ypnq876p1Wibf4v2ePCJnbW82GVy98iUZaUvS
inWcvNfyqH4J/kyfrafiJ6xeeqJQzezCCggJCXtkmselSv3O5P7EMdhq+6hqD2YDB0giERRjoe6W
gU0C5BioL+BZ7pidjnb+ki3Q6chZesQBeRuYvL35K9E3kzkfJHOcbvtu97Bo51x600ha8oagjcA8
hM69u9tcz/J9UuH5PdP4ne9yChQ17prtw0C2Ihk27vtNpjNYoCLJvQrEj5EBpY+L0Td9b580VpPa
64zttKyNR/cyNC/yNXU9vg+AoIAVWgS5pfzl5QepZHURuO8lg6b21gCzROlWLV1/LlcRCtnCN5xV
Hau+fklK6HD/Pru9z3MQhlucQKr4khSJn0HPsVjDFJ1droNK400fN2a3r3s2GpfSDP0g+y8suQ8O
YdnmEijQmMtXOKCWKJ/Gd+WeBNM9KKg0mppCzS5IODTU3cSqVC0k5B0jA1Xs/Z6BVdDrddgfl+iU
ze8yeYvitat+qFB0iflqZ+7GepjU9WTDPR5yEHgX+ofGCzWxn11N/eoL5RBJbpqQhMQXAbav1G92
yjHrx/2nRnr48EnWfJz57BolKkPxMFtEXNl8OAj1zd8p3BepslHhr+Nwp468QemtH2TgFtlGOnA4
EHfLuUZLF0GAIsQeHuqQcyLybR7tuvpO41MCMh1FXoOIJGq2oim8mXY2Foa4+bKUJ6MYEQeNaPKx
e/KERA7DO9LHMg7SpWSGANe2uaWkvXaycT1b6HHyCODByM5dPq5qzTn2MPoEIyueoV/76EbFJFx3
5CKQWjFvD07Dep89xjWJAENuNWigQEz0epvZlNsItvAiD2J2RZhnEJPuVdSfQtvwvWQZB1JUxmNT
feYu34kEwIXpVMTVSRO6V4qr0vr3t3q4mt254AdG+Sf/mpMiYxTX3PwJa2KmX1MVeb7GAq4/KfTH
x1YwLR0xRyy7zMkhqnCOimKr/emA9m4cgIzIeUEOGeqmX9qvCn3r7qHmKFw+K/erjaL7Xznw/U9R
xdgRa8LRdJi7E083H8cpRvlVvHNlCw040bFXAxLtwsk+WhsINZ/ItHkFB8Gmg4AMYuBNbR/K+K+F
h5/Zdoe/xWz9/whVzot16qHWI3Y0yZmoCvFWMRIlzduQZ3tDoMmK073OLx4J50At5qGYtFtPJsG4
L82nMLuYaBmj8EVtx9ZfXO3cd0O4bvT7tFm9x3m6KQ7K9O5q4NcI3byel9K/JO6jrg/BlO/bBZ4q
vJYRiJJx7aJ9pcMcPmrK1hLrxQ19e/htqnUMu2I7O7PwmHatcpcoz4k+MGl/29WXCcSUdDvLhG5Z
pQ2NkyXIe0aUavHYjd0pLfTH3ASrpr4sLvYWMYrFt9kgl+hmFdaZOvty+RxbLtLYvZH/zDM3NV/2
lDwrLlx7vVhBqQ3wTygfjabayZ4nvOstzjXnu+9ASriBtVER2z4Tn2E87+npe4r6/aQ/O8iKKywE
iXy1lOjaAmo3LBiJowzHBHYfOE2oXplA7GYMLYFlqHFQ69ajY0fJzTARCMmImb5cqp3pRrfKofXG
RDhafetRttYtY6dI1IzF8rqodwiIIydSaV3XT3kMk4sQygzvykD2RtNtXguXKj1FDHtzHPACkKu2
Mkt927tx6MnUybxelcMm7syvqHGiACYU1cIcH0WIgMQ0BrpDNab78hwqQZdvTc3F3+bjOxiN8UXh
fg+tyzw8sX426cEVeCdk4pcoksovyzZ9hwaBZWU1rFMZKfQCJ4zXRH+J8mjQ7sMSilXGNcYr3UaQ
cBrChkzDYzZ1BjWBsnrMhXKQmjJ6QjHWFrkcOg+q64vu1luJr5Xb2fi0BPyXvsk7vg36ZzOx4heo
KeoSrgTOUtwJOuJ7K8NzCDJaanlq4vrVtrVbxL0ZdfoaMbu5TzXrPBC8CUwwM8UKICw63RmDt4kN
V2C8mzEZlXE87Jq2eBjG3oTVCmG7SOaNxUZKlQ8Tw5zniCL0QqU1V400tXUc8X47LjRJr6ezD8Fz
bMvmUuiuJzhFlKk+Ge2Hm1JyTtCIHPqK6iPLn1x0qJZR/1jKg1MVuyTq8cb1Cfh+sVHDszUEKfUh
LrYsg0rqWTkbgiRYkgLKU2owOHtMkY62pb3B4LaYoiM+pYSpcy6eZ3uvNIHu7itrE023QRxM2kyx
B/C0dXV35WsdBR1NF9BZ5gJWnyrgkQYaMA1plrZOJwPcX3OesapzzZeENCXLRzs1e/AVttGq84rm
qaZuImK7OUNvK87BjB9ta90SNdH6bgLOBNGbcLP0bBb5smUDcDFIYWkVYt3jaDDWyB+CirKufnZ8
I+Ll1rtIil0/x0GPAqHXWSzlSzyuZd9vZW7spNmZcG+MTCmaQ0TPnL8v8rECTu3Ft8O5zfDbDZ95
5xJYY7zXzQ/AWdiUpy5KTlq1zfXxYXF/TQHYXbChNPp+ttpgtnkfamUn4i/DpO1E8bGfkRa1z7W2
9txS/VTdDZWPflMjf3Gb8LMpJc0zaYiIBDXepJm+UtmfiaMtTD4UA7b9a6epWz2Nb3OYeaEUtN2Z
nhUmKCEqBR3u0M6btnGI+5yq3v0Zmlpd9+osfEWLkrVmhb9ahR6Vh9roWwol6w7ZcKpSVFBYRsX/
AX0Q19zkS6Ei6Wyp0nIi94AE2/BhAHk62r4IsjTd9tI9xNMEk0drDCqmEUK+miKwsdqavLitAqC2
qjKRnA3AN2Io00M6SXCp+CIxtUngkT4rjwpknDFo2wUl4tRX76PmBonIzshzT1mSXsO7QdEAd+oZ
7xd8KwWqG9u21bXal31g13eF2GmyDqqZiscFaWc12m5Q3kW76Ny9MSZfPox39rBaRLF1kfpbDFQm
20mKN6lCpWDcOh55Cb0UFg0jW6eu7eFzWD5MudXZOw3kZA1Km5jxBI+e4kf2Y6ufJsdl1ql9mq1D
3VrpHb/iX1sT/RfaDxkKhIZBuXSY0u3PTJFsMIrtT8VrWWfPmpjt8wzNDZaQs5rf1dtaZvj5cHbq
ix2/KA0o9V4tq/sDVybkThb2V23zRTPe0LQEfYYdTUVBHBvyr0bKn3mDeEuiaGMkkBUSFC5TTdeb
O7Gjb4fKor+WTJh2YsZxb0g4muE8lD9Z+BUPwJ08wmL+RWQwMmEXKX78DpRiVrV1YwdLH7S4I9TL
YG6c8BpqJyPs4kuGc9NAhXizpuUnqYdxn7YvIt90uf1rFQn9JMPGQi5Gl1+AUr4yzvZI4P6QQ6z4
Xe1l3VNi655NPqwzejlq3Mzott1deUdQNNqQyUXzK9ZJlwMxXCp5nGMET6hXhV7A8he+HTdbO0aJ
vSbezpmpQODbtRoJl7oPtSX8hAqzp2zdXME8+cbli+wECVeDCkRl664/EpL9Co3j1Vw35Xhaxl0S
HnRxbq3UizhisuFlaB4hnaCWxwIiNXBLkDdEpy62XE/RrGBQudZgaOIh+xiU+JwxjZvNYVI++tEN
OLSviSkDZXw2DZPo1RFvguGXmWJdLWa9IkfOMLSctPk1soW17ZqFDBDG/3UV9vCm2pV/f9BjDxET
AzIPbZV1DwmbWFEsx0ijlRCcwgAE6oYUWnU+i9y+q5i0TaFu8+pzmUn8mEyvWXRP0967sNq7U87r
wAWbfToO2in+YnuHA+Ehtb+iRwCrtysHTL7Dq1EZeeIDhi+zjeUUpCNf9i791friF3UMQUJpYSGi
EV0Ba2+q/BbCRkGKuhGhfZJu4iioyYepALCzZDvUs2C/20kxXCZ1xt0ytElNqCqEdplDXJsd66ck
EMVuZzAHIxiGv1g64hFlgFwNcdlf+hhEn2N/gteKYm32VRWfhwtQlT6ofSq9oTZfHGQoGDwq27rU
pbFJ8LnsG1zJGFeUcisKehAVBu9+FjywCyLKSQ9j/57o9FbX5P7Oy2u2DArija3WqSUXIOhIk3Qb
PTpOVCDVjilWUk/PpbLOEYj0FQFzhsG66CgwC6rA9Zg3W31QkLROYIAMYtdeiW7RkPvzZIiHbpo/
JwXc0LDUxhc66uHKcR+lRueYOz2CuGbNa3PflFs9+qtc4tkT7WIwiJr1mHmV61z0FlY5P+vhEyr1
fJ2lH5Kmjum1b7g0a3kLxdUgwBo9Ya8SwS9epuw7ZPlq5Gs8vmscbrF46uzXyQLV1Z5VQMP0rgh6
TU3IYoOf4/O1Obkj3oEwlvLBmSGZQivXtk4S658hbtUC4jRa4OSqMPRdhit1CIz7ctdDnIeLdEFS
nd3YZOZnt8j1qEsMzeHTlAxbI3T8Ipu0J1X8hL3icS1YMklekEhRaGAjyGiM2kERPCpfjRrhQEk/
27b4jZYYlOy1XtqdTMMXBXhB7Z+SCUg2thHctFaebWNn0nl8UPVWql/w9VtxDgnL0TACRA+mvc3V
7zmmnU8Y6IqN7yIRR8CLfhEqdDKzCbYcpG+c41bFgelsyvLPKG0Ixo5IoknrD+oUa4QFf1fjq93j
EwKTN02X+y7btHOxtUHxov6zIiW9j59wYiF3R4U48HZzPIzP/Yg01FRLtpXUt0BU9AV2yDGTbccY
DYIONjXeX03aBKW8QsvmbPKueG8d9TEq3Y+iLhigwS/tuVDQFtzDHRA9boqieelsxjsAt9QejgQS
p0qAbjzqpo2DIQoFswkhIvymYdtp0rtMnW6JVaxAb0BoFwaqF8tG/l2nVvgG8MsBJn9tvf4a+GTR
cWgx0lHC9rILQcbAJMqj0p8EfS5ey37hz/KVXEfULEbkFSMoJ2nJPbYureecZJkrKuta8J9atqy7
odv1KiKQRRyoB11hK540RC2N8PIu2SThTI8x8IzyOkd8YlI71s4DEOSxGQC+hX3RomqLfLqIxuZt
oke27Cv8Q6jVSHh2Ov57CfvBsjwvG+KZdm3Dg2URbVj/jSFAXjW5b33WQD3HbN0KDufCNsFlzDrA
nDCRcXpC1i53be6K7eJK4NfYfChT0D5mIdWPKlcejR6lmdAaxMbqPtQZhtPWT1OLrS7iW9iqA3Mp
TpTWQpseu7CFZni1RxsAybFOiiNuTiY9LTxVc/NgM9EbIg5aAVgsPI6xQ+Yyr0CARe2rzBCnjNO2
Mo0zbXpQd8/wkDMei804/urSORSpuzYFnzD8Fz/vCXS3KcZtNMhdwq+ltWj4h+dKGwMr/eDg385V
cUhcZxu2G5bjuD9azyGanbqm2xvVSltpXgi2uziDhwx7H4fvYcPpyBcFcU2cLA91ZAUd7LY5TUCx
4rkmIq4aqXOxLzZSb+zWUM+qJ5dfE6VWF/Y7WX64lBgR/3CfnEa0ceWP278q5q13ftCBxclnpEKk
oGPr/UT5HMnpNm2Xlwqi0VCTm83+WA+YyFLU43BuQPyZeTHS93C8MJ5WHRhWzVOM6EJxArVTbnrV
bN3YCBri4735zsUYU7RjS98YAgX8XG0H5XWU2cYmydZNDvr0UmNG0gcK0UzVE0l7pzlsLW+8fFAA
I+8P/cjBnhLY0n+71hhvTT3cZZbzEVMMO8h8MzkmteIY3kqMNwWCPD2zUZkhTLC1Q8IcZGLeDNvo
2A63cUw29Yz1z673BhYCTIFrAhXvPvje5J1SBshOZFeOuWJHHrDPV6BlrEmRNe0z1B4WKF0R3xr7
S0luqu3jL0K+9j7rX3r97cDLa5JU1/69Khc8oOn4PU8V3vq6fNeq9FInhNi2RnfRJuc5XlTyC4rF
q935oOSH2iVirqUWTuw0ULGUrfL+PkQxv6aDBbHhc8LQokbxD6Ik7uMD2DHPFqdn5WSbqEJ+nkFl
Hvv6Eoc3lpm4ghQ+FNHdNhnIPl13VvptAZyOt1l5Zt5PZHgZLKiriQAANRoRW4cd+waQPPv/vsvQ
gVvjeFWRpC4obd152HYsJ0Ik+UoX5UmXs79YxX6OLf2Roik0sUaHZzLpprXoUeBqWsTZnWub2pq/
deF8lfqnk18W0Xt5oyBw0VskWYUbnYQ1faJgrzJ3PYSIyMNJBVWu7tNRFRbPWgOazwrsR2nX870o
70z4Pd2ByWaqZ3ZdYjeMEiprZieuI2erikBraCdMUJeWJ4pmgk5vPIenmWx8UxiHrIBc7kS4nzLj
ZqZxkFmGH7kTRoxNnW40BWUp0vbe9PVmU6YnRYSPmCG65HscnWs0v1nRD1ZfqHy2UNtSfD1+1Kxr
qhiXFpy9ceqTMqmebYqgslX70ZkylFCxYwQscQQ4FWOAFfEjGXFdjSS0FSI1P50wI212kLRo5uP/
G9eVHFGplrGeCKlAnEmswH3P52RNwRKjOcIwOZWvQnyi/FuM7xqywEDyMPiTwgzDgVK/CHt5Ymfa
2dw6pQY34kbqacAEpXRf05KdnPwwS5iOqPKTMsda4SAamrfZNG9iEZ0UtAZySo9WWu/1yMIjM1lB
X+u6j/9nnVsS1EndyxDUIKnjlyZT1+T38hbgO0lQDFdt0BXjKWpDL4JeqZYZXf6S+oZw/Lwa0dC1
UvusF9eOgVaIeFVeW6fxepcTdUuDA8D1TkfcNtIGYONW8/MIkPZsjO8cvL32KuadGfKhedgsGfYf
l5j4FlTrjwzYdXTj+2G6V/Tcot25rMyheKpLGzbmttjBVD10TBKaBDQwu80owhvPV6kSp6f8Vojk
jSnzGrPnKclrhIlujVQqrRVfM0TnJVHLG6yVxT5vR7LoAHnT1G/Y3KPEl/A1chz3Tm0/0lpV+61V
Xdv2Nscbw/DNxDjUIMSa8dzJihE6YhFYV3lorKTEklYFKqyrISYvv6cvsa0Y5Tmdeozjr1jadq5a
biIt0zeLtnxP9uPIbFYvF1f5KaZX6HBW9LsjlFIcgnktsXhhlQbQtflsodsUe4nyQbRbNda+hrZG
ZFzsJ4AYvdyL4ScyFuTnybej52DhCnefSy7YS1clx4kQcJrcxFe8sKyFxnIwYfAXZol+OuN3AUWZ
1zMX+XxWeLAH1cKKoK2SfnrDMtS5P4nxp9nbpW0vhXWGyYQmnvEbK/IUN6Vv4MhPreaYL5fGzDeU
pa4buCOjuDblu5O+zA33IF5zcchHtOwNcnHj1JBNlTUCkPLOVwSVg3Uq8fO7ChF+1mJoRYXWLs6x
Uf4MInNzfMN2gw3mLlLqkxpvvljjIIrJpWu7LT1DXpHEayjemapBHcdtgPhZt4UXDYNfLSfTLvnD
MHIhhEjC3apIoEWEqFgSy3w71w+F/qAz36ibbtmTGQuwv1rIQXImDK3Ly534itZVvcOhm4BKWjsA
I9PcdMNZ9l4BzBXdzGgtS4Zs1Nnmr7yXSgGMiOxZQd2BTgKlUvyAmHyVGV+C/Rk2AX2VMkC8Njh0
lVMfI0WhNzZDjOeylOsGnxHsQHKG0VQsrleUFTIsvKQtg3EeH+oWcuOY9Id2fp9NP7UtT88OXXpt
p6ONYFRPzrWq8NWMs/e6MHeOELx73259aZRybzuwvI2LKhNrpPLF2LFjLQfuw6gNjrRu89hfOrGv
XJc+PYxbrLhVB689WS+q+WcVJboue59Ey3MqP12tL/CtYHWQo+bjTvVnvUP+kG2UFIGsOET3V9R/
sabzyaOXAp3G+teb4brs6md16B8S6JjeITi6OShDhE1MWcdN9BSl929FcrXcZC95p/VQC2BdPKPp
d51xFOpskYjKCJtGLTV52Vbt2hNmY4a7JxFVbxg1EABACAT0l61TfRdmBCUPFqKSeSn9efiyLAO4
qAceiOoNuVjgqQ2b/9iTVO54ujvvNHWefTmaRHKWD1Wak8wSM4WVQwe6Yg/RFISio6RMsvbKqd8s
FQBE1uDuBHnqp/Y5aSqe9jZSqYazyFgxO12/RIpmP99z+1TfZr/3o8Hqd64GcBC5YAmmi25TTMhE
sUBhSVHmV7mckXZm2lvWVN7SklSAHl7CPb87XO1TdJOQQBbGCbcJwrT5NLtLY2OWmPGDjVPxW7aY
nec2ZEbtUfZr8sWhq7cpesavsfuODf2hkdpe3LMg6uJSk11kVyLZVsO1ATiGU1u0bBUBggmIY0fj
WsQyM1lWIO0fyo3IOUqnXTj+RliU3ZgFLg6v7sCYVIq5PpcNIjX89QObJ8WtFt6+UTuH9+2xhgox
1Pdcs96IPlKqflfk6bsR4ccti/nRoUvgBmq6ZfTsTDCv4TLmCJ80XA3rlmet6R8FcT3I9pP4e+52
eqKsVX0tnH4Hu7KpCXqq8+IWk5fF3LQgVSNbkBGdZgbUfbP5EWXnovAj5NmoQpMZdcN8SUg1XzFn
kx+A9DdWnEuxLJ4xhl7aruO2/da7esOz5A9tfOjZnIxM8SzYRyeHupbhRgcZiqebOTOY2TcB6uq3
4bx4TpEzYpOOpRTDX3H/wiUBtWUbw35AsCPD22jSZijkpr6PF6Busv7A8tuPgUhws9FPZYOR81qx
Hkg9QEQkKlhq8owq56yi4UvZL7SMMGcb/3HYTBOjBJY3/ItxkvtLWXKPL+3JGZW7J/IKulOlT1IG
GG/x4l8SyNCZ7e0ZvSj5ASqveop0fGOADEFUPIl+Hc6PGpksyo7HEktr7QaN8jF2CGvSoLe8qflA
9x1RjKs+tuE+Hp9mbTeE2yxS/Cm5hOlDjvbU9Sf9lstgHn/KYu2WnwmsvP2RWJBTLx0savIec1aM
L2q+diihGo86AKdSEk9Tss8uLft9cZkKEHOh3UWeyUPkMNicMw4Nd7jall9OJ314Kc2bGOyzElkf
NXdnLk7MwL46nKAmW7V/lvG+d18NhuUaHDwfwmrdunZ4Fv3o6S0fWoLHo9cxgbGsSKpJxt45u5Kw
wxaVfZU75sG4m2qlFER+Qot7DRnnhdYyibYn10Las6QcUUsBxlgY565BjWVU87ZXBExU1e5Dp+JY
6Gd9MyDA8iS2K614lep3ns4biZdkrqm3bZaFAJwh4Q9Zh9kId1ra7JpabnMFt1SubDRMAIJEmOIh
vvfBTOt4+YmFJ8L0rFadC8Rs72tNZfPQUE+Dau5cSP8WWK8e3+OMBvhSZ4Cx4Ta0jeE6t6FiikcO
fGgsBqIZO54sPside4hVlugKT3AaXwen5PidN4KMnKnYdPbZ0M+6sRNAQjCQqvOQs6q381FY2sqS
stmbThz6aWy9wU0QOALN3cRESEEsxnzig2Z+R7rYpni8sgVGO0OBD8sRDwaPuLGydTxZBGSp6Vch
UL3GUDOzbm6Ab2uToVYs+8bIjoXR3hITya+SPytRcgjRZlhKdLLaxFiJGhNal25dEW/1BUMECWtT
NftEbQwQgOWV7J+V0bzUKX6GcV0pD2FPZPRcWF59tx9lsMTXnq/qwOFq3J3KdsZBJ6WNuts2DF5n
9wi6DTVfrUK2xVifMAskbbHqpfqmyPBdSaGFYaZsm7SD2PqxuaybfK0hzHfb3ZQEdsK4Es9/UZoe
ShcFO0YFJiirAqSb78rOctO7/dpBxhZr5Tq0r3GUHDu0OZYKSnGfz3McuKXt7rWGUKcn3SFGzkEL
lAHswqx10k/xxFP+beEubJWXSG98F2agy2MEG9eI3whZd2pJf1ngdsv5R7rIQBQoGUJfhhlDlCge
HFDDBoFpnyApQhW4MuADi7xct6Z8DKvybOfxhd7k3VSIS90f05FQpb7/RUiTKluhnKPM8onceNPC
+BAWtuplMeYEpnxoSHcFhnXMQjRO6YSg+P+Oo9L+Jf7e/EfgXRaVS+G4I3ablep9La8Ynlf3yMTr
uMIz+F8iE/8ljvqf5bp1lg6Wqlso+MwgVp7q7rELX/7LC7inFv4vaVr/bNiVZqzOuaFrB1Ud67tA
VG+Osx6nSBEt2CFtruV7n41YY63GYqKP4Vx/+0hAK5lLjPrgv/we/xJwa/wj6jjr9LIZXNQ5y3S6
x+fm+NmhAIPFR9+FT0lfy9yjaBzOM1SOKXiD+l9+tPNvb8H9V/r/Yv6azrAX2+FmmEyCdcnusqNQ
xZA3rcHyUEvfMuo54W6w1xZ9fhiM3ajt7P5z6gg6aPmCKXLTuXgVcYMk3ZvM9XWquD/cYm285fkF
mCt5N+2VBHsw26tuzZ4+M6m5vCj5GM+vJcdw+2lIbZug/1BdTOZpZH/G4zN3KOYnLJmewGEW1hPV
E/02tZR9brbI60l+X3omWozzfLENvPjFyo6eaCRxGhLOJE/2pzpgqyy3sm+2Wtbty1hBi2RS0spU
+JOzH+hyr/O/TTnOOwMW9//+SP+lLdP8Z4nqGBftEMXSOMRjq6AEz7vQINGyVN6TSsVRnoA8/Iw6
ahFzcFgzbV0Fa7WI4TG7HIOhY07fTZbfwfu83tmkPpLRU7bloRuR5cpMb66Tw8SiV2H7NLp2CgM/
amB4LsIsrEgJhGC+4C/tRRv+lwf+P9/H/+15+Ueg9VBneVWU6kK7ZPxw9ot9eKk2yerLf2m3WbdS
N+hl1NWr4uEXRAC82o+rW++LFYi7F23+Iu8bY9VRReC9/m9v8789Ov/IGoyForeKExkPkT5sCd5S
Ea4o8o3c/LfG0Ve1a4C5RmvwyDuzh1QXKWySjtiuDJYNMimhZPKOkXPfw8ENzNNbSYr/V9q+Jiwc
BTGt1kXGF1fLtw7y9T4iSn6GOhtJZVUt/YR29zJ+q/Vzbh2mP2u+/wCHFLJlW5SPqfGiEP1Yr5Ho
RGc1Jorrrnk46aPAtfU6IDos7T0mXrNfo+G80j+9dm5A7Uv8PFuBSuZHRgbqUWFK+x/qzmw3bizN
1q9SyHtmk5vk3mSjq4ETg0JTaLAky/YNIckS53nm05+PzqwumelQnCrgXDSQSMCWFQySe/z3Wt9q
N4p1Lcfq9JNz/2tjIHNH44TjcjtZGMlPsp46/g7q4qfZI0rx+a1XCHjwU66Jq9H35gtcveKmb59M
JhsmZFp8Gl8knGJNxTUHyUMBvEA7R2VaOcOqh8zWrTwAVxlFHUpl/Wf1yJm0bV6azM0sgtvulPMY
XHx1fyaBIbXx1YweS837AUIw2jjxvS7o2WzsPTQShKlNiED6Z9tCZB20J2E6XeG7ZNoMArHSdUnv
9W+SysfoZH1OhHUTRns/R+jjXqdoKqEsRNS96m0zntXCQpx654ir1nsloacZrs2h3Nrl85Rd4JPi
+P1zhbFMklZSMOpAh8LqY1CeE3cx44RR3lVW2IITd+5E0d1UbfYsYrVx2cgZrGPSjI0r8D2AF+NF
bLtrtkdhtR3AH7CDZlm6cqJn4ZGPPhQnAQfHJF8X/mnqPdX6VcbugFpEYTkAeeF5CRAtaLVO44Sh
1LxiYp44cjDRE2d8q7jfIZlFazhFwFkKVr4myW/m44jDARtaVD9U43mbXQhkExUCboSBZYSXPYyY
FOz2zYFE5+l4OK1+bYs3OVHiIP0PY4Yablprn6a3oG0M/8yVcH/CLevfnnz3GnNdjN3P/1qL8IsT
BJ/j7DTT127xEDe3RSY2Rud/0ljMpl2Hj5t8s8xZBy12mdoMdkMer1B0F+g62zS/+7g/mweg/z+G
03fTUWuIKNLhq+1lK2EOKdaV+UkOOgox+JqIY4qMlKL04puGgsd28v0YQioYr30znGtOnE3V4WvW
pndFMu4sZFcpB/wBiVoOuUg+2pmqak/7ipIUbpu+KihAAKhSIVnP8kgE76+p0qZcrIoarcp8FYaM
c2/WVruSmDSKPYLwI6kC88D21zHYtOfLvntCFso336BkzZ0LFBnPSX1sNfTr5Zy5JLl7bp3LpM6T
vS1W+RWbDvZ+UAhalvJv473FZsPeeI/+keSnA4/JXqx5tByyYDhyHzHbms/VvfaJ06GZmZr/mxdY
rGwGp+ozC+bGHvXRhFbvSn4V92jipyf7CCP5wALYtBfzYVxqhmNGXMJ/Gl6yl/jNeqtvtU/saBpj
57w0e+PYlWas7K/e+mKaS41ICROl+b5/I52NeY6jRPTLn4QFGnxdnQev7RFg8KH19tw63rWvFqpr
QiKUuPRiityhxiTKuI0yKAcW+HEvd37dhq0fdPR318j0eZGSaMMlx0S4lQABVgDikMaCq7X9aOXU
Fi7l5AS1yz5Dw1HEl1r44kFH17wJOdmwSburCaWy9hqX1MHD+MyvOXyqtBMnOw9iRlmD6nSBBr6m
6ph2Gzt1Nybi3XB2G5TZzuMIkn0gnL+4dj4FyYth3AVRt6Fut2ZOrYx9Da7MrCnWxuHXNrvKkZDD
83ATpgzjW0VOZzucuNrnIngxYv22mjh6jNJNF6ARNKBBuxFHBlpLlt7n0rrtSPxu0isEH0NBEMPw
rQhBp5PJ0HJ8M7rnmovWiBX3ZZ+9DNODqDg2CtKrasBEw06Uk9qIQ7MwKdT641fwI6borw0KM+DP
r5m5uHPcscAQAMsLkyPcX617CmuqJGjdO2wQEr1IwHZ/SoxbzbqmCe5KuMOoqPqgWiGRHEx86zEV
88Tb96V60yzcMWkzW/meCtqOTlGSKlBHWEdwi20FvM5FgB0GZ17cIn+X1RoXQKnYC7MOic+Muuaw
f99r502y15zzLj13pYE47z5Br5EgrUzq22I8HaP6puM4IXE56C3aZpdw7Leyg+DWDt2X3LPXufO9
9i48xKI65rC0ueNEcVs0w2089M+m151aw7g2oa8MCbB54V9Z07chOzObvZqmI4tl49DOajEP6A0l
F1vWHCI1u0ADYYjr+otm+Q+Wj1Xp3EshCoM76I7sOH49nlpi/vv3fSrL+hHxjH7R+IW8U1VcX3MS
iWEkzXMXzn6WAYlJ1AZ5XQwgz1H2zcdN6RCCXSxI8bo26QxNo3mh1RWnuJOXncSjvNNaFoYZqsBM
DT5WyWtbb6iBvqalvu20Gj1vT9mkpcqdUzx19dA5NrwcWkQshuXBcj1dxG4OYarnLAzhzlp/8p7A
WkecNcBacUwshs6pbVKd2qC9LBCEv9p3xW3YPfUPGnsBDg2f+yveHlSg3XShoYmixyNgZ0VBtgk0
nmdZwfY4VdETRVEotmLlPjZvcXKJip3bfU1IgKd6w4z2WJEVwlLghbWjhqxjXMlXdEtavY3Pa0gF
WKgJvdshVW8ySGyr8hvO6UpfpTfAMB1rG9e30FCmwEeIeEHNPjsSWPAjKOoXY4BYTCpiNMp8gh51
CRX+xDyNzzkHuUS6uQqIq9ZW9w5ZY9ZanhPaug5OXFSXK42ws+JEkvsk2dfFG2/FyvKUQt78W5t0
jctyA49lbVEKejK3uOh2yRo74zW+iatkx2L3Erwyatwdp49nya49bS+CrXOCd+tIvzu4hFxMYNLx
vUrm3BWxzWs8/jux02/xvgKYJl6838Bp2sozHvNqWFkb4Kjr168P/iY+YR1yga28PDKRGvNK5leP
d57L3/XIcGrjgeFbkBDHMecGu8p6fkRyhTx3DUlgFZ4ED0f64K/XB5ZYDOcVFYA4nq/l7bW77Iwc
hJvxBaL3Otv+m4U4sRjP3AblSSVGdem5qNLL+MoRyP+yIRZH3tyBrfwP1P6759XoXekMca8uDW32
WrZE65RRDpBdO3GT8mjGzIHR4Ue6z7vLZKZbwXefKGJwvFr07cYaH5h+0Dmok14Sk1BfOCyr3WOr
nQMD84/m8e56bd53pZegsu9amPWgMLXyPKXSC8UOWku/KQQRJ9mRhnBg9fZjjH53MZOjXCtJOKKj
NrSb9CcTY7k89ugOLNuMxbjqW7IYY8skncdXt12JBxAa48cN+FBpyViMRUqlTi6DlhJolYNIiiuO
8OPAlc0awwZc7UFO9lZX+HML5DzXxsDRcmhDtSItINimdsDikQBZqNomkIK2bKhc5K6/Gia9RZAs
oJCMqC8Jx4HFrmvhhayFfpY4gX7RgqjYDA1+mQ7rOHSrzPlqCaCQRPt6qNrCyVWXTmoAFPU8mFuJ
7n5vodquk2LAK5BYOaAE2HcfP4kD6wZkgj8PG5nsPbu1jHQ/3kaoIQkCeE2LE8EpwizrXyO94uT6
42v9urUQHPTzpZQXFG2mcak8CowzJ6tO0O6am2GWsn58hUN9ejEYc3hcTcgzicmoIQiBJmdEXANh
WAn7yCx2YBNmGYvnFVa2xJfEJQIzDncVAkNg5oG97RR6PdtQ+rYfVL0XXeFdh0HVnicpxjy4tBGO
sGLaRAzTR7b+v36e1o9X+q73BWPKab2SA62wZJkanjvowMawPPK6Dj3MxQisSVNG+uCPl1q5JwRC
DCeOC/DmWLrIr6crfbGArDvPygeTPIMwqSi0g7Ct953Qt/9WQ9CXi8QmTJMSKe+ldADfWLr7rYbq
Kur+OemiY13nwNCuL2oKOGSDSUw6FxlZ97cRQvc0786j1KJAFFw47nQ9maNaAWrfCAsNzcf3dmBc
1Of39e61lwBxytITA4a9hzb9mkdHKhjzs/nFAkJfjLeO4sC4Kvlc3ziPs5n8h5DcwBgabOW0+fe+
+2LclWHTllk+f3eN43TnJIyzI13/0FNZdP0KfIaqUj55Rrs18V2vHwnAOtAN9EWHb4k8TT3N4IOT
DVTk0dgghgb09/EDOdCH9cWYWNW972uCT7dVsCKhwxOw7I/U7g690EUHRkc0+NH8zV1sqTrmptlI
n31yrDU6z4+//q8fjukuenGQev7UJahvLIE33eSkW0KHeGGj/fHn/3o1Y7qLfhxm/eRD6c33EjW7
r0/eylBKnFkdBEDi+xwaKmOvmyAAyAWo0o+v+uulNKKJn3tYkKANm6ws37dh+5zHpk2d3kx3cQIB
Io9bbBlgfz++1IGATtNd9GbZtjnmoCnaYxWKr/SHKcU9vdZuhwdzdayIe+gtLXp2EYZOQVBqtG/M
nC1HVoZgbkvnOVLIVQsM/sdCgn/d4kx30b2TIXQN06shxaK7xwqUhJ/VcKGN+ObqL11QHCk+/Lqv
m+6ir5epllgWktR9pzvhQ8mLv/Dc3Dv9+JX8ukua7qLDB37ku35RRXvLP+nC+6i71osjPfLQRy96
O4fdjeZZSbTXwIimagDpuy2rIzPqob6y6O69Yn1qdDyV9DMg9wzTFzA2A+rheoIle2ycPXAVZ9Hj
bTPqUJDOz55Dt25XfedEJiJQwlsNcEBeP34Fh3qFs+j3o2M03ZhwlQgMV7WJOlIbADysMOu12rmH
u6E8MoIdup9FX4/DJiY5mSuhPUa8Tx0Vg69Tb8HSV6RIHLmhAy/eWfRyl2BcL85BT47uY5d8TZIa
QsfLxw/r0GfPf/9uPdCktusNYZpCV7jpMOSC7g6a8MjjOdCjf9TU3304HrHaFCjf99YejnyLB44C
+I1ebq38yAh4oDM7i85sNW3XdRlXaJvPoNKwEB756oeey6I/jFnhFEGv4aqYBuC/LzWm0ubICHSg
1ahFL8i0qo+Q5MT7SGyAZOhgK+DNzV6GTQmE71gG8IFnoxbdwEqKMXPUFO9zoG6auDaTs4/bzIEZ
QS1aPdozq5JhG2NETGkuFB6VxaEAClM7E58/vsaBrZKpFo3eNKjgOFEY73s/gjUus268NrSsRRzM
cGQEVCcnf+Y8u3m0RarXb90pM09ZsTzHjaOdGn7XHxkbDz3IRR9xbS9oM1kk+3q41qxLQpCONLJD
+2c1X/FdB6mDMXHKJE32BZwJl3MDrAO461fti/elxmRLctkx+cmhm1j0lGIy2sBJy2QfoUov1eem
PjKCHGoN4ud7aI1smgLpxntn0nYWDJmKWnlICoA6NqfO7eqvewvzhx7s3VNqE6vSiowrtBqRAg1w
lhtPe2sqcKxmtPm4vR26i2V/90MkSTYn4RH+7Na6iz0EDGgv8ulYbvuBF/Cjsv3uLmKZj9IYAo6L
RPo5qRskxtrXj7/8gQckFz09iEzNraY42U8v3b3xXLx5X/DLfvzZh772orM3ZtMlmMCTfTNKG0ic
eKws7UgN4tD3XvTxBobMH/KDFvkBmZGf5Ulw+/HXPvTRiz476OgUy8inZ5F5wbElikhhgbKZIkkm
HHhkL3H/zSc0P7l3L1YVqWz9hieEPYdErxaixMf3cGD6lIsum5WEtYHJo8U0yHsushP9xs0uiqdj
89Chz1/0XLet7czxafOEfhr3nNHPKdwVluQVx50f38KPmugv+q5cLFq7Ig8DfVaYtPYqvaqfihvt
ExOG+c1c+1+d07W3RUP88bUOtFR78bgiTZe64+nxXssQqamta2pHPvnQXdiLJxX0nhiTeSoNNAg4
uU9SW22zq4Mshwqy1vFuh2RTZCmF3x7v3EZrVLF1ZN1eNXVu7fKkyc8ZKL3tx7d64M3Zi6dqyTpv
zMKI9yU5sujTvvgP9iweW+Ez+PgKhxbR9mJArPUe5zphhvvsBa83asPEWSWP4kXdel/YEnx8lQOv
bJkP7pa50olUSPYqoMxKFTuvqiM3cOijl2Niofdo3vn+OkX2VBFpGnlHvvWBtaG1GBL11Bwr/D/0
m4lmlmk4+82uGCBF9uXm4wdz6BKLkTHXFXiIqYv3HTQvfPIgPSQV/WP7sEMfP//9uyErbbORPF3W
HWnK8djFGO764EjR5cDAa83v4/1H62ZDpCQf3d+C7CZQp9oMT+ndx4/l0ILJWvTxoQxtzemR2pDZ
ONx3N2he5jTo6+Zbfd19q5+PXGZu5L8YtaxFf0/KEPxFzE2Q70Z2zDhnR6zAmBm7kMMwQpvNI630
QEe2Fh15CD3XC9Gt7tEewOCyG2CDu95bhS/FsQn8UE9eWh/m8GoL2h2rg4B4WwJXcPww1G9VdYLc
Gsa/c+z48ECfW/ofyjatiV3msZUNhCnttGXQ//iNHGiwS/dDpBvD5JUU/DsNlBuxytrXHFDWxx9+
6Gsv+rPZa+3k4oC+bCC/6cyAnvHpxyf/x8vwn/5rfvNHk6n/+7/480sOVi30g2bxx/++z1P++6/5
d/7n3/z8G/+9D1+qvM7fmuW/+umX+OA/L7x5ap5++gPu2bAZb9vXavz0WrdJ8+MCfMX5X/6//vBv
rz8+5X4sXv/+20veZtjTPr36YZ799uePzr7//Tf8yO+e7vz5f/7w6inl9+4JOMNhGtbN019/7fWp
bv7+m5S/S8eVwpG6oSt0AOyD+9f5J7b43bJ1ZShXSPwypku3yPKqCf7+myV+V64rpULzSUXXmr9F
nbfzj0z7d0O4uuMibrQkoqDf/nH3P72gf76wvyGuvcnDrKn5Mj/1fD7dVI5puaZhgSWj7riYPjrP
N7PEhnchiqo+6S0IlYHhGjN63t71ZdAeOSD4ue39cT3H1rkzacC3WC7hhazdzIVyuk3jkhoSAWPT
xtF875hgYTEK/Hkhx3Bc3QQ+qZYHNSIqnVxzhMPR8ACkKSrbOtmVVkignQ9pkZqZhqpbQj3MwRNJ
zzhPYtcsMB9w5nakw/3cm/kuliE5zubxWo7No14UQiwrdIRlE7VJfHF86pSGfy8jh5zJcWJgf9f8
/nzB71/ozyPsj2s5vEiFsVZhjlpWQwZwFyWwM3fbDoPGcF7qN40NELfp3PTRaKrgIgum8EYT3bGN
8aKE8celabE6d2hC7bIWs22kB7FtyM6FmWb0l7hHg1vmyGov+5y5BGYuB0KOIcG9e119HfCcdwkW
zvt6sJFp6oX04MTn6cPHD+THYfM/J7c/v5ajY5gyTUMXSxmDUWRRp1m2u7Xzsjhx4kCdZuaIe3QU
IEhAvOA7ItTIrIBlaNC9YSVo2QVhWXIzWh5ZSh9/n7/0OMtwICFYPCfHpS0spvaMLNjebmb//jSy
jI3iUqKBjSr0vH3a92e570/JkWv+pdfN16SvE7xFh9edxZtp0nSUYiKhKh8IGk4SBAUyg2T18Z39
pelJx9TVPNTpSija4GJJ5Oa1o4UkcaugqMyr1uiaAJxZ3GbYYLX0ZdDS2D3rRKaK0zxOCdL8+Pqs
mRejGYOKC7GB5udapjKXaphIwzdeESN6Ugy6NMnXi2F3r0wldEFeQ90+dcLRvw0TSoeSNI8HK9aN
6tId3ZIAibrIn5BMJq+JPztskiC1CTfSw3Y6IZHLgN8U1iCHPEnlBhOSFojrTMjkuo9gYED2tMb7
xE/18mF0GnkrwN6T4mn54s3K3KG51uq01THFIud4iPCuFwTpDSVFYidrRxtWxFixxVFNgk1JC+K6
AsYhHCzNZUeJzKoMUazBcbuXIeXIZqu1MRw6aU8Au0RDeEQUhyGPeITKX0qbuKRM6Ga/y0UdQFvT
8hLqeF3aUl6XlEw/m7kKwfwNs1N3qNPSfU5hKMLCJeOG8M51VWgKeWqQEYiX6zEGl7oGkLgpDAFH
Ev+eYb2xCbXGu64CO3E66XVS3wSlMb2lYyFy2B5p8FLq/qCdmIFt6WSEJRytOn2Ivpoku8ZY0Ss5
4unHRnzrLcXqM/OC6VsomlrDmdSSx8VAgrq86ovma2y5bsOokbKFGgY9+tpP2mBtckufab5CmUi3
jNmwLCA/OoSesV1d9UXpN0R6MRiu0tIM3Qs9NKuGeBQ3QvSnuYBcokmA+Zk0vbY2NZjVdCe9ztJO
C1toUMNFO+4b1Vuk/9VEuxdBgZ8N24uNUdwrktNEmZJVIAQqFNh1A+HdNEuCIwkCAKU/5jVlQi+X
3VuVuwHYAIZFea6ndj4olDEJoCIVV+ZXYRJvxF3LPrgJbD0nlDSpUnKKDC9CoxZ0gf48uZXLJrWv
8uxuLELPuLBVbbj7XAk3VDtezxCBAMQe+9jy9IadbzcJ/k29rx14qTljAznyYUl1ZepJHzBAvTEI
cY5jWnaxpVjXWYySadOvy8Gj1TVWw4bAiRROo9zuOU9qY8sjTFEL4/M4GaDkwM6cmQPM9mRhaC5+
lKHuEHkoRxTc+DS6QA9dLETbvC6aYDfZiUT0WSckntaDSdQvaG0YKZUVhfeGmr1R45j3m9a17HhT
2qYPejR0JfhcR0Y7rxxIogG/3WD1w6pQkTQ0xMnGaJLyClAXB3lhFrRnDKUa92K5JTCUMrEaME9T
8hSatRx3pEpX0ck0gFnDVhAgPxNGRKS0hAm5knozvkb87yn2TPy2LBEM8YXmKpvLMcgy46Ih/DBH
L+8SWjH1akpINU3q7ltoZoIG3qnefx4yn0R1Oxo8ErQNUGG7jtj4r64y4mTLKmjQdu4wBRFloUKS
qWgVNf5sPyflYTJ7fUB6DG1kHsdIesBv7REZZprTRk97Dt0G5Q/iFC8q4D47ISQyVhmxxlHbFBL6
/YyXzkpFSFGNgQLBb4tTept4PNl1FgNrgtQB8Fx2TqhWZdITjQVeg6isJNSdL5MfhleJaHFXFEWo
A46AW9RtwM96GAYAM35PPEuc9SFnO0xflnGZT0H1LYhi09wlk0Poi2022puWdz7m32okn6X0I7dZ
1VrlA+DyDXyUfWR2l0nM+gB7iSr106kkVHYTpr4tI47FfRuL9xjCI1vz0qBRCruM7zLpa091Kp1r
QK+EoWiTAdY4znMBWjx0o2ZT5Vb42TEmAsM94cwDmRcX+V0CHgoxceB5QMYmp4FOaBjRSHZH0uBp
gGp9PxEYYV+KyZwjJRqt8zZwXHDyFGGBR9D0iiI5qdEuDjsn69z2srNsZ9hpJPu2KzeGlbCtsyR5
zLpEjJt0rDp2Hn6vdsloaq8Myy6YdM/XEDwGwvzuxiyP1yyVKXwYYUNSqa+bHZGlbgkgLrPMbMsw
bDQXYQal87QaJoj46C1q82xSaZCfYxqobM67BMPNSk2BFe96za4U3tSMqBTRCk2Q7lRkEwEfuRlc
mgVZ3FBusuLTZGJZnnkJ6raSLvaXDMxWeynrUu4Lp3dgKFge0vKK/92BlGjJAwJN30DozKI3zS6w
50IzJBpFFbZzwe6+cvZ6aKlJg09VVgbQhC5piouBpGui4sKhgzZTQPJLmwIhY92NgFj1CQ1/m7RQ
sUJGP2TfiQcpM3KgSnZ9EZpkxOCDXEUy4xZjL3LPskmHktKgjrrMCS8AolDnoU4yblCP10oVhX4x
eqUdPjZaUuWXpYUK4iqf4gA2YeJq1aZHBjPBDiCgPhPX+J36ORadcRLzS2ikMdnwZu+S5FU1UUeM
ihnAl2tSqwIx4Q2Yw3mafqQcvKxNa3xhpmg6khBcJS+o6RUIUxI9aYbzqg+D9otpCxuLfdyZDRWV
QTi7ODbSM8CjFeEsfdmML6OqVXZtSB8PQlNouBwsVeY9rsg204GhGUXYXhdRonubnmb7WBXMe+uy
NzOo/ypMyMwZov6uqiZ/fGgCOxv2XVx62k0mwvpGQXHCnVoaeDHzVLP3WuUlBAZTqSYtOUhD/87V
NB8Y9JSWl1UuSegWQ4VhaOqKJDrHFOTXL57oS/KVkyGov1QFBhJYjVbW38jSqm88Rdz919YIvcfQ
0pLoNIEUW288zjBtfFsS46wZ0OUfc3AYgGpi3Q9PHHBxLA1D+akxBp7z0AJAPtFjw4cSRvbf9Vi5
pK7UU+EzfBWuz9lG2UBhNqox+RIUHtkxtlEzpnieB33RJhYDFDhrIkzL0vFIjp509Ll550IyG1Xh
vlhh1D0McZfJba25zg09XzzDWgkIMNLqgERmOX7HdjzdukVEVJXmmdVdVAboNqZwKq8iT6riwh+i
IXm1utz/1Lhy8kn+SLCf9+0cnqB3TEiczQfaM8gK1nxtrBJWIdy58bXPGonwO0yb6q62A30fSQfL
U6NZnHkYlagaAF0NpLxAJCSMJmbssaDQg/Q21LsZpmAr9uaBrx51ePAaaEaHBDtlxjZR45ZrY49x
9Ko8s0fm9m03KqgVUeoCsKxCxgIk7hWCbGQQZH8oXydJl3wazdl0DHU9saYMMySNExxM1o0XJqdx
BLN441OJIOtOoJ9grDeDz0mc8XYRMfX3WmsSl4ZPLX4zHN8gyGhMASh0zvQlaiU0YpspD+xAEyA6
4w3xhXw90h9kqKqnPB9NWACNML6AeyYiWAVT8MxWrWj2/sTqrCPFqVfVrWvn8Ki6zIsJeCsH2TzS
Hmrne2whxfyq66Voz1g7gurYVl7ns1CNoDpFm7S2IvtMDp7bEySgXHs8DRM7yJ9YGuVXWcRhH5ZF
E3ZlaiWmewdPTgYXJukWBuyB0dUxW6eZ5+0mBxkuA1oi7AptO+tslzky8/VXWxROAjlKeTzqJtEF
YaXo3YO2679pUxxip+/b9kELyz69clmuAmwVFZT81CRuLxgHsMKVNsYPZKUOJpgIkwwUc7QSZ22z
fs23khJGsFVGIrHMjQ1xKboBX0t6wNtPbLjCJf88LfBPatYA17movFfd5jiQkM3avRx5gC7Mv0Fv
V5WtQAzpmZeejnYcxTugNnDt2jQ1ifcJbbWZKsv85le19pXJxmrAa3oJnKiAbcg6LsLum7KiDtuW
PSOknTp0x9mVD4kr9QdmE9PKAsABiaqaEyXHOthkeQQCsXTIcvNLDXGln8+oZBc+xG3WoPDajUmE
rTQ3x47EHy9hVo6J4jQAAriNvyn0Ur3otBPIwgW9HFRsw5macJOBCcqfCDsSzGbf7TB3Ly1Pud46
q2yTULF8allXFqEA7lTU6hbGfVycjm7jQIxTRvNojr5SJ3k/I4XtOFRybaa0prwPu2nrt7nx2uQZ
Z/t5ppO4kpNiHp0KkP0j2s1m0s8bTbO+Uu0zrVOPfnwVNIF6s0XEHQDfHWEDRq5x09rFTGuLQ9rH
ZBXysnWKeOal+lFwNqL0eDPqORWvJvCXy/qlG+5MaxCPjauGnhwbrSWsZJxDAKY0VJdTbpCQSS5P
CjbdNVt28b3Ry33YBKDX08YZeAGxVQtIMXqNFdRheOi2nVUW7JmaqSNCpQ/mxDYdM8bgCpiUEwpR
C3yr0sjl4OI7QxlaeCJAhmrbkI2xvvLJSH6kFBI4W22w2cQmuU+LKquwszYe9eknMzJmovcErWHX
ZG33tYticn6zvpuesyHq3A1NFebqOEZgJspaTM6MXwvM3djoVADNKmvrU5GJMvme2tLPXvTEGZIz
aVe6fRoABdJOg0gKgol9VtcnmQ2b+5rxSXZrm78Ao9rE3Z8WjH+pmn2wVP1Tefu6eM3umur1tdk/
Ff8LitrUmf/jH0Xjv5S0/0/VPj+9L4Hzr/+oZGvS/d2hdmDbUijLYktHceuPUram9N8pqeiOsqCA
UQSaf/RnLdsQv0tWobYrHd1Qtpo9LX/WsvkRpSldgnZxiQOiQvWvFLPFXDv7Z6mPryUNCoiOKYTk
00y5qHNpTtSMSgMZwso9vbX1ns4FW+60t007AFzXp2eyD9P7lpLzuTGWLVuVVGXrgtH6PiTT5Vzn
SA/Mtb6lSEJKa0iSzXURRlirKbna51XuhWA4I/UJXEx21zm1Q3KLrP7E+fz/aHpEnjVt9fo3Wl79
t5M2+/7UcITxv6ARivlA+XAzfJieX+O/nqvMv/RHa1Tm7xRzlVSUzvX5JIR65B+N0bZ/d0kTs3XK
nbpJUxT/0xYt+3ebv6A6ycmJbhiKH/3jXEX9TuuxXUfSgk2dSua/0hbnYuc/myINWrHq17nUfMRC
dXlR5m1qEioCk9S11AvZJmtNuRu0st/5aoy3WS3Efe+b7c27J/SL4v98kPDzRSU3zYESW0/DgtnP
z98dSqNhclVkKQBJbYodpQRgBuKukcxbuRET6ZzATNrHpvBZ3yZBTVpgkAzGv1QHnm9d2sKUlJoN
i5eslt+iH/oyT/TolA3GWQjVzxN4K/1JzAHU6bdUTPcuec0f37ohf2jOf757gBtKcALBOGMbyyOf
sBq1UbPrfKeRavTQ2vXlSAbP+KkD1gD6yTOHW9m0FAA8Wdnfw7yg4FeyAlgrg9SwVRwN40vVDL31
jTwt8cg2jxjGMJpM+TAEWYSFAhhZsTGknVWngR2J5M6OZSsu2cIQh1TC3TWLNLvq3KoNd6wpqaho
rbzhiOKqrGMCkT1DH8QmF3beX3hh3Ky1sTUfM+A5a5vAHE6iEsqtvLsyOstS10zW0dA7JPb4LB/m
9dS8JNEbH4BUIuIH8iOz15gDfHggmkVauzybyBYiGaP3X12pe7BkTfJ4eziE2CjdnZjim8Jtb9w+
eIzHhgS+pNFuSanx5gDz5o6ydHk2Umm+5qAKIKXM9LdES+FhdNkd8BZ551uJduoVMwVZN+ZILi4S
qUggi83inSrHHzWSa1lO4PIC8tmNsnqmsvNFS0w0Q6kUO7cwdfYePjulcU7YpFRECapJSJXUQE12
IoVmJIGG2GYin5vROfdTmKolmLi1nIzstWCOenG6ogA4PHT6p863HlMVVVtypy8Gu2ijk56pTG7D
cmDRkbE1O20TNsz7ts3ya0sRlj6mXbkzSm18ncqiqc8wa1sDAKzOICLYLfzkph20Oia0uBHXECrt
tzyxAbLKpIyJMpRWf92bjU1gRjA2vJRRWl+GYIRgFjhtpM5d1fbqOqAo7K6bOCavu8gz1ozVYOBr
JhkjLT+JcOqrO6ZNfThN4s5/bl2t7vZlqWrWmZkrziX1dYz7LkjmbUNHc4jOGZGeTkMPFwwVstpr
A9Eja5tj/fbCJ/juHpNH+ymIo5ToBo0yGHyWlkjInEyEbSB0tyIBKUwDvmcksp0KQoBa4FeY0eJA
mqcKnmp2NnQkq5zEYJNf3EG1D8mUkY7ppxqQBLDUjoFLu7N1ItHbhN1mHpFmBBvKkNdW74zE1pr/
l7rzWJJcObDsDw1ocMChtoHQkVpnbmBZCg7hEA6Nr+8TRbYZ2TbWu1nMgiu+R1ZlRgDuVx2ZcTkP
tVq9rZQFe9R8jicy38JwnNxUXGn3iVP0hhUVhOXdourmqehl420dP6++Ah6tV8xVU1oQ9ZpcHGSm
wBv5lENOZV2J5mXsWYpk7GrhEKjLwsDIGHrgtu3IyGocGAyxeOws5lLyUPnVfu7zOt2JgVAZENNC
vUyRVUVc4C0uOFrzUNmW0k8pTuXZdWcR+Q1GEkWXZe/iZ4F48ds6Vn153dLVZTicmSQFmWzTveLv
RSf+PgA/xFwu13X227QbJrvQzp1+h+0EjceEvlw+80H53c001tHr7Bdu+Qw0KioB8zrhS1slE/P2
vvscefaM5lANc8l0flvwM1aZ52ynymTFJ19oFunTwvEYrHPb0eyzxVL5pjMqjI66cKtbJpAY7U9z
An085PPOfx4aq/V/Fo69wNTTyxyceTu6ZifRevUlsmWHNxdwtUqDCkjysKxOSW4/EiNsbWf5iW/T
qAsoISwIAtbVusF4d2CeLL2ZSKpH6z4vp+nidpV68mY9eezJhKClJDaL2tObrH6uKL7LtrLRVvhJ
ZoxLE8oYXpfcM0QCcmd47qoiZDIMZ8U+oUoCnuYnmVcXvrRuAvQYOXeHrL4+ybmfGMhpPQSWvpqj
+s6Z9XXZLXKmcyvAD22ls5jfEV4LNHaQp3DVPG88WLL01u3CA+inPcqhOIyZ37wshn73r8bx/Duv
GFsgNmVvIKT57hTsAhmM384Mq+hs8qpHT2CDvYVCDgClCPQVUjGxTrcVJW5uDO9V/wzcMnqsRdB1
OAoQpOMGKx5wRDB/wwtr+s3CFP3OoloD7Qw/dRMEofXiidV5sCp7Bs8oFTygUGsFkQE1iyXMhRV+
uFk+AMYJZsLYRQ2Xb2Ik57ErPHMwKWSGR5gmc30rmmJab02S1Ez6N6nKMP8y6HaO32X3wTJV5cFq
g9qwF4+ZE3e+mxfEKnMp7wrDgs/GYxb3ofDK5t7qaypwddPQrMDIYzEfkkgByHnmg7NlTJMftVU7
LBZTBcTt6r25hd/sgm5XuW1uzFib9KFfMhbaAUVSCOcP8sVzM713SvBXGysry7OnbQUUte8+ZL0C
+tDUD+qU9xfL+n31AaJnpjkZ9e3FHw3Tht6Y1S956jYwFehg7+uhcz6rIGq/2wENFiVCtGK3Bt1q
Duzyh0/9wFT9FcD3ULr2jeMIc8dIeTO+R7kDkczB8VR7VtuH14IZ7gesl4H937T3H4YpKcDGKxXa
h0lqVW1bv7MluOiFaotjLUuJDjNgGmfeMtzxPr0efEYuUZcCxzzZt+2CGzWlUMgPsphNxxhzsl67
rOUvr+RNAfFn1dXB4wnDnIskrXwypInMxQ6rTp1nyDX8l7Dmp7BwtoVdWuFdK5b5CXkzM5cwNIXa
TyMp9r0sJPvstezrQ72APohzYO/mtmYafWUY0oTJJeIU2J06SHicC6Ssfw2zPd6EubXMx4HdknG7
ita75Y09Rbu2G4LvpuhVAyh97UCOlGKF29JnyW8WAG19GbIaHCfwFGCovgEZDDg0SiceD2L6nUPV
YBbdZnf6OEJ7HLbOwAF2syhqCLx40vJqblMaLfzpdzW2ejN2w/izD7x71QjrUg+h2bGzFn7hBTBT
K9576e4iz+rPdkOGLXMGCGgRohNeB5gFAaIUj/go+k6wMN/ibfko13aMHsIr0bYqxoZK1eQ3a9mF
3+FwzQaipfxxVJSci0lVJ6L08oiKyTRtj0xat1OzsaweHGZV9L/9QLOXzX7IqxWVxWdK4gWiHwr7
paFwHsSBPRY3BHLFr17p9my5BF6aqOVNnYGpdaI8+8I0sV9zr3maTOgQEijwyHXCGWES49MasWAv
hmrfNuVN4rpf9dUsKPX1G2c1pAKKvmNlOnKO+cIQZy47DO6sTw/YTue2G+3jkKbBdvFtjvtjvxyV
3WeXoBf5zvItHQeRle8ysAJ3ZajvOQbV2/6KnpN2+GT6ghNAN4kDvOk4dKLbFiUK6G5x9kR1KFTa
7BcYPduwrI6DxqaR3kUOAKUGOX2ErgRslk39pqrZBaW0lm2k7vKdO5voFuNy2OPWjUceD3+GqC4O
SJJfHWCsPs2Tox1Eb3aro42/5LtZjPV9kTBQQZXkzD+TnBcoK8ynFx91ytOZuJtzKBYGBDyMUNXt
u0g/ckBmmdSyHxOWofDbvGOqOwZxfHBdTInnZ9xo8tc9aZC0wUfyFgYw+EPEkJP9c1KzapxpCFmC
mrnqa+uW3yAgbF/kT2p1aeG3jqd4XE0s+lCzJkY0gXMt2c2yyNcBBBYIvk3zwMF9zjf9OOlYOP3A
2c/yvnuhpovTVv4LXUH/G+S9usOp+fLW0XtwVdmjDtrJrqmD8gyd7sFxh5l16eRFeBZPipHVVG53
sb0EHwHugTFQbrkF9d+NkNXJ0/5BaVYiaq/2zq4VYKVObOaMxXpoVQk5R306gy+2Uw5G3TgHq7eu
mJ/mo6/IokOFi2B2rc2hMYUbO05/u875Sag5w9BUUCggfJH9BjNCz5ckYXEb2b9CzLlOkNjWljo2
YnhpjM+Ljv+tc0eDIA6kvvN9FnW7ULxzclmsTUnXcFfp2f/oTfCWTyDgZmBnHlPSB8B5826AN8Br
KGXamo/50l9oY7PR6wDLcUvtPkmt64sTysdlDZ4IloBBXB3/zp+q8Ic3YdZNMByBg7UXPqPDi2+K
G5JYN02VVDeK4fllym8rV8JlKBp8c0LuG3wpxmv7wj95rEPvXCZWSwg2A+1asJjT3o7EFZdcMJbH
8tF0lpE5SCmfLGc5FNlYHTvATCABUKuXRauPcBoBvLhMw7pNVH4sVeDcQaksmx1zcPJOqSGBUGUA
iWhfPJbYMDsrgWk7gDEiCZaxrS266mCti/srceFk6oyzFLZZeDNU2NJWZBf7hO3fctRs6EVNcyYG
dK7tnE+omwyPDaCX86TWFzsCQ28T/fmcBfYOOpXcNEFNmH8M+j15gLNktppZHis7V4XjHhu06V1A
lCeup4TB/XpR+ntt7OcFTszL4PK6m0LEg4SnP6AD/8UEIn0ac6Lcuig59DpBuU3sHnaVm9XbpUje
csdcWqox+0XnwFrragJX5+NIowb3/mfq+MntygP84rLnU8DOLqEmRdmtHky2x2I6TPxqYnuqYSgq
194F/rCt0e62hbIML2XSG6tbiXuidjzq6z5nf9tKDllUYN8OMsO3FYzbCLA4SH5EOjYsfo/fQZT2
j3naQCvOqOvyvkw2kvnfi1zydg/e/MKFM9t6y2y9JGteFRD1Ku9HEMyPUdZH3wRmVsXlkun5/G5S
TdheCUZgFoZ2OAnfPtd8eTiQMxc+R7YdY8157wG/5lu2xUH6BX1Fy6YZ2GcLQrjAbqr3YrGGA2x5
gEhe2r9Uecn4JMOiBFyuY8aFJG3DaWBdk+LJDD60Iw3Som5DXGFki82IcnDvuqN/1DaeweJxJdCA
Yi5K4Yi3M2zogeODg6sLQSOBeqH66catMeKKNuugKPo/B1R2sF9MufeS6WH3sDb5foaJzmb7aKJd
Eq3NmSl+51xWfFw74BKkUqpWz4gJLv7HNJLye1beOHcNM9u4Pw8S3djtQNYkihDGbBPCecr6MY1A
1hKCkWxm+zwdroPIxodwYzqH5Ahrn6y5brLW6wDPJzicaTwRZISytSYZx+fdVDrqmiiDCfAjjJJh
hFFhlZ5Mt/Pcw5CW1uo34d52ERB5mXeQYtx93qd4Sj/FJNLoQXbtaz9V0JYzJ/PwJvKVfyq8nWx7
IDtse6MZ8INJ5W/KMqLHyj0pq8fgAx/Y0ea7GPLKq45zE3R+f10iNSEHpMxUGcwVlHR3PqyrJ4jv
jL6rQzhSA2bXir3SUUg7Yzl3bg4FaR1tVq24Jc6utVd/4xQ5pru/r0VZf6Vdw0JfKx2SdPhRm7A0
4R7XFNw3w1RxJ9MubhJziLTzk5duH0dkgp5NywoB3EhX7GRmwSuW84Tpo4F+R/WfuhmbPfs/gAuC
9hUbbbeGGLSTX98b1gPyllWtnGlXwDB4geOaM2NfA4BqeQZsCM26nwSxzK6d+Wi2xBBIELXD0dC/
wKoWo7hOM07X25j9ob1On/kqmn2qSJxkrrZuaY9xZxyIC9QTRV2mnsNNX9tE6ybPardR719YqcrI
FbY23yeC0pDveJP0fv+YDZ3LX6ebm/dwzWuYcr1JXZjnIJSSpuXuNAsrv4+qpfgUVpIDlPSLfSuD
ut2ZlskmZgYJyWxtR/B5TclIlVsLxZLBxFSiSCyt4v67YonNGwRHzhIiagg8qUgdvMxJx22zBO67
yojmbckpqbPDr3aLA8waEGReLtBT+Wrjfm4yZeabtpt8hv+Xu7mTxekq5rdwqHPg37Fnxr3UpNPw
u3ZqXtqTW3Wgw8n8kZ2r10e5Tsmx7kx6XyWmf7WUHVum5KxRruquENw6NhxX/whyn8Wmm5zuxvSj
uLEsJo8z8liWiLxtx2NoD9f+dgq1tTfC3RphV+dSleUhGjna0kdjhjQbrnRiVqCDJ9ubPIxjajQp
q2rPrTv73+REQMX7pXvqRqCqckrFofKt4dxlznvjRs1JAFklxLC8+iDLF4883dUTNAc7bx/dqeM1
P6zujb2OfzAJAbb2aX3qA9kyfAIUUcrlmFdifqwnaLgZX/V7lbX+KSsi59Cwc0fota79+Ri4rnU7
dECEtxNCxkMyBT1xVz4V70g0yY4UeHu0dKVjJe1gi1uDqy6D5IWzYn7y/YwPvWPVD+3oPPnSHnel
KPRjHTkBB55kPoPTE4RW6wzgh6+brZX6ep+5WRoHAOuIQ14jYxY0txSFUwW3viInx1l7Tc4O+/KH
UgJg2ckr+upKHr5Ji85izDxnzRR01hDbXc7fbzQGgFg99WSNxk/bC5q3teBf8fKIVangb4LNm1g1
sJiF1QPnYRON7TNBZLOZFuYYo0wxkKmEMBueB4zKkuk4SEVPLJ+E2GtoQo3f7k3U9z8GWy6bCbH2
mA81lwNLr1tvTiYcfNn+yrligOFJWci3PXXo2YK+kwLWztAn5d6KVh7+xTK8c2O/pvLUPzN6y9/A
noCAYR+JNRHky2YgBgRZm10SNB10+2u4mj//C9rGvPO44X/1PqJk7KXzm1cVbAEWAxxFqy3Z+Jtn
3oVKtTurhysoUKLHSZhzQqQpiSOCf2+LXa38dAMwViWoQ4aB5aEDRXoWCaPoPeWV177j8svonPjl
rOZP2nFIRi2uPMj2enwm6PW02KmJGQJetgvjvLdJvcJP6a1rzIyjRDWBnE2XdJ9Jt9zlufzAcAD/
srb+xiwc8gWyAOc43sBhBoi1rUfnRnf9ekxmQNtO1RMXW6v6ZOid7DUp4fs5df2NG8KfRaiL3pZr
vDIw3u9hTqoHNwMvGfiCYwhn7Z8NcbJ96VrmbixnILB2B7migrJCQC09Orghj1PSf6BEQWGzCMly
qvPC9CyvaEmb3Mk2qQzSg6mePDq7J5ppJD8F09Jk8CfCzlx7Ei4+DV/vKuzbpx46LFtKQbWbM3DI
XaGJ4a39p3bMDKY0VDdopOG2bJR7IjfSPNhDAkCwjeDXqjYo9pYm/bgEgOo96sObqQga0iGDcX/4
jmcdtBGp2tS1C5qAqk33Cylq/VkUnn8mnMnLW/NaEAvZ9k518Nd837qnmjOerNJi6Qn5CjLJ1Css
W1PtHZyGeFUNLA8z3Gih9QWdkZyylkdir+FdpqZbQ0kgDoE0B8paTn3bzQ95kqljtSTpe/g3dGvq
sFQxWxGwVGcqLY+EBisOpCWP03oBRDa33UnzHG1n5xnZuorhDr6yKRfsVcVPZ3Lmu2Wwh2MxtAdT
VXgQ0nskq8snWnkrtBIkqO5Wgcf40ToUbghiCtJXBIS7Yu8HUb7nX7e/UBDIDS9/M8QcQpojGn9w
au3EMrEV6SZeOK2DQkIRPvt1XqUn728aGUz4diXghfzZpL84WCzfgxfxzrKvLlPkORqknb+Dhfo+
5pqbOMNsQdnF2I4+gIu8ualdr9yFniT91HkchBe3RpL8m4iGh2Kl+yBSpK9FwBXHaUUMMIdRAcf+
4aRZtWduNvi9uLrjXVzPW0TN6o6ov/OSENs+B0PC7Sl3s5zkoeU9Jh3c16ICc9+itG3mcaw5wnEW
oKM5mlMR8sX0GnUNzufLc9U4DR+bVTzW3tzvusDiBZzVoHpIa5X8IWWfP0lrDvHps4lba5/3R8Zj
CX5FE5bWLFBJS1vWD7NV1u+C99vGQU2+FgAYDcsG5e6uIKBdLyi7ITGrF/SXYc+QexdPlptcsoUr
WEfG9h0ke3CLoRSdl9JxnpbK9p6uitEj+o53dvKuPS9/8+wgY4ZjkLkRjaZIPo681V6gAJG61yzb
HjmuNgDIsD/Axc5PTuR8dX5VfNIaIyQ//Q3Mi/D6Y9FmEV/r3zS9yipeK/yJuKz03vLVj2Z9F0Xo
U6VqoBTq1eifi5/hvY1hyOeD62lIawL1rXOP3LFDFOo6k+fBTa0b0ZTtORdyvCly2L3JXA6Mflb2
lqrBFQfL/u5LPwT1IcohMRFH4/uDJBOneiIIXLAHgDz8z7aA9olPfZO6YnEnjC1rIQVY/W0VEKFD
Y2KinoAl33pXNj16Z03MIvvbSrD/NhQ0amASG67Kf4a553ITc5pGewvtsL/MdijHvXabYtm0q2OJ
C8OCkDWhy8GQ+dt/wE/zQa+kma52gzDN8zJ067GMBmLSNE32qXGDfO8jpNwtEwB6t6Gms+H9y5Np
dlvnvi3oUkwmGLd+WLv7aDbOXeAMHP9JdCGx/y1kQLhWb5NlMAbwXhzC67kw29IOxjM4uUOf1Ja9
65u5/x1W12IHWW1kXaZOX0zhcIzNr9q6Q5JzkvYhqtvn0c76TelThFnUXX5lYI3RUzNgW5Js3qq1
eslM8BWZ75Ue4m0/tceQ5g54MT7h236WF56NMcp2ce6ZTffmEUthRQHG5z2E6KEoe/l5ChJ/k5bJ
zZLjPvupx513uPAX3njkF7c+nTzjtMs+t5d6769THw81mD44mpuglpsorx48q8LDYIl/6dVd2tT7
YQY6NA+zexwH52mGaUP2CwgfdWLYhgZEUJd/6oh15sLnVZF5AIlIxgq0imOI5p9qBfu2GfaEr/nv
+U/UIHNjJZ8cMonSom6uqGFOVnstViXTzqWk9xxwC9zlar63LWZMQng+oEDBGBYErqfmLrOHuzEJ
wBcN3Z+IKf2VmwRYS5U/Es6LzTicHC+/LUcv3F73XqdQxW0zF0ez2MFDOoUXUQ7jNnEagnzlDzcM
773FQaH074DytWAngj9uTnBhkKF8KigmPOrFvm30/LNMzRQ3PEkRSXxo88FBNyCm2pDgeEj9hDlb
cSVAgfVLKm68dEeyS3btOnFzJ71WqoCA5qBu00iBFWxdLIxqarZu0pZ7jeyXroTxNY+3uE9dhiKR
3gvrtqjyR+2ivhjDCTbBj95kHOjjNLV17NQgFLXu3vn5HJdRESl2391INSqWsg0uhkfIgRNfwjsF
9ymf5+w2nMz0zheBqX9RUW3rRj6hq5zxN3p/msG1edelJjHzVSzDlK/y4t5zf6WYnssF1weZlsJV
87d8FRTCvpMcbNB8RUR4t85JU1R0ZMSQfFuNdnZXfWKDxf01yMH9c31+xYOti58JDow5Fw31If7q
nMMeVE4A/zbBGJsRFicfVJOcuNhNrePL+6BcQFpST1fPNPiihcPd4GvKcxEPr3NX1Vl6g0eU6Tj1
RvvPwPN08396bc9ZyJ7FUVFPKz8dpxr3idf2zcf/nkRx/rPhSf4ljDw0RQ/lE+/N/p/LmDQ6I1Pb
Kj26faQeS1n2T5NouTzZXCfm7RxWdrAR9A/xi4YBDbolAcD6aB8ln9VQU0twK2lB8i5L4CSk8aYn
4rINHakJHWNDfxlwrGEWON+NJHxhj0ZVNpBEmNsb16/4H1kkutLgjqRDWN4Xu4bf/r96rP8vImr/
n6UjHe9/zUe+Zb/76lv/e0Ly77/xz1SasCNK/UFoR1LS6v63tr+wnX/QjA6vCTPXCYVDOvFfCUnH
/QcTmlzdyJ/ZzFRcp+b+lUoL/0HYkqYwddaAnYCIPa3/Tm7+KxD2zwGG/3vd3yHi9h8ZsYDbju8B
yxZk4zxMTu/aFf63jFgwaNUldGyOTanSGbIaCvD6Wjdu3tx2AHin+2Em4PQ2Nd3s3ukWHpTEMykU
TbAZZdiIjd+nARxdni3RBQXe/GpCuerHcYXOe04wt5evgLy2dReFUxtsVWJypuMjJ+0raMduJARz
z2X9w85yOK/tks02JT1uONvKsxsyNY2Z9c7O1yQ9h2HVPITJqOkaddZ0QPwxgj5kOf9oSUI/ez64
MRoaozX9GTJSfTt6bxoRMUBDvO97tgjo1fkyQb/lr/oh6iYYXxuXdVp6XNDZQX4QgAjPKNcs0tGL
sST7imLR3YvNDH1zMpGklcRXt31rCXF7x9rNVp8D1pg0VKaCrjgp5dcAgsdJPWPgVslppOeQHYLJ
CdHmw2trCAkV5zVPRuxZnoE8gg4J1vn8YxBpQMNCtysFhRmjkCoqUwQ76o/S2s81wDg5kjZF03HD
8RD0xq53NmloL16q2S7jJC1qgSRgr/JpdPxG7Do1Be+yctR6kSzaAios5YIuL2xricHsjs1WK6PS
eFD9Va3OpQEMWoUAAStqn1zDkynihzxSgUVeMkrd9LkO0FhAQKRxTWSbs3u9WECVcjNa9Vn75UA6
qw6mYVeHAfCYhkg7vMMs8bh/lJZY4lCzI7QJuaJcr4J93b9b9drQV0CIPs05I8+o6U5Dp7LBezvk
7iK6Jk5gwf6qO2HneyGKKNk6AQ0XXlU1SG50g2k+rfwzyQ71dtG00kicxGOVSkhsUdpOMZAk9Z2O
43K9Hzjr96y0BFLaFJ56q2eTkbxYZ/WWLW0QUnijf723/WTVF7V45qYdZeF9dqCefgiez8WJF/C1
sqB0rr4kJ1E+rdRjmUMTXZ6BUkyGem9mv35WnRpYk4uaufrVylR0v/Oq1vWJi0667oWFIX+uiPnI
c9hCjY9V4HFGVEw5bxwj7Zy2g7T6XcTD4adXrjUn3lbMgcdbgHQ9YC1bTm9ykkl4oT+Ln29H0fqd
uONKbdRplThwlE7ci1uhhe/7ZSSwkpUyEzckoqflHv3JXjaL4VL0oIlHC3vvUyderC3JirF+pL9H
xFBFGqXUySSlHzL9Yj26Dg0geyOpGq7exie2EIWbOkhzZjNUrfxr3w4x/8ZFjURV8cerz1COymop
jZS6fiF8wljapuOPRMs+C3uh2SKXsz5XhptW0dZd+JJIL+UwIrKVJ0Exp91AXsFzxNYtLdXEVbsg
w17TQPWFqFn4XOTD4MRL0QJw1GtTE2uaqcw/I7fL72otiVz03Yo+4vb24D2T+bOrt4XA2y2kQW89
6dVqptOYrc0xChLmAMoVgfEw2FbJPTqh4cK47piFLmLh4JlfmAWwH/x5sVkO8CdSm9gdOgVkPfRi
uxa9Tm5mo1PIptIv9JnzEwULHrlUc3OX0HnMVBq5JLd0U3ufQNO+htjGPL/2LxZyK0SAoCPapYkO
+Vpb/svQ+ovZrMPYazyM2S23obbdl3VMQrjdstby7Li6nLZp2Cz0gu1Jwg1qcwN1NVzA+PmQAwCm
Oqoujjhs7u8WeZBL3Vr3l8S2GzpzemWzO8uSvjtEro3ZH1Cjxq2zNHcDOkGMKIHZ7Nf9WC6Ruvil
wE5LPWCTO0us7rfyW35F0kRLyV4YKcW4dqLmCwi5AkVbrdV3ZKqFzjH95fxxITHL6PXCfC6tmaB/
LUlQwDJiSEEEya0XLVSGGZtQG3tiDTPMYTwXTvSq2QrEsEvZOAGpS5ecunI/Pg2qOaWkEc8FbqY/
tRgKZu1ID9W7EGVhb9pqB1r2TdiDdRNaCVK7hmE2+r8Egt+941XMXSnAaSHxmo92Dgqk48ziQYwP
qAoKRJ7HzDIrs2+5BbsuX7k17ZKquhKsUMX+5Awxbjmffy3V+uGG/ZEuBGZVRkbyOcfqgFU9LXj7
dblDLt0Env+YVdUnJgyRsJz5Q6IAQFIt9xfdO/9Page3CxfLtPSHGzn0EZXXhUp9244bC45qMvML
tubsg/MmnilJwZgqfnqoAu85aKHZVmwCyNE9zEWYbIqoe2/98S4Nhh1Kub8NqI1ZXjIfsfacnQJU
FA9huuVFXpyZcjl0HA6OdMFxdivX3ljXaIUJMZHT6cHJghI47HBDlIGr4dpXf4a64h+Q5gAW0d8p
xie+6trKfuuW66LFxyJeWY7OFucnFb0LZWznYRzaTmw7yvQbo9EC3WQ5WbrxAMB6u7WnEiWGNNlG
YYcmlvDWaFUXl56+CEYVth72ATddt4oHTvynFZP+koa21SCBzg3mUkf8wlnkpWPRosSu6LB9Wo/G
XMUv26YwPrZyC2nujHpIbdJfxwMV+TOhpy0lV7IX/XJw5866nYM1P44LrO+R/zdSl5ea/P1JD9b6
1OaoXKNJOpT0ejfn9PIG7IJN18nL4q7zW6MtMlmuvZI2ucJlWTc/hQnXgJwTF0bVmJL1NcWfxDPZ
LuSBT21h+pRTUN+kyei9ggBNTo0gWjAW14opTf/f/kiBkADc3HyQfq1++RULOkjk4bizVuc5Emt/
GG0uwZJ0wjs/4OxHRzV5S0oAM7RynrwJN7/UE0eFwFy0ReqKLzovZDZbaY5jQ81oxXPaF+cq7S8M
KHibdEyLk90oIIMoo9/JVEPj9fhDgedqbfc3cr4X27WoSG605WWVpGq92uQXLAaKjGEHGyhU+5re
QEw+Jdsj8REEXrvfhDDY4hC4nTyGIizIpSO+mpBPYjmmxd5FjPTmTbpkt7ZxP7OB8i/pPAeRQgQn
2fJEIxXvzI8thQQ+jtlMAkmtp4XAChkoSvM78lmS3wm33y5Zv/soCr5KomTWbNrNGjq8iIK5QRwk
A4L78RaOkh2e/AeuDEW1JOBCbOb7Ttn1eTDRaVaMl6CH1NupAIjsqXsWOZpt2jLxgTQSvVLQzY7E
/TrgxNT5EeAiXn7+n7H0aTK7qn2cUz/FI2jvI2z5XViifbtyueGrjPiBZBKazyoUw8ZGfoLziT3r
cTbYpOBa4tma/zShd+ZZeObtDF07q4dtJ8lEBt55he08rm5yTGtGBZKazYzEnFM53nmZb75oj8tf
CHTfk72sh5mgRVi6x8jP1i0R4F3NFs1Xw0jXhh0hok8+MxjOLBl8L8lBW0EC3nwULX/AwolDgmk8
L5LTChB+z0Z8F3M0hnFRFESMnQhknuveVuxoxEUIiLKsMJG1/d231otVp9bJHdrvQafhhyPL8SLz
9aEojXvjpd5jtwDzszmdBlHlH6eAh6yTB93BdgFHN1G07ETahN2tZIv0ZhiCewZLMtbFNckB2x+8
xxpVmt5CJnkHNd02CFrNVzrbtAxZvqQ1cZ24srt0yw3+vlnn9OAjRRx5CxTbvk2Oomn2XJ7BxpLD
edcumQDa+bEuRvOSosr8spNy2BZIcJeujUay7vw1P5Pew4joPqeyuzBq2/Czz+azLRN3lyTjvFtL
asPaGcMCTLSajhYmEEE76aTvXZG88j59ygxWXb/SM+aU6c8c8Vpa4tf0meUVBumsK+vYJeVFIy05
1Z3+4PkUnpdGD+C25j+1Zx/FQHQ1IaT6vKSW+4K/KU5+RmRzE2aOv+4HO9zmc9e+1pQNML7y8N7N
5+g2dFX0zTZAdJ/ikIMY9a2OSC5tv92Ijv4wS9u6G7ECtlFkP5BSMjzVpP1IEPFD5jrc8Ffb+aS3
9k7Iec/BNTguiUN4xYQXjng/aHGxzEgo3zmmuUuwdr1vreSlgC0emfI5zaLkHbF2mg4RROifPL7I
6Frt3s+JXiyJZOrE8Ny55RRTYiRAaJwt8VZkKecbjs4vjFMlf3gW0M6YSvv30ozPY5Ltp8XBWE27
/L/YO5Meu5Erbf8Vw3tWB4PBadEb8o45T0qlckMolUoyOM/Tr++HsvyVXOjqghcfetMwIBiWdS8v
GYw45z3vwGs4IKc4jACiTWq+l6N1cqz+1S1c64sn2FUzNbh4jQzjVZ0IVlSZNM1toYRJxeEt+0zP
IJ/oaV+bFbop002foamXnOPZi7/1iyFCeNPxaVinb1Gsissm2pApi5rxdYDfsxOqf8RZioxLhCJM
RcqHxanvUwh0dFLwXMhyCWxMPiZASUxcsE5xu6ey6a+seLxNYSVSh9XdJ23a8jYzXWNXxdZjAQ0r
GLoxlFs6Hz9OHDNfP/mOSdVRmx6jfpHuu7TEKqHKXMc5ZhhzHEVOmP0AdrsaHqW2bI5OA78sbrZX
fe7f+kw/wW419swzSKCmHvZcL/nejg5j/q5ElbxBcIuTLZB9dTR/mxfb3SfZIunvIxJy5aTzt6wz
6xf06HRlhSDRo5je4iElAlRi2BZC5syPY8QoNSchigYO0xiOuTm9Hfqes2SMpkA7fXXdKyYQfdd/
mSmFjtq1Xqa1POjBGWHougJlhJngYIpRkDRf/SKrd40HfkYOCmND7GNE/gVjWb7eC8YovUf0fadL
LAABH1/sfEQVJ0LbLndpWzw5PWoa5qV+UM00ty45IQ3c5IulZ+PPl6w8Yok1X2hzxiaZTvpxakar
p1z3WlDxmMQ6B/EXqVAT/Vo2NVNQ++ulgCnOgHT2wyovb2ObrDvHPNt5Y/e7cu7OeEY0TEC9t7Hs
ikcGKlx2pvB/6LtLE++S1c0+M03aw+V8Rsnz0dHfBgyR4V3E4sKxYwyAMww0itQsw7mD/+CaPgAi
V5ZOzKH2rnZHbJ15nxGpVN1yzejnvNGxvhTdDK8QCNqO+jtRsbfjbH9SsP4ejM5m6oaHCsuxS/TR
SDzSWhEMhU2frB8RNlIHHt8FEY5OmDXYmGi5YL1vMU5xGFdcdfZUvKiiPxb9xJYqrdvFMU7oE5mG
dUSmcRMPi18CtG+dYGPimxU6WszXzJWSm6YFarBL8xS3ZVip8Uun1/bCylNhBzmC3Ua31a72ndrd
mbOD0B7l0zcriy+GJPmmBdXbGHMuuXNL9LCDKPQyquHyo8APtGtGIeZMFBLY4u2ESwhv1i32bdY3
9TffyCAs9Xr6WqGAu1QeMiPFs44CN2acHQKvFQcE6AmEDsceLouFk5iT/mZJugZOu5fDG2j97Ai8
lZ6LuZvOpUo6xvuokBRKeBQVtP1wjbLLZpDVN6mqq9RZaO0Rdu4wLyAkN+53EbDVTRHTNekZDDjF
u/AtYlIL5jU4L5pSFV6KO13M8NKu0ARct2mbvzpsOxCZypsY7hSDF0N8G1i3J/ag5zHOu+9SLdEe
U4Yh9A3yutvOmV9ya8HCe8ZKwLO7Z8QItPkLMVhpC4uy94miAAU8NgsUYCcR7r3UFE4OBmI7fAmK
K7BD8rQn/sglrDDhMrdDI/fKi/6S1/FHnVZfIo4+LI2hCz6VbcY2JdSBwd+Dq+vlgtaWHTF+c5m2
3s2lme17UZwJR6Yz3YLpDB0WbfShC8YBZl9jZhXn6+1EmjIaEze+grW5NBB14xVGAGxWFFvqCSTP
341ddKVSlRyY4g2hYcMZaVQLqc+pP7VoeY44x/g7YpniR5x0gOcbK5sTRj/SDkYZGTvMc7EtE0nV
IS5nGk08ti3jy6mXK5mTVfXZakd5V4Fy7CECXZkARFdesnYXNoPTPdzTlmzsvDpgCNbezHYvbxbV
4qnD6JCJNmIJTfjT3C7uRey63weRp4ehoUOTY8ZIGQvjOFrucw8FJk7K3m5qYZS1cB0wyuIRY42A
AYmv0IsCTOOzkBory3uhBO/Grq6DOo7VeYbq/ZBgK/0gEzdSjPQspjXZUqNts4z0UC81CpM1d+b+
xPibKN5Fn1Sd9ljaS9BHzk5ZnUsPpuicJZjPx+SCHlTs7eCrL+khjSPvNYuq5hS7iCxmWO/w9TIR
ul76eXGmbxhriqdSTVlHgOdMYifiMnvvFFl6Y8v1NcmMhzJb1EuREadHgfjJkY2xZ5ao7+I+olvC
QCly0BxhZaHwJHntY5yuhtbpAplhkWLhnzG6w1lNLUU3rwb+sva0lxSfEcR56GyokJ3AH5oPiwLi
1siy4YaaVt0ZZdI+eXXxXUM6BBpzZ9Kl8Uo5N7pcb6rJtMuQPC06mtU5e50cHqp+qkOcJzwgH5xQ
at/+6Kv8lHbQusu5fHNG9UBkS36DM8VN1SbzmSYtxgzEZpObK/t7rKb11MV5hvxEXGqcpsCYrUO+
Mg6lSTt7PM2mKuM9xr7p0+CmZRug1UrUbnTdi77MbC9c/VnfuQ5jtsCCsHmyuqW0A7tRw7vrdJEM
aX4c/IeADRzJkjy7Q5rdj96Mdw3CDMbJ2vTnsEqNdArWpSruSN5CjKyHUn5otMlfOCxyCyFdwyDQ
K8azXRIIwCEN/9StcmQ8pkbQ3dh7LN8gaEupd1COsmS3QBPntbLyuDq1lclW0kS8C0HW0YqE0qaF
sOok35VoO+ewQFjtcXRO9f2syOZOShDUrEK9ooUC7e3z2ti3s+ZgyuqCyjRKJTlzJuR1VbUjaiSI
a0HmLoW9N5vBeSpkin9Y4izIWyqtxykYMxv+awyZfD7kQxrfjX33jH9Pc6kt45tXzDbCA5UZ4dga
LGkqKuOOGZtSYVLP1mNcxOIZB8nhuzRNPQYy6lrekGSE9V51dvsia1FCxspxvcIeb92qd5NVyqaX
PmWV7VxmNBCbznS9x8VCr0xXE0qkGP+iBzeS0YsjlhtDKswRHV0jREMqxVyFM6nyU48BtF9iYc4e
uy9B3Kqgm7p83HUyEWfCciklhdvd4K28KyNRv4zSWzTDbQECpvM4K3dg90QbLHP6kEUDWNbYjAcc
ey4VTK9X2g3/VDWiuCEE6Mbj9Nj7Yy0v24qVKDLxVDTedZ/rSwPmGSuxwPa8eYBT2e15w1HClEp9
Wpdy4Y+iPxkE2jGtRl9uk7ZagybHzmC8p6L6nNodTrwG4Cv187etVIJdwGQB57ZmRoniyo5Z5pjF
ZpCheoaSvqLWWWaV7BNan1NmOVmDfrg+yRk+hASlIUqq8q4aC3LnZm1AIBnWSPvS98/GZFBXeLHn
f9a+/6Wd44umbpvTpurkjSCsMsklnoEDiCA2dNBlMV3zgbhwU6IyMCGiwMrBhTS7WYtuj/XThSyt
cYdmOwm7HiGo6qk/U3+5diLmH1H92KH73VDL8oD2tT0hJnhMZvGiOjDS0aS4L5hl8UYpfQ+15qlJ
s/ZBmVJ/SVwNjOGsOdbYRLn4dRZxl8sovjMEtg2w+8r2KepXF8rW6qMKbZA1QyJJV+NBjTY2kfmU
nK126u9Vm830A7kzsr7qBe8vfAoOFsQE4hayM3TDbN/ajJKR9C5e4CIXOTVe3UXHxcxBk/HfnN4z
4aB1gl+LwBJq5ggEAM+vBKgpZRbAnLPcPftPN0ILsr1XuUTdZyPtO+xT9eJdq7HfBkkxWmcDPo4b
TMLWByA/vsRt/QOTrlSEuBXgP4t7KKbBdS53drJOtPSyvCQBsAT7cyS/wQbiLaGasy2HTl/G48Em
+yrCu6g81p7bI4X0zNcBTasMZsZjz4ml5EuN/fu1HDlKdwL49dT1OHYGfYkQDj63/tQRS+2FaTeL
r3Y3fRuMNA0Gv+WAA1YzaAWLrujf8Ajl5HEmS61Hjj6vDy2KulsvJXJs3yDh3y+1p0O4YHiYzVba
ZcE4teZdnnVRcpb9moadpjLXXnXmznX3rZjmz6npq5i6ttPowmp5SNuamrFB13LpSB+g1DLs8g2O
1nDHVeoJIJatPihdXJVwWcpwGnZhEJlqtUJgwN0gnely6QA5YZglFqR934c4kcpkl+gVDa3VpuvJ
4bMIVU9XvZ+b5I0+7mJwss0coYNLmNEpDPsC9BsKB5ayuA+U5c6QAluKPpEnVAbV7WQrZGE5SFKY
4J0ognEZjZfIjLLrpcclYU5d99rP5uZASSi/DxzHlyyPEOs486r2Bs/biFQ3fTvAiRTT8OQaGMd6
podBiJmBDuoFPv+suk8AykXOuSrFJRtwuAqYqSQaRVjbrow0197tHw2jid5jkUFe79vc2F5nzHEx
URZ8HmEHi3FpDCZKNOpI701AyowuHMuJjAJbrbqv90aZj10IxyJbL8Z5Gu/auWNc5ePJG4g0n/c6
m6p7BZrxlmTtOfYK7jLYV2Ano/0QR6V9nTj6jEmje9+5/hTmE6wMn1EROUydiU1mU9lcy2wIhUba
3icYU4TtYi/vJY519oHUqfkqZfqO63iRTGGCW8WnvCyyNwzSWh9ryaqHH2J/yoGKuE/Vo0CFfDH0
6zFy3Y0EWHMWwLI1GF6NVvfg2VggCAbSNyDmOAJIsoiM9DMySHFYFHLdQNQt8V+84/tkYfrpu3jw
uhQHexroF7jGPmI1azxnycTYQxR6b+YFHif1iC250bSkMlal9ymrp4esXCSM7lbfZKW4SlOxs3FL
2TudffZMOADjfJcZnQZijb27aO4+e24qrjPm0mFXqnfBiC4ousX9PlXyizeXPQdS+9VfpidstF9M
O632JNLRanUViK9RmBDLlfI50Bp1RIMignrgXREcVfuc9ndf5zZ2GVNqAIbYmzmqj2MGO/8jKmRj
vzbZSqeT9dkVo/AvpqKnwhTiuSqA/dd+lTcwZpJd23SqDXAVpkRezL5Bxwj0DWN1UUa9b9dqc30t
PA3Qlza3mL18SbvSPkPwGKG5omQEA64HV8A35QwKwX5B/6rZBCjsU9FRlDjWJ2MtLyuru6xitNTY
1mDsAt7bPdAYMvacysH6NLRo6YGgPkil7axreHyA1YYQBp9spelr1UjmtyOU5dTD0L1dFeV2GkXO
Rd8szP95xU6mEZdYK0YmY/XKsoCMehvC8GSuLiyyKps320VQPJe3jeqSCqNtp8fUFB5jrx7KAB7W
j7It6BCTgYUWlaBSTC/7Z9MzUgQzXWnxG+rqbBgDvDlCvOTUDhwslDYcJtZLr3ya2QXQw7PdhdLI
eGlN039OYoO9S4B5OYh5sZixUmMKlwUAs3XsfRajXWMri5ki4U4erhi2bgqgAF/S9A7QI6NekvsY
PfrIHh866WgfKN6h2A6cvQzpb21dRzv8o9qdjka5ay0i5l2tXz2Mfg5yiG0EkB77gN+yJ9kq+swp
Y98WxdqEyoniL9Ys2xfLATt3DSdAJmyHtFXiGu8Q+TDFhX+Nq6EAj3TLh07a/YH7YJ7X1o5e0NPP
F9VouswMoscikh9yJlDKUKfBHQGVIll8MMzrvGAauulKo/i4d+h3GU4p/IjMfL2BgnHV1lG0076X
nzGZDlgFmI6KbFi4EcNwWPF1up29MdW7BiExr5KIqk9KWhoac+bcjsPwnEuVPQqshRAGz2PB39BQ
LkGSqEjdN0PdXiE7p1fzIKiNEMNjzzrYdj+6u65yICtos8nd/UJzlTMwbIY5BNZI6CuyFtZNG6/9
4wB4YqLSm7MbW2DiHJQTwvSgqyrcAdux4wCAYW43d0udx/IqKlWvnmj16hhAanYlg6x0IBkCZyeD
Q6C0iqcmWkzIKXnfswE6GOMfZzQRWGLjtRyOwvMIn53qaQImn8EEIvRmHo7l5vpm2T3kRGcVzKvL
FfoOyEE32aFp4Lt9ydyTcGz2Geey1ibE+DWXkE3VajeQgHn99rp1CKdcZ9e4qSEh5TsF2Rm1udXF
iDLjrPiEY77GkqXyrJvRhpxpLAIwcfJ89LRW0j6T6wFAjEtEtpujARonZnKYZ0yL9aV26rK48uNI
nMkPivCuJ2AHXhS8is+M9Tt19KJh+R5bk3XbEMySh1mhqS1qNazN3Qin/VwjJoR4uwjExCn+sfWV
MPtWnyzsTOl2B6N5KyGgzWjJsOPE692AW+TVsEIgvyDYxCobGeS+FSYHXEsx/6ZdaEvYMhewdSwk
ROca8AGHj3gYYR4wCIOswyjMD2hc8fvuxhmWlFe7/os5ITEBWWT2vWNwWr10bTZc9R6+IxxAxQpX
gAMiOhiyGqYAxXHzJWsk79qSTe9cRQM+yR6zTdL8sgnjH6orb8Azm125Us3OVBFFN46/nd73buLj
ze7RQ26YqPluQthoLlpvrUYukEcd1FCikYjEk1Mcl8yb40tWNc22gOGBWMVsvJu6SJr01JouQeyr
5xnOBYrDad43hUmlFKfoN/Z1KRf7Ps1bimsbmOCD3Iz5KR4sXF+prmFdV1PTXC+ykvmpbib9MFhW
6Z3wju/oRlvZLgGD3/4bO1x/hRMtXABXRAn8ztitGY8XKCmUyZg3GJG0fjSWkOqrQBuj2YxnZzo0
E81ZmEviSs5w4NB65GSakuyWV3k4pLOjQ3+mgZ3pzV98N5YJu2IxOVibQq0PIHXPNTdpsJBfou5A
GyralC7JRCNyM0G0u4JTV/kn7j3koRVHme7IfAUeuCR7JGEGOMj8K1hXkjEFLc3+YZlU7+9p1EcG
qFWRJI+ROaMDWce2sL+VGdvuQzdpEFGYPEndfm18qSUAZGQkTAnUWt4jdGGHRq/rmYfeJPJib7fD
0oaRPTFxsw3smZGn9ELf/s9s3H/14XO5jRZCIwkF2SF2xfxjKphKVIGVfrWc7Ut9weYf/cPs7v9o
sH9ngiS4m3/u0Hjb9W01/u2MYnWo//Yff9v3VVv1w9/OXf61fP+VH/vzo34yZJX3m4eYEuoplHec
+v6fiaipnN/YnZTjQE11iXHB0fEnQ3bzbbRtdII2drRYbW6xsj8Zskr9pmB9u75l+fYPwvW/w5B1
NjfSX0wU+RgMG7kAVwhOEiXlH9Ka6qUowTVz51NrbwNCjNIdFOlhi8/1dbX6kviG9CPBqgvlknuz
msV6iEB7e4GlgTbH6yFZ1Dv1D1u7XokcnXuJaE82911HRkWxePOZaUT/AIRVHlEZ2rciLezbHD18
wDT9qhuzJMCyptutwxLv8XdaLoc1+pYL696tCQMpyualSOiWJBr9nSvid1C4GFpA5AW+Vz8WS3xG
YvrFHK37ulb6hOcT3hPluAVEbub3hXUf5+nbUOWvEb4zweLx8onJe6KWgYpF/DQ4Vg+xLV8FzApq
D39JXzFUeJZN/EkmxWtFOwrs4p1lYXxNNhbGkH8MQL9BKtSNXhkAG1Z7pnlpA0t2n5e2Zn7f1uZL
0WRv2vSeukWdIPwbbM98+dzRr5C3KwbX2FtlbQVpmVwmQ0eODN3XLmpasTNTzw61uZZHATX1MCRc
XWoy5Z9n8RxtqUl5ET0NTo5CytBOUFrcrKbMP9B4iF3vi2eBvOq4jN3G1jH7PVq6fj+p9N01IAfl
gt8tMMm6jfDHDCN3AgW0y7tuRSK59BS+oqiSd0y/BByTcjgppgqvU029h1VkwlB9HO7yMU84qmu1
iytjV5tbtPIMKc8fmN0g41YXfr+2Z58ksrBrsnpvOtBmUs33u6uo3xy7Ml+GmhWg3Rjx/ZrXh2aF
vegI/Q4Cfe+7xoU58aNx7itCo0o+SiP5wFroQ9eTDGEoXQH3ejATuEWxi8BPt0N0FvNinPRIHCLL
RDPMicUpnuoHlx4/6GrTPi0rWpyh5aSnjGbUOfPzeRdAVcdxg/6oGkH5MK/cQCXJFMlL1HHEoDxA
7N+ecd7NLlA2ZIey09bnHHV7ECcssDjqjquYnpEzLKHbjckOVeF9p2CSQK+wjrFwboxutG90rZpv
pVFykkMsAbhS93R/NUxu8z6r0neUc89pw3WT57GSd2zMn2Aa4bPDZIo4Sc4SCw0VfjOSnHRDn6j8
GX7r6q5sLca9DUEI88RTZB7a7XzF6Aoy1lPUpG/GWj+WA0+/SrkHGfSX8Mc9L2vQLTawewMtE0wk
vEUIBNiSLO7ENJJZml+Z2qx2eF9CVE55k/BWYeBbsthhSaK5mu2jAngP0oqla8NE3hnGFF8hrD37
pWBxV+VdY7n6HtXLDZp0+q+lfjFmgoaMEda5VUE372n6Qf5P81q9Nt36jIVsHixCPkcctgFWbsQ7
FV6/QwF7lbelOugY/9Falyw7RcxR3WGDbGqve8Jt3N0IZtFT3bO/pA1YJZF1+9xo4any21sxXMde
frXCLwrdxX/qZH1XjawnZC43zcpvEhPfniSIU7tJ0GHG/bRzJYOjyiYapB7I6q26HThsQUkuxzBF
zRr07Ta7Q5z/+mP/o6VzAlVurUWsnbAVrKI8Wp8NKAChQFq3jRO60Gmg+pomz7jJaSCV4FVxcv3W
SXUvDChhZC5Wt2VRKoSP+FQJjcwAji7sf0PQUTZ5HRYGT6RqTQyZ4jGToMERt6Qy+fu46nNy1uE0
wkyHAda0L6XZvjDtFTTEbPnkgnm7eSkfXeC5wAKVesi2B4lFOfzaWe4NXXg79tTnzGH1lBtveeQU
EFxM4Jbty5BwUtTRV+UkH4U9tecq71L2TYDtH59dQqbGCN0+j4P7FGVrvMc+Ldtla/YGOVrQhBXd
rospcaec7LpkoqbvJ+tYJstzpNMPsHLkApEwL/xxum4glTOS4pUlrVmHVZJfNUt21RT8e469G7+b
ri2SBvZry7HkqfQVvuZLOxTyovcwUhHG+lx3VJcA9uzWtreE1jTgIFc6jt8eSozDGtznjXIJu3Rt
r33CoA4aO8lgGqUmO9m7sWrrHvgzDSAPP/pF+doY6ae0wRw+TlgL0NvinTvwaFXUWIE5sRXZK742
JBndmHFMmtZa9o9WVrt72aek2Bg8S8lxMA/dS95M2cVkpu81wAJOKr0MpwFFw4SA5iKHtX6KpZr3
6LPMJ0p83D8nLED7Vd1PVuYfbeK+zi7BezH8inDqap5t5DzhVMxADipBMBmsl66n4h/Lx3UTENvZ
68xlhUvM/zm19Vu8bGNPWV6lzfJs9M4NrPrmmMrRPWkPdALcGfpY3L4Ua+7j5cSdYJDz3ce3bAdk
ey79/JV18FLOLGpXuU9+4X+jSH4XnjvvpVzZvTUTd2tZo4doLoGRl+c4r1+ibqHzQPd/bZV06jCE
OJQd4zsnDRTnSn8YAp5pA1WXQ7B4xfYERphDVlgSvxvxdutJdwtRWaMZLKURTDPj5okMOh1zjSa3
eVwiBibu8jyjakSMO1aAVgViygzFYWnGl45IjKdpwb66VS2XYGfv+Rx/LHN8gIr7ng3sMnWVDCej
zqvTUsOdw6W/o1XnrCMOB7MkBXSmxCr3jU0SmdXwYDmw4HfHk9oV1cRNMtIPX/O2tQbPzpw4AzXy
UjSE+m20jIsCimPoF8bTYLOVY4PnBXTvXA2sM5Bt1j5YbLaploN4YjcoFxBn4YCcTe12B5OxIvEk
pkUH10ahq+wIxsRoqmcTT0Bynzapz1Qny05V+s22Nt2Akd/VWIbtBOylljk/HfvGjzRmiGf0nTbG
YOThoWyXWfSE5ch9r8k48teWaHSbF2NtXOvY5mt9E/cmfLo8SW5zv5wRBdBzDd38rIlc+Qocz4/J
u5etvuuAxKCjTiXsf6Y1uC4g7gYbRmzJliMhBx2YF4kdmBCcKUFitkEhuMdP86orzK/Vslk+j9Vr
UZFCQt187KEq7NHFvG9Eg3Jmu8oydn+BEfO+YXAP+7qsTjasy2tRudZhaVpY4crvjsiOyiAd+UPW
LE1XzXmQKvZuY2TyOiGloJEV9yJ1gd2keaVd3pqem4kUcQkZ6d6NE9cHZoGrnoMPBGItDgMgEOxx
uN3C0m9twbaTFxy8c2+TUbfwL72e7Sw2Ge7nbvI4GnI4LC0LFR4hA+TtfHGs+L2qs9d4YgI/biV2
gk/iNVlWdciWle1ILwQewiICDZr35CUW5bRT4g+0mmeoA4SOjMf1LWqBA5AbGW+x4DBTNW6nncGL
Ts7ZfP6xGWoMNvak1F4UCXP+ciSWo0JFRNHzjJNnf5pmiWQCxH2vRya2vp37B9w47VAqRjpxyfm2
bSxQ37ugmaF8M0p7wmoK/taWotZoR+20nMlXazmJ0nTmNmaYPgDk98cfPdr/h4b1T7Mvtu/69kv+
88/v3pIk/rdimrG8d7DY/8tm9XIov8JSa2lX//lf9X/XsP7j4/7ZsDpbaADcUUc4Clt9OsZ/BA2Y
tKUWVFdLEmFI4IRCTPnPhlX9Rh1LFAaiY7SG0qHL/WfDav3m8CEgHRbRwMqX8t9pWGmL/9CwSt/a
ZMaW4pBwJR01f/+LorOpPAefBAxK7JHhfm8oKgFs1Bw7faNdr3mLNU0jdKI3rDL8Q1a61Y6j27l2
ZF1/JXFn2fdNuR44wewbRAorOj+q8BLTp2tFgxrg5v6sgMP3bVYOh6Ht2eOTlsoHWtpxnC19WrFk
2tsiQvTgT9UVzrQY4KMIOK6yohXq1D3esc5hMrOvllsu5wIWX4geaDgUI8d84dTJrurB/PDGy0+F
SxuxQnCA58S5nNFPkQBEwFddsy+sVXJJTeztTFIh3WXrTmMKjY4qx1/x1oFi03LO52/mYt17IK66
Td8LNBDETsFh2iDYSDyrhF2bTNaDV61fOiaxQYfd9+DnV4bAjw/HZX10Zupd5I2vuOsQqVUx70eL
X0Ono0uFWUM4a00Rgj3qh/SiC4VR0YULX/yk7ewtWcgg6pLqkUntNcw9GjxNT61HOmcAhm3jT9/c
7SRNUDYcvYTrr1uRPjWUN2dd6OTW61HWYIu2LpeRjRrFWUbKYwqTH50t0CKF0+x6xy0pIGhVZF7N
tXMzZA1NrjPf1c2r6Pk2jIBe85EWBW92DsOJu7D9T5WTv2IJ9Ahd+TJaGYZKcmo51ssCmX3K4T0a
3360N54pxhAY8DoBud21ReLiZoWKFVf1p6GkLXU4irEYe22oKA6I8+cLZMKaZz9D0lx6XB0rjD72
EGuoHDdx3awFxwyPR/rUSrNIONfakcFoln5sMEC2bNc45K++D5XIj01CpgSGXVv/odMEs5ayq1/r
1Kc7gmqHUYhlXiHnqk6TZ6ubZVs6s9Vd+/gEB341Dlc/sHgXYgcjtJVqJujcQj7klFZvpimae70O
L5giHaUevB0GHJBh9FtNiAg9HFpOCME39Vy+dlH7CAu9CK20fOy42rThNBXFHaq4LQx0hmHYGtk+
lcWbO2TvC3ZbcD1y3FiVRf6j1c0XZYV/m9owDj/hECsS4yLBxIQoWlhFKKh3cLveZWVTw5r3lCfY
QhcVo3FNGZRlnHQA6PqmErQGlbTzEP6c/TzolKI0chkSRxnnZrrkd7K1T/1sbJq08rFdeM8Q7X3Y
i4m205sZPeUsO11+2DWeLXmCrbuSBYvQESV+LWphPkbX1qXY+/rFdJ3qBGcakBRmitUpT7m1cw0L
IUyUiYKknypC/5b4ylmZhY2R7ez7eL2ebNbMbPM8BZztQ04EJveihwyATudWS4xO1w5xqZ9FTPvt
DqN7H9oixt52OJk0WyLjA2yrIaPOS1dyJmg/IeW/YBwD929xtpwwIIamipP3vvK/4ajVXESG/og8
dfxR8JouDouK2ikeG/vOZVu0pLDOTlmoXd4BJ/kxN2BAhLOTMd/Y+OAcWzPEncRE0hfXsI3VqfIy
sRsZ0MIvkow4uuR91NP1XGQfZFWNz3lKzSMxPIZ9QT2FT3u86/ykCKe0L49DLMH9cmjHFmPFzIvf
Wim+emLEe9BqNE56W0EYDdnBBLYKVAb0kCm4yd5CDePZIzttCbRRYd3MwJfSr17s5mKA2gInqqxv
CQBfT94cNS8Dnd/e8+ryqhjL9q2unCEYNf1WNA5Qvlk3Nm7e28uWMHTmlfJbOFbQnZeTQMWMRTq8
T8Ojr1Na0zep4fr/SpD//LtlOpvZwp+XII8MPvp8+VludL8C5D//7c96w3R+U67lCeHYpKj/wLp/
1hum+RuUWOkIlGyEuSu+72e9wd8otLD8I2F6FuE3uEv8rDec3yzpYiqGsQSuFNLyrH+n3jD/NWTd
2DKX+I9lbbYnv5QZbTJZI8YiLhyzi84uSQV1doWMPpWmeTTaKlR1RZDu7YCh9y936aeJxd/KobjD
tLvv/vPv/+qn8vsX/iHNC9XbmMuO12YVFiNu4msGgYh81Yj167f/+TvMfy2ifv8SKrhff5WIzSnB
j2o5Z8PDtKqdKvvdZDu7OObEn98ifKxGqPittdK3YBzIgawi5y9+oUnq1C8zh9+/fbuqX+5p7hTm
oiGdnkVKVDszY7wnQatW1KsFxcWdgATMD96maqExF1dlcfqL370Vh7+HJv3+zdsV/fLNlm9AKG0M
XHnZJr3qyBT5bI+ouWOmDWK8w7jj0s2cXYvRYgR49hdf+2eL6A+1asZYpLG9pjovADW3w01+239G
71E+V5Dn/+JLmBb9tz/tD/lThplItP5VdEbdhZocXr8/HZf2lpnFbqiw2gJw+ouf8yer54+zIo06
wm+meT5PjnfEXR70ERAoIggUznpuU25G65FtmF7kybagaxXt/i+++k8eoNx+/S8P0FmNOVnNqT8r
nCVHcdcTNW238YnceyAJfDs67uh/UXdmO44j2Zb9lUa/84KkcQT69oNEiaIGn8d4Idw9IjgPxpn8
+l7MQldn+k2PwM23BgqoqqiKpESRZsfO2Xtt4wRO2ost7Te39q9BY/9+avR12vqnizrupOAZWrog
0xFfja4nVMRQg+G7vDLGFPrhoq/in3+dWTlG/j225hO05v9d79OaQ19hdmTnOEH9Ut8nPzBQo4li
voNY54I8FjnXP7ybn9YasnZTR2RCBq5io5R6KPAxi9n94/FBe+lFYiuBBGqpeFR/u8Bpf6ydf/MW
6p9WH3OkYhrDBgzu3iK5+0l7KS9VfIlxfzn7+KYM9OOIHzFbtoDPPpB20du9Ki9De5hI3d58hNir
Y4LOj2D9rsx+2z6l8NvehrOyId8Z5bO4yLfqqrrL8Rd7WMd807woOw4m+4Y/vk3ToLs4tfacSwaV
z3QBNx/ORuq4Qz2nPXTi2BpbQr83yWt3N9y1zgWa6LY6I4O1/TZId/PBDJQTxv1pP3nGVoT72W+O
FcadveHNQXmA2hm2H/GluWoPSXHsDs2Ve4c8GvNWuZkeijtl31/LG2yoZXJrhO/pszhHPqAbXCSn
6oBGGBgG/u3v+S3QELXxhnfDYMG4Uo7oEye/8QmxSk/9of2HK6P+aU0mJNKNchyqAZUfUtIV4Mcw
qQtRUwzpjb0ePENBdLC+cfjP9L9/9wyuz9rfPQz6X18uRaAryfC1B0DaNzVpwtj3mECC29a/xVBb
q1V90XxLNKQgLCtDV98Uie7PTNK6377h9lfryucVGvdPu+hDiAGFTIOKoadLmY3lCLpgCzQemBAu
ivw5H9VTWJCXUJnRcYnNrUIVj4wOzWmtATks0WKjLJoA8cQU1qCZNtM8KhTCg4utRt6hW2siEHlU
xsORIIhkT5G+w8/nsSf2ntQx6Ciow0eFBr3OiaFALEdzFn55O6DjRLudR8/2jDhInR/TSAvgu5Ez
JSDmD/38Cojvup3Iv1m53Hlk3EyaecEf4wFwlntBypwjyYGit2nbxVU8oHVOC49z9z1p8odIa0lH
1gpySTK5J9IML35iXpE8D1gcLl/9HjnftO43apWvyhD9056VGsLNDVmHQZgcUvniutG7o6jelPQ3
ds0dXPBZ1Hfo6h2yHBt+cdbh32xiX6zp2ie9Qx9H6mBmyBm0UL7HQvNKR3iJoAQIYYJH9gk/NQM8
8bs1/Ys9U/u0cRmNMyWWCjVAot5np1wRijzk664JKPguHqAhJnexnFneI4i49m++51cFrPZp81ro
YBVTBPiF9ImbMus3JZ6jHHtTzHTHTeuTsZwGkxSZu99sKl9900+7lyGKoRVmkx7JFHLdY942j7Ct
D+uPmmICBek4NPmNqbFTW/ppiY5u8Osrf1EBaZ92s1kp+6ytrfQ4OO6J3AAmo8OpdcmWt+ZTzX9f
y6BfX+rLu/ppC6vUMXeQB+hBNas3cageHfNhnTr3UfsIV5TKiJinbqG1kf+u9FkXxL9ZKP94if5U
hUwolkvEQFowhN1JQdwXjncOGMgixjGqaaeE1TCc7es/OgB8lGy2f7dI685XF/+0ShuAKUSeUPJN
A5Yu9xCi0HDYHNKqKzba5OLdqGgvwnKiW9Odyzg7FQAVCrJKZHMFsfW05GOQy/C1FhUAHXqEmY9z
EctpulU6xDp7p91n4ijbfVWd5oWlCLv+XuHX0/ZKF25JqdwAUAAvw8Rp2TrKCuabWGUPMb9sSGIR
SmdUqOvGvY0XRl93YjmN9bvBIIsiMfaHwQdjgmgRNcVkH5bmYE97ldRwWq8bhcYnBR3cpzk8zdmL
0K/GAj/Oi2nc9fqDOz3Xxs/OeCrKe23wM4Hl8ucA7KgNBiBkBNVoPiANtfC1af3QbbxvSBUfDspw
iKMgMgMzZkS4p0WGOHdThzT3lFo/D87MQWRIkaSXyiEV4jpr+gfAoASUpHythQFxdnJrGUA9P2Ds
29FRgTcy7LPeDQZY/IO8muYsWFJxjyXS7+dAVZcrw3kW1uNQ0dOa50MOeXid/Ha1cUpzcx9jGY2d
CQQU81hnvnchdG1a4fxUSu1ubp1Ho7vSKpRMufUAbP2CPPkDqufJTqY7DbIRXaAA6MAuzhsvKrCe
QbXWXGWnze3HqDh7lyqnaBuvTsu3RXXBhCTxbeLQoF1m1hzjschTf5Els2JuBvmnTH8c9azG2UMq
7QCXuJn/IAZhY7RY/iQNyJ9JdGjogLpePszFphHjJe7RsZP/p1bmssvLEbmxdZC4mjtUExOxtFD7
j6PQgwgDA/G7NzMJWg4NpqEemcyv0XL46POTUzu3Wtwcyg5JbC88VxLQEm+XiO0GA9DQVvf5VF6n
A5Y3eDq2pgakjcJ+wIwh11tzzZnyocueRYYCfEH5x7CfMcE6lijGjxorR1Sqe3epA9vog7xuL1au
7uYUcp5hg1RPnB+GPpFUeYEaBWeQl6bKYO3aTPWG+aCryXGMjDucShc6f/djZL876JbBrZGJpx/i
PN/PpnkGYW/NNzIjwUSat4M6nnUsOyXW3VHtfZN+hSi0gxJWgYmlN7SdgxXfAPclosA8OSQMpn1G
VuqrUoe8v9NtHBnRhnI7TBENGVnyxliULBM6AiTTCPWFlXWT2fa2TG40K/ndPvnVQvOpENMwJtD/
6/tAzsHSTgdHDozHEerEDrkUHDd/Fmm47UJKKms5Qtn/9YJufFUPfCpFbFR/ht3iAHIEo+UovEQd
L3gx7KtUvRIAqaENbo222/T1Fb6xTVXcgxX2Igo+1bqHDrCFErIlr9Orc2ur1mQfdb1nlwwAMHJU
awQFFaQ24WJZvNxJtxladKN8aMtXVaXa+Z6MOkxsk2mRwR6Z8V4qPjkA24ESDR3Irsf3Mrq30cBY
/i6zyR8gfMl+KMZl++tb8Ink++9jp/qpJFriYUH1Bu9KIAJfzYj5MdcfSvWVHQa2NfaDqWe2rxAY
A45pvmkRJrnUrCp9ZHW+7adALbfTmG5KC+99l3hQHM9UbuBUrd0tgILfbL7uFy0y9XMtpRkxth+c
acUsgphN2FYAWUSjj/ioM+5U96oB1QlcAXDebcNwnvFXkJXdWQ+7fTHa2yYp+R1vEv0CMnrkIdNP
uQocoeY2xw0+j23fk8qZv4iOx+2dISLBqKHfEtSTgXadYH60LuJ9DMZWWJKOUEEciAnPQTgKpLpU
di0xj4wiUWqu0JGHAkO7u2wL0TL4/8iLn+sRgHymbdLFuxbbbQYhS5tBvRgkPzQqRE9GEt2bMn7T
ohH/yrk2Gasr820nZqKsVGSlt1kX5Jgt02sD4ZyF91preQqVaQvW+lw9TzXmHN3ZO6iPklRu5Ug4
VtruS/7xDYSHKcyBlFtbt3stO9xV9oPB7g2uyGbR7ZfmN4+VuRaaf1O3rOrqP3dPFLuMBDQczs2E
bWp+VS6qn+vWzUxWJyExTCADE0NN+hSRaSGnVxnfmsWwXcUxs9Xvlt7Z5l37YPTR3smhg3htlqBL
/uOQBfl9vjcleGkEW1GDTgjuRJ+tM6eeuU/oYzS+djOGROSysfRtCksPCjNEQzd4zDc9ooS2a2DB
SNpaSd6wHJYD6XBbQLOoUopj5tqHTJdeWrCvmqAUZbVLEwKVywisPKQKypFfv372F3Wz+rluDhsN
tFfYwMZ5DVss/9K6sHmf1GHZGFF3YHp1JRP3Vu+N77WSPPSqH9sYs/jhsii/Eg3RMZa81ZrA4DFP
Z+V6sSompNljGxvPetEGVtTt0I8hLq62CEW2ZrkeooeIM8mr1TbnMZpOjlIBOzU2av6GcRjLBU6G
CFfPrPhOSoAaT+NcKtcKELd6tIKIpOMY2Jvs+wPmRwMRJITzzTBVO6aHlxouxZzUmAZDvyhQtfHv
UrUYilq+ClQvfZJjurPWE3N1H6Y1UMFVwLbB8gQMNPPBPXgTTrWQ+dmvb7P21eLx6ZQA8ZGhAcOm
IylLnuM21OntLZGuNC2H09xdTwp/nDs+qTmebOFuhvAzkDnlWncjZ5fQtt+1FcUXrQ/10yFimYeQ
4TQmVidFcYRg96TO1+1cabQzmfdlS/9Ostg5t8cHyu9ALPddEGXOCbU06y8zXtnd4mKECbjohoqN
8HnOHxckYbhzWeeK96JfAtr6R93drOT8wHS6u6Wq0qNAiKe7h9EM4HT85sZ+9fyuf/6n84ldAwjv
xtyCWmnQG4tfBB2t2vI6DRa/N6TWqeyiJ2aQp2o6WULxlg4d2T+8+FpO/Oni2SKR+oLDCQiuxs+v
o4B3TlXtvhVGf4qljiRuOBHgAci2u3HT/NTwsyp4R39z/S86/OqnsiUv0Z7oDVpHiNHXOBhPgrxY
5po3YUqPH7DLH72r0SSvIX369TW/qFjUTxVLk5GISUiBScq9S7i48BznZj3Xr52TnNJkjNUN0pZf
X+yLVg0Uw7/eYIzUnbPKcYLUko8Wa7NJSFZtftehoZvOQ5HUXmXaHqyoG8WcTxhsTybnoF9f/e9P
9rr7acMfZKkh9tDNwEKePxL6upA3baH142tCEPR1nNG/vpK2vnv/dbfSP8cY4Gae46XjnCjna20U
XuoUjyrfcb2zOA395mcrsVdrKVtlK6AikUVpUJqm4neP0t+3ImHf//VOl2XXdEIsTpCxWxa64RFT
tNUyeuXcTySkXtdp5GA5W/SF+4yP9Ztv/tV1Py2MeT5ozWjMTrAGrGf2y/ruyvCp1f+Ifzpp3Hqr
VLypzm5k9dv7/dVP+2kNdBMyhNd49WDCab2lD9iWT+vwH0uNDvvR3lgaqgtKTtDDfXQsHQOK6Atx
YN/IZb2J6EeLBq0VvtJf34a/f6sQmf317ucr7MZEYRsA5ngDy7drCXtOVNPPwpmiXz0h5zlpofm7
5+3vFw4ykP56PSkKpshD7Qajnr47jB4LvNeg89b1yhHxjoBO4MvPCYfhX3/BL6ZLuvtpqWrNKDIV
hyccMJGfGKqnk7QixpcwcrxYb2/GmWZx/SJtnwiaf7RW6e6ntaqIezBE+J6o2IdTtIBBZFrW8wav
y6JT2ieVYSUUln94V51Pq1VvIgluSBIIIlp/64JR8Z5Oi2D3nk96o25CAw8IHGbTDP91zf+W0vSh
KvjX//qLYvSP/Ip/60f/9/9PMlNci396tlbB6//4AUamm6/eih//+T/vf2CYfvuzsOOPv/AvWQch
Hyg6dBwGLqYu98/JIBgiNcMFo8r/ZpEH8W9VB4ZIzVWRlkJtW/cUm6Xo/6pI9f/QUYEYrsY1XHsV
mP43gkFQrv11nUc4auvoVZ3VSWkx2vrjLflT4YALmBTwiIg0fFPDkXBJpoF5ZR5RiFdvotL6Z70Z
MR6liOe7efomgJ8SzN0119Tq4TkZE+M9lPWyddPE4Tw2x89xuix7Qj8N8iPSpNjEJJ+8aGnV+nUe
YvAzgfveuHpHzjH255/0dtRbhQCpwF06BRRV1twp7Siv2GPGTZaM/Q0O3+4yWX391C7EQpVjnO5G
szc9Hc/+LuuSdte4uvKYdsC9gfxHQafNRb0hKqDdLOokbx2ItfdGUy++UDIUsrbTr166MWCnWZN8
i+52nMflNHVEfRCdoJ+XWFt2FWCnvWnF2Rn4+EU31ZtI13bRZN/hokbjr2v3oSqcLSpiggThh3Ib
RPhGDho4loqU87AnYDqZaafV+vdwhI00RskuIYatzu1jU9jMZtnaUg1Bq7DIlBX5tRU9jnN1R+po
Q+/UHG/6OSz2hTtiFeWUPz6XzTCfy9KJ+PQ9SWRjbfgJEbwHbdFXJwgFkDqPZFeksXpPKJAMlJlk
uqUcX7PQFeTuGopPEjIlkrhKdcP0F60pb3Hz6xdAJ/XjWKrzzrZ662CTyvgQJS0tR6uOevwT+XiM
5Whtu6ztnzox4TlCSzPtEFm6124ff/Sy2OF356zpaDYGr0JsFUfQFWGa+tHHQ+wzP+xuhajxhuSR
4tdkOHtYVq9NOHSeXnU3dtu9KGS7bEhm34LxRQ84GUFZEPGMWpgo8f4KKsVTVFtQDyeVRkT/bovk
zswEkKMsu6iYP4/OzBwZxEG8FwZQGdqkp26YTpJIBqUwATg277FOHCvpJtmOYJfHQXfiZtNGfXxW
ZAuXopM1H6LVmp6MT6vy7MwJHGn3T4D5MmbwzngKHe4OrhNwdWTFbEkjEXt1qAu4Ao2XArAa5Xdd
OgWQqWVEBRihB0SpaHBeiVrR7ggupqiyRg/ZL7c3DsNj1ce7qRyyS+OO/RYSSOpZrcPxU5DjHikO
KdaKsa+kweysjW3HGzStv8GtvzEsgNYE020ZffjMqBVAzTlmPCQpWsPpk4y9nAam6HRy2ohlAZUx
HcBZyaM+uD+aRguUyYGXknYnODxYbEljwR1jT5cY3hT0sGhP1gwSqTE9DXqf4VU2eeFEPGCozU4C
vsZxyGW8ko/2ZqPBDxWlCJJaiKu2onE4rOWLAlk2s+VHqzSP9jBW1wg+b4kOwAvSEdY3D4XJPTfI
QLWVt6lusjP2tPQOlTTQmxlKqs35Hc8X5rN8tf3a1uysAmkScmuDIL3OIEY6RuCUzTA9B1PZZl0Y
kQrEN8JJ/arnheoPuTY+9Yjn9n0l+/teNy94trhXseKVdXm0W7BOpfiZFknQGHFysaLJeMrKRafB
ed3R/vKcmRSAxjFiqofxA+hFAtdPFU/mRJAcmeDJyZUkCifzRFtLeaGvrtJ8yghOb2LS5RvP6pLK
L+fiYGu8TZ5TJfY5SZL6yZiJHCBK8COP01tybPubhPiZ2DUuitCCZO6eIHUVuLhSnsmuvg/j5DsJ
G292L69MdPNXdhITT5HnKKhpvcZ5kh7NujN41K2GkNVseJJKUVx0XJObGG/fRseutCceMvsQsI3O
sMvw90358rNJq8wrRT7uKjD2pyyBxo7ni+WuVRFBpCXd6FpDvd0hYN8jG542aZzzPkkSeQyd6N5m
dtRNPKbmfoqZkxluCCfSionPm+dxi/3R2qmFeF9GgzwALPOQT8rJjzCAk6XQLCd3UOK7GQ/Et4QE
BtT3cPivBqtortswORpRdosHqC53RLUn+8hYLrjn4Ds7mOI4lcbfLbA4ByLr0pfITGZCeNvmh5sV
5o+Jn+2YLe6tNqR4SZ1xejdTxXmba1iDAH1OfJHFxsGnr3DsAITtuENLrAWwY/P7wk6+cxLhyFdJ
jkbQLZ4qCKV3WLXyp3YuGNNZSxA3aBkivIO3CmSghAakq7fkzVvYfU3YO26x6+rpG4i9x7AwiBYA
7Ce2LANXg8w+OMIirEgA5ErFzj01zqOYd1vqb3WcEJPUK3r7hPyBUMJSCznv4ggXe7I17YQGtpR3
TD/AJbZjrjg+IT9GQHtUeSUKqjxTfmSrYbyk74kT18QhWPevNmEQB3fBAN8p/RCgxK/OOpEeXmuk
6LD0BErfBig587m0pRemYaN6rEs2KfSSLAMJmdXvoNFHelZrEiR0o5qexzod1qqOhnQNsH01IliQ
SADqvsk+6e8GXW/uV8fZnV7HLXO81IEiTiAlISg0SIuIKYwmVswAi1blmtM1oUXLZZBtf4yzvPZJ
k8oeK0N7QsDPI0Y0DTPDSRyhRk9v3A/Ehoslqx/gJ+mxznH/M+L/NBNb2YpHGzMjVrBIZ4UcIqZS
hCjerLRvkttWovZwp/fmTjomXnOXqJwoBC2WDpuWyYhswjsls9mJq3DbdyMAXzd/tOaciR3BfftZ
KIe2nf3c/E6mmaeott8Zg5cly7uqo5cnbiaOE4OpsRvO10lehWeHdOztkI6BoQ1vDuZ9YjpYKLZ6
okAKoFw8iap3bwqgpquRLCTIM2YcQgTVGxx3xZujvl4f34spe99lBp6ODCl0txt8orvMR0PriQsa
R3Ehfh5LdYaVs7ShjNLL3WnwRG+HVIODwetUsPhP8j61hb5zUsO9iaOyfQMtAJGhZ5sJc+LGewLM
oY+nTgCBE6OpoPqLuppoCHe0flh2+z7n9vKYy37k5hSNX6t0cM3ZjHfUXi076JoI2VCktVKjt7fk
92aW2fsE/INHqJZP5kjv27H2DkfuyRWMlRqUyFc4BgzyBCSrehVOrzlnZ2i/Ptyf75BGzxHyVj20
WSUxXW7WBuFTwm+84nRBOLMJlT8GeHhgNUcClvQ68tUwGUFQ5Gn0XbbZm80h8VovtF1aT+ZZkMVw
Z9br0MrQ4xsNfs+rbIbhVCpD9RhZubgesTgfrHwuPbDa2rYeJ8OXeZd+DKUb7gY4N8wshXgco5zx
KY5e5yfRTYJX1ZSWr9eUs1UVoaYiwp7xeGYN13N0BP1VeWXhm6M9sutZhyK0kh3RAflNBGH4uFR6
c5jaDgpIm0bXqjP0xS5Zinpn673iaVHY70x22KDUk9t+gRFnkvdwNS5y2UizmmFODFr1SIRgW21x
nvcISeOZFkgag8jdGcQTp8x9TFQGSop1iBgp8mqAqDM1PyfOImkPAyfyom6Rfg87CguocMIgpZ/y
MyNB7AB/icm56I5NlIgTTHCsj00yH7J4Loj0rvtg6W39WToa0z4KYfKN9AqvOsklDHoKCTANNXSy
6+0GmARno3Yz5GZ4jnq8OJT3KZlQehJqx8ZAxUY2iSHAtQ/EBJLkrlCc6XPE3Gl9zpNqrr81E/lO
tdn5hFpXL2OXGzwfczIWNGkpilWVxAyqKA0RmRJrHmaV8FTwojEzyxpD5eRBmHQzlS2Q6XF0odfb
rvLg0hhZsFLbEciQuXQ2+JTEAQdYN27ydqo3Rr30zyN5VFvpCCgehgUREntYDx2beCGdC63E4iXN
UWOhswu5carzpHUtY+m4IiSAzFka4ZE6bSF5ZHdTKgpfcUJ7H5VL5amzgckKyr7gly+AgtSkbtRz
ImuwbNn8kI9EXVsiLa5Z/yO43RRysH5U4kmK5Bqyb4KT12zedKw/BLamWfVTV9rlDYxxRPwoiKqp
kg/IARr0uC7zefgXV7bRUc3pqaZv9VCKKxItzGW2zsASoo3ImuIKImFzTMs6f9A5BrAwcahjAyHf
RvABRiR637g7zLtjmj+AlQEDkvi4r2vbPIdtj15GNRkYd/A83T4xD6Y2LEFfYHqCB2yV13Of6Icp
7ruNqCN32zEZ2wE2H44am/NRgsvzc4j3ngPe5zQqTrRVxjUMpXVQMrLz7YqwEQFxXvKQmoayi1Oy
YrYMboqXdiZzPq2dxesdTMqLpc1ebRfzgT9iQ1UbDi1+O2baszUyOwZVk96p0n0veH43OhpD+Ayk
unRMP5UOqS3OS2agkeRYFE8AVovOmK9j5LrbuBoBDmWKchosr27vl1jcjQ0hgW1qogHUbjgwfOvd
72KKGHi2/tCP7uoWpMbVkk2ijncVJz5s9aN7dGNhM9w0koDnAwgqHvAXPigQ/hLmTFc9K2MC2E2m
3ZuVGT/GND4NtHHB4hGfBdbIdcRlkhN+o7Am0sqOf8LX451Ua2tr9DoHBncA3JsWzxNEuPNk9E9u
q+i7rAc36RbhpcntfsvxPr9qhFGyAuVw0qDTrKFesXnB92cDewk9YObTYzdjhw6dFFKlqvAQT3ZI
dQj6oYThrFD1tih7CEJDyFNq5Ql9KCjeDHx0ad43CzEfTDUXX2rm6xDGzgsLYXYYk+wbBHRBaKWy
Ik3SRFOegKksOwI4TZ+fHtOa3uKTC7OHceCEyNJGgzF1O84KHOg3OhXSXRWGyrTRlnBkVk2aiB+5
aprupDrYhH5UIYpgK/X5i3JFIt8n6fIxO2Q3xEpHmGiZMt7DJo7I2eS8I+0nQfIImFozTBEZp/17
OmiEj2idmZPaI3ainvYRgsTNoE/KlQ0y8k53B05FTehcJAcjp+8uSVbkMC6TlgFLYu3l3Ft7qzPQ
sDAlHG1Z44DkdCSI+UALh0nWpMCU3ZUr3Y+0dyyKH6A2RU5GlaKfRILoG8yjC7hdPvamct8o4BF0
SWBarLWvHYHQBw6VPK8mP4d03XwjB2s4EG1J0lzKhjRGV6GmGceBfM5rbcq/LQa+UVvAxugGDqAc
XtRtD9FvkAmsmyZCr9uuMBTOnU6CLIe+kgYoCjg8ZM80Knx0fF5tzhQ8eJ4oQLj60GpvSQdhVAU9
m5rS2ZVjsoU6i8RqgPLv0lfa8esJKmJya52hIF3LIeawypdbrS/vpSYDgg8jOurI+0UK2F8aWr3X
IuPMfgvXPLzP9HeFYDvfUM1535IR+j5FdIlocx3zwf4GxOjUUa5LTcv9sWEzrjLtnr2ive7zviYv
pqJNgRwm6kfmf6G+BHZYIuwLoy0C6f3QMD8t3d0MHKsAXXDos4E+7Eiwt6ax4IBsDWL6fQSswCcg
B8i8bSwDQ3UYznt3rGfPStvn0TX76xbwLsJ558U1WFVKwr6Auy/bNAsvWBr0Qx3mzXZeImYDRfs4
FukeEDQ5gmtkr2PvEIxxUuV7+Ri2l2PZyhehlc0tcIaHjuRWxGcVdezodj7sjuEqp1+wXUzl0Buy
DTiiN6hziOIOjQaatRFZaITWmAy4CDuwMrfMlG3WUkV75/j2btmosPSx0JkoIP/Q28XLZBhuIlow
BmU04POa9ykCpC0GBI2JROkRAwrfKmzPDD7UQFvpDVWsJieCvq4zklyES3jjpmGiniVJ5KWGRUY7
HDAso+njFIorMr7Ug9OgYoGRui7EDUd6a548mIlrQgyW9k1DxsVbJBJ3S67Ffa1Pb50gT6Io3GaT
leQRRRGikqSe5AYHSJA0XRNIC3pxXUL7bTXlTrfkMZKYc0PLyOCFRocop6OnZgQipDXV6zzJg1VV
M3GZoIfZeK6NwrmoFNbuMHtpp0kI/tlpLMvnvtHSA6bqZG8RCnjWnILHpt+NrChXemghreE5KQ9i
4imPi9D15865pfBQd1bvziz9xJSBRUO+5x6nWbCMVBwwe15QiFv9z5ii7Iczxx8iqSxiEWb83uTN
bViiFpZeZ76WUsCD5+Wknkp82TPrit3uzhxWtGoPFwk3+l1B3oObIAzSUxkserE6mZGPNNpZVWpo
tpbfCMX66ZDaZCShn9XLazNSTiQDB4ylMACZ07BAMJk0vmIZLySUR/i9B9JslnAr9PxcD/GHzaa4
6QX3zaYke9EKbvxA4o2VmwD6h+G2mtITdq+9UecNCg88MN0EVAzkTB3Db43ssnwwsiL2J2M6tVHr
sHHM436ZxZvMrGMRdmctBFXNc0Vi0Q8CahNiNHkCSalQHFzxWgPwc7XFdyezt2yvwSd0WmLrdhr4
uYgp24UEA+6WovCh8y+72K7ZarM04shZ7vRwn1jFQ2K5AQRanWWIcx9pn2SyTB3o2I3uzuLRisVP
E3fpOZ5XlVRsir0SW82ZQSBRpe03VQ4vitHhhE+FZzbyu00c1b4mFoOYEzSd+oJzIR5rwmSMsXxn
nwWZZWbbUYjmkJXT67TYtRd3U+k18kdj6GDnpiua0Bs7yz/6dnrRU9PCReJGIENjcUibKL0kY0yS
jdTNBwKDoyvFMHhajGelT9+gwGH5hnVYLP1B1tFHVhWQ8KU6nceZ7Ewopfme/jdlCyQce4CTpp7G
ns1kamdieuHxLKAKCnSdMShQN87gmXdoTV0imve6aamvCbMGZ9LNXV+H7UGQ7TwpP2DXtjz/crox
dHs3ao2vZz/n5alXX4dK9xL2RoKqSo98zB+zWe6dOqeA7Mr0xlraHOqF2m6srhhoYcXPbZozFlMs
LC3L2WY1f1AVwkZKoeTf4351txJ8erT1ZrmlnckAXCF9LVYbopdqpTxSjoZnUK2bRIEQloZXnWKN
/qDL5JLbEbCKdnocQyp0E5IhdtKt2TO2dialQUETEnlYkBKXtrtqUeKTkREAy+1HMt2bh7A3+KBV
XD407sRKVVv9S6+8mO6w1zFOUlZZqOeQhllFmHqzoTX3RkEzbXT0Y6QtsNudmKSc9MNSkl2YRScV
S33fD9/LsLoibSLcczz67jKH0SswGGQcnIjb8XMXYVm9pGiEaxoc1k7JiXpIIdwZarwcMfY7zKVz
QfaL6pNcqJ3iySTwW6uN55lCaUNYJ5EYY0FYctyi3V3U5RKFlXMgnLHec5zKKbQRGelDqgQJEwN0
zXlJ99ZC1u46xg+yxrbEbm+1afoQNh8HLc30mvGycwBJt8tIoKF5sBIewmrT5X6fZMSX4wBixzWR
wCb2a511UHj5m73VH6Mxni8Lk6J9PWjoT5EVQkxTZzoqtMV16l+e9/6mX4FHbnrfkI3gNWVUfCMp
krB2hd7XeNdDr/ZEOLIrN+1jSdWUzNTNTSPJbIZZepwGxhalQ17lkNgfU04Sp0UpMastMea2NE+N
xU5FE6w5GXO5i8Z+3lgVDQRp8yLAgjxJGrOCXS+pMFzZi6WyM5aVsYU/Oa4h2zqUd7IUUDvR/qsv
09I0pww5HH2TkUVloDu3CaP2QoP0Z1WXzVYJJQuvRuW3W1AcXncDWjMYDwoZN2yTuLujw+x0jUex
9mD3ijh0SiEPigJJdFNr1D2G5ozeFI/dxiLW9NLKoScQK3V5r0uT4J4oBdggSft9JCwJVkMP676i
nAoGO7VAa0srjmHj9eUlRJYDi9pEQqBi5vTTmaOzJrMZGKLm3qT03t8VVVZUd06rkCFbQBFBDUfI
Q6W+GVV/VgrLC8FfBW4r4mdY67oHRuX/sHcmO3IjXZZ+lUKtiwIH47Tojc9zzOOGCClCnEnjPKz6
Nfr1+knqY0iZGRHKlEooNNBVKPz4gUylwsOdTppdu/ec7+A86Itm1Yoi2uoYL/Ap8ysGrb2q2Zdf
+HILiFcOMlzbaQleiSP1Tkkq9TmgtpEo6ZLgJS8CaMoNHTGnaSSBSm78xayEeggSW30qw9FaW1nd
3ed2D+6L3jO590ZO1qlMdoFFc7+AYEc7NDQedCG0Iy0hcx2VFJoNC+GZ54Y36ViTBR672UVQ6dbn
Vq1gtbucExamS1oxKUvBbR3lE9g6agG/F2l8BH0OCKKvinmkmeFx6Bp539iju+uU1FvRnaqoapN6
YRDydMzIzUFrmD35RXku4HsR20AvqTILZRtUkX3ihsC66jJP4AtToUnmptw3YWo+6PkA8SMw/e62
d6No16RCo8/kibOBXAk0vm6n7tx8FHsz1sYr+HPhwUoIbArSrCaWtNf9Mxu0855QO2tdJw4hTnbp
3HVEOzy3ZgV4w3PyVe5Zw7IrVYLDx0jMNKNhW+zGBWGt2qWIiUbRdQlIRTeHg2uq+T4PR++51Gmd
0APKfM2ij0gQruKl2XNn08gWwEQWcqxuakVTWW6gFj03YY6FItS8Na3SSVt3SxqL8mT3tcfJyMJa
Q9zdBflT/gLXADO5LEwIx46iuVW55b7yqp4tjOIiJiiYhwd4IkyyHkEzdRE1XqF750QJdBsVRsJe
8xt7PvQoYbXSTr5ILsBuzBi90mKoMbG0+QQSiOPLkhP+8t8ED3JJakQ+H6PWJtfSRVY+ViZ9TbCP
ho/kJFH8gCVGlOevGoTf0mGcyZfsqi5fXurjk/xvI8dARgF1C0nLP0M3vkOqr4IwzuunDO7Xn//4
I6f6z9f7C/xFvgygLt3m4RWTEPkP8BdIMMdEjmXbmnDekaqNT47jCtXRNM38Afxlq7oKgFJYwuCn
7d+RbHy0oE2kasF6orrM5Q1KIsN+r5iydIjwfhaON0qh3YlB38Gsv4hKDVl9ksKrNPaaw0bInAAy
ob0kOPgFfM0VT+RtY5hHbcL7RBXWK+UYjsGlN7ZTu37eZR2wzPA2zkfOoEAnV5YXbYCL9TCwJqhV
7uPBGq6GMr5wu+wWxACT7OHRIfEUkOE1w1BMTxZhp+5I0pVrUgLm+QuZXnhtI0mSRe1eG5F2RfD4
MiQLdEronOVFqcG6sr4iryP71Tj0uk2MjH2d28o1wpkzL6XPR+xKQZZT4yibsk8fUjwJWY46mzBu
klh1lBikZ72UoHRnkgIAWirGXZHBuDRDu5ihBth1LbE8bT485hkToqCPHxS0xZwBUyK8BxifWn+F
ToXBn2a2cxNpY9fSyvaN/Nbp1IDXdc4Ef1pNUQyxXiNRwa+mVasutW8rrffnAVv6EsfUSghv40pe
qiorY9aJ7spn3gOBSt+5g/dV7zDma1wVpU28metybXs8XZRfTTEH8YNhgQpJLdExxzF7QVEr7bqN
0gvA3+asIEChH4pbfhbjoWNvBosU1iEHskSzkIvMHzvCPgEWS5fEUJPAEhXFPHWKlyjhrZP7mczb
IIV8K6C/9lOOQFLyTYxVcRv5411neMtBVc7waO2TCMtANhaXSqd+MXNIRw4CjJmmaybc2/JSa6xr
1SVNkfFeN7xgsTsP/fCBTBNtXlXZi18UtKCcFa3wgSZf+jKmJQ12R+QzFO41JWgE1DEhUllWRNER
5HmHfuYwRP2j2fiQY+xTYisuiQzK1yao1kk+XvkC91E1VBKKE3Uu/ZyNUMgDkkWCDNUDSBcVl4Wm
MPJV7xAj3MYawm87v03U+sIbGzIcskstJ2Gjy9NbbxyudDfxKUrGq3AKbyXmdTGGnLGSISJsjNyv
uRXgfWt18751SjKFPW+jIpMyA3FwSTWaeRUx8EVUvsQa33Cp75UgvmgZ+eBtpBMWbMBj7JqifCEF
dRM7GqO09KiF01fgOSQfEunltOXSrohmdVqT4NV6TW7G2io4GtZkTzSNd2YgkZ/zjD2Qtrbm7c16
c/iqa7SCdWVDaNVGlcT3VtGDJ9VHCoelg2mm6ZILqHwAYTvYuUrjXhed+OJKDTejuZV1+vrWOvTL
map8jQOxsxN7KxUujui0g3CDz4NqXmuGtkeV4S+Y0e8SNd4QO3JZxf2VWigbM0qpKbkrFBF8DhR5
qer9Y945X1tsEl1h7FSdTNthfIxyaxubw2OXpS+91PediQj/zSJ//k2e/JYZ9IGo831tNE0dgj87
hK19WBtBIYVUNf14k03YLnRp95EGRtDJokXKebXrccLY1opZzsGvq/soJUaaKe0v3sV7B8C3d0Em
gemamm1qKOzer9ApcJiiKEuVd8EYziDjZCZjc1OQRuXT4SAR9iqS6WMKXlcO6H1K40L3Qwij6fL3
a4B/FFq+xXn+l5Jj2qqDLodd+Z/3/+NT8jQ8Afssw+T//u//w7SWf0Np8vT8RC2wefqcp09/EECr
t8rNP1/7r1qATd3U2bddwiHeQ0BRTUKbhEVgiFeN5h8Q0In0qTIRcM1vSRd8/3/IN41PhqXyiraj
u6bD4fZ3aoH3Gm3bRRtPGUI1ZOkWytKPDojBjctEz9TyxvKQERbqPhXT9Mha5Oo08LdWcSrXUT78
ClfxwQTx7RdPelaeM+Eazg8UIlfTi7o26huQycsS7UBNEGjoxrQO2INULV0qXcUscmyPkJ84Obeg
KlFQ0vkG8EdtsJ7iXypR7URvEQ+TPkbjsAwwSmV6exkxk0yYnvjkEnWFPO/yz1pqrknomFu+eZEm
8XUuPwf45a0iPYh8XFapdU3Y29G1WFJc7NBxn0P6w3sz9msjsh7sGka0KdxrtUYSRmpuSec9+hwI
uVar5OSO2N5F+MT8s9m2pXPtp3gDS/mAW+dGCFw1JIUnYfgcsNHEAbFdZX/ZWg32YqTr86h0Tl1i
X4flcDm9JFPVbQtNE55wt41L56xzSWDPdC9YCRpMk8qxr7lYcbWaNOB9o+xQYS5q8k6W+BgPmep9
GSTxClmXbTIleg6CJlrFMZpxu5P3ructpTE+9gP1QBUowUrtibsf26VuGTcTKZQYKMCjRqnM0cKd
moKxMsIz5lWopyAo0GPHo51UO4nFIRMpzWbAsXhtUaoukdz8ykrw3t/1ervoqg3XzqTysH7wFBRV
kTY9WfY3MFaZ8Jn7wKxWbjGAfTEvBq+JkL52Z2T3XrdIzAI3WQpi31ExnUI2XqiFV7K2mXX1U/hn
de8n/W1CBkqdy3WgmBtcrQsSk5aBRkZrKDY2M4ixlusQtPlQGMhncvBJVnGOTOQ2raj+Ar72yDpA
6bjXvAb5njdr8P4VpOYpzENp0sZLIl6WWMUWEEqBJGnNpWpON7hjLEPfCSFntvMkwRYRgMAi8cKm
C07H6lBUbNitkj4yV5ynDdMUDRBlM8iHxCx3YxufbN3ckBh/4VrpearbBwInz3yjP5NFcUVM2CJJ
lH0Ri5sgxIno6jctbS2NegQR8LnNY9IH4hTr5coW/bH1v0DtW1hpeu5L3ist7AQCdqFxh2j1ykjS
rZM1O27QQzB6uzdL6t/tturHjY41RNeMSaCOJdIAb/x+o2vjskyzzqpuStW9Rox7HakwKBNnNTTl
fakCn+00cJ+9uZR1dKw7bNFlfum161xkZED1ZxGCnbKI0JG4jKXo10UMzqV+lMxEu0yeE9p5LYZm
ESb2QY5AIAxroSZMZRSt35dFsTWnrA1Qu2mfbQcK99rulpWs7zxWwspDSGOIdcbzFtnDPoxBwRNP
zXRsB9xuwVDss0dcQtda+D2DCM9cd1uitpWNwTsCjBGmxFo2i7iuV5TYa4NRl06lTwoHmbYtlTlZ
LP106aGdt9lmMJujdNt5Ly2e4XhpswrldQY2qDr6RnuWGoyEMTando8JY+SwUKH87o6pq69JDxnn
NQoYCOxouSJML0RyFrck4Z15ndzk8bPr2JCIOTf09kx1vpQ6H0EHm1uWu6aSG1z559HEE+Y4tZUG
Kz+dzJ9/4x+IZd+eZA2WkjYZGWxN/+CRonZKLRIWqxuu9bGpWVJ8c+0P5rwS2abAMuZ25sbx/AuI
r+fSdpdKJNcoCRdKz2Xk5oAG8QBJd+mKkCkQiQESQDRF9qoUYsMUDa1ifHLSZtHnzV3lgEJDMFV4
4ZfpKdF5bjk0rkqrnXuDu7Vy51S67i+KSAqJN863b5/R4IQPihNs5jfHxBtHhEDTZlvxWN8EdHEJ
M5DrTm8WA2MsVBXRL9bGVyjPXz67779NmCbMcBODqPHxESImWZEdW6nI6x3I35U9sxcG53Hb39eF
eUMgEbW3eSC3c95n/kxtaN1paB04PGTfysV/BO5N7PR3H53WwvSBHQ3cqEp744NtyDCx4Rtd2910
HIRGJnyKi5dy2lSLzILVYsHipspIxLq0xaaVctPVJvxec5XyPKFUW1i5dYpq41SD/We93gWNfcjh
9iLnOI8yf1+wouptts3dhpTm/NzU3fPQLO/E6O/R1gLT0G9Spb2cxjUo9Zq7tIlOBqELZWIcyoKO
IOq8NC3WLfZkZ2jQMJoLIw5fKnZt3erP0MDtC0qg1MmuAEoT4OMPJWHVBTJJb7jV+Dtk0ssHnzgs
wV+YKQnrvK5cV6p16I1gzxi5+8WX/MFjQ8fG0oVjAIzHX2Par1bsN3eU1BDjBAGXFW3WpmQXNxLv
fyr95//1r5rLAvPPVf45VX7ztnp//fvfK3dDfLIRFgsV+6SmQp35s4tnaJ80XaVkttm3XNWiPP9e
uTufQOWqyHqpzA2S6ng+vhfu+icXLxZ/TOSA7pj8hd8p3N+bPXnooenSXbS4uwlaMj7C0JgW4rXJ
bdreYVojGyN/LRAOiesaafCtHOqZNIalCI3vB8J/fMK5fO8ecBozE8hXM13H5GN+/MWq9Dk0aF15
cAI20dYC5GEoerbRAIbP33wVf1MdfLzpX3+VS8vMtFwq+o9ryWQDGZouKw+5RwEV16216k2Uq7/4
Le99o9Ol5HCmmq/hgSqumeltvHm2Qh+7joq2+OBYSD3VEhZgpZoJom6r3dUo40iNTzR9WZe9s6xR
LbCKWxRsc9509xT2gYZ1pbKsxagXSBJGism5peXIxPXR1s9kTzrezBdW+Czd+MT91tCPrIfhRmuH
6i5uiw4eeKAgnOeIY46Fi5C+j9oT2HsmKW4fDJdRqus3oumKh9rX7L0f4DNAO35RZmR16W3f+DC3
1CKbeUbaP7ojgU6/2NL+5rtgtseOprG+C83+0BahTZTqWqfWh7izG8REeYo3v09/8Y3/sHFSGfD0
cHvxf6F+xJpa4NL9qnOqgzkGty3D04YCppNroterxc+/dvvvPpEwkENN50+XJ/L9115RrocmEoGD
N4ScDFRCTFPc2gbcj3nSfPGjlQTx4sbEoEJLYbi8ImsXCwSp8+jHnfJcb8jAiLYhpgBfEcugc9ap
ewapf9bpJxO1Z4zWGPj1wkxvHTNl5IdgZmwRVxy0ErPDTq1pWl56iDkC9VGEd7gnEVAnnCBGesG2
ukTTu4yMkv5rs1JoJUfjmrQh7r67yjvjVH4BKG7uegfckrM+uhisF6++HcZoT7hs3tSrRNt5nCGk
dkrtKe5qZThE/bTQcKwnG5ugI/VN1lyW+Mx+fnGnUcrHVcJguKA7qk0pIMwPDukmZNqdMz9m5w41
pu3ZCjm0uori7IV5y6Tk0MKDHkQJpkR4Y0HdBtdaHJ9wkGD78nBQpYFn7fMyJWPYU2da3dxrOjWz
eMGqBl8oEkwBWyRnUaWGEyIC4UGE+VIJk2UdGNj9K9xdBPk+J9IEO2yb7Z5AB/toCdoKGYMPFC1J
RmSYJbdxHxIVkGbDWqeI3v78WpDK8jfXwrVZp6ehi+1MJdOb9SWOdFUyq64PZgUg0/ZC9FmWOexG
OdLJyIz2q0uqFiYqcsCiNjXufRioW1JUVEyBrkVAEZIyYqexWpPIiLgI47WmknqREYA991hoJpkE
r9zE6VKI+FdfpvY3C6RBEi6EeLLb2MGmp/bNB1CawAxqDGaHFIcg+l+/mFe+y9hWDmJZOWRNJc6A
psnBuSWx+9qRPnyzhP/OrkO8Kss0Gw5ztVfo7Ju30GWiRRJHTLTi9KxyJMrtlXg01w4U0F+sQX+z
wdGqAyPA+kO59XE7yERQEJZIArc7naN6MWjMVWL1AXpi8IvH5MfSnfXO1gXTPpty2X5do958LDK4
ncok4fOQSLU+pQ4RXajrjYuurbs9F4NQyWCEidbhYAw0VS4LvaxWppIPGzsoTJTrOefJOqpOZZLq
h5/fuB/4PtPGyNSRlouqUmdQgE73xZt359v52FWOVhz80tOXVWAhZyPMDdIgYxraHJxFbd9xwF8Z
914RGnRBIm+D8qRbZdokgEi6EWUIovBkbNWTbxLS+PO3+GMVRENVV2kJ0c3lsPWBaiI8P7B0lIqH
nOTvyyl/dxnEfYLiqITuPJBDHVWjddAMjtA//80/7B6CAoi7caoXaKCa00P/5toQJ6o1NsGm+yGu
nKU9xMwAG8f73V1XUOBRUPI/zaJG+XCakq0r26KPxD5VS0Cbaci1h3K5+vln+WHXJTTCZZ1WMcFP
y/WHxRo7iDUmQzvu0wHCoSxL9GWqNqOQLRZKZ377bb+lKviPTRR+qj14R4ao3sWHvfuX5Stm4aJ5
oXP6QvRP/QfsYIIw/Ef/43dYw/UggTV8yRsAMryaH+bZ27MDY/mfHDXmT0OKjuCbeKD6+HPfjhyK
7XLkAChiUpW8Cge4r74pBxSHoA7OHKqgaW7SsJ+OI39kePBTpmVbLosjvB2GDX+eOjT3Ez1fh5as
TSeCDVn7nVPHawH2V68BjKVGIIhNV8Oa3gU18/vbPoPMjasCnmwbxjX5lX6Ov41u56jZK3ZcEh0N
LXzgmXlmeOif28QHr8uRlm2hjdRRLQYOnwR5Fc/GzCdayCBo1yFfMB2980q0gPfaaNtY7QMzQu2L
i6x1a/VI4t5c+L85WOjTHf3xYzg6KoypzKRL86H2C4okDklkVOkbwRvx4xtbDnKmkxOK57mHDTAM
wzooBlTrdIyQ+GLgM+a5n4OijcvwLNdHuUbOZB0KFEM7VfUp5ZysN2da0jZXpRPLy36Ud2oS/WLd
+dA/4xvQSV1kOeA+MKxpCXr/DQAkDQuf6daq0lUrWGqivHYqv3/IRdHKuVtiCLF6mZPkKLJLWXQ3
AabxI1Ko5hSmGSQFYaBqbdVUEorMY4+c3vXQ6lkN5QZxTS/krYL4DeqHganiNlWD9olIbizHDuOT
i9qBMaTgTiMoS7W3pZvrNnlUgcd0hvzdSZYpV0MQ3qlWAnGOo4RHXBpOTXdmhHX0+fWL/H+xlrQv
Zd2UL/+CjKn6l1WTPT/heM0+Kpr+P1xVbEhhNH7e3OHTyvUOH3MdpnmpHF6q+uXtuvLnT37vZ+j2
J4OTlcYC4TiONQ2Vv6uSdPGJ++mvRYfn4fvSojiEANGoZYfTbZUaZYq9/97RUNwpOsg0VO5EjWLk
N2eRvN67x9Jy0CNxutRNJgIGb9L6sBFFnSVNMapyT1VGWDCuS3c1+CS49wrpeZFE5xJKcj1l5MRL
zxbldsS/eqd6I341DAbuKssdlXxaL3juBMRLN9a9r60yxECHLYgvmsySbCaDpKVTngbBeR2V3i60
GLZz8NfJWXaz8Zg18DPIdq6C89y2oVlmtvXFirz01CiNPk+psZeoB5KV3pTzrg6aWSJEeWEaSQ9l
JPxSdg1xamZD7G3mGvmT2fEuvDwgNxSpPSFrhZGnxJ1YPn8CwdArl2BYx7NuGK3nEGnCy+t7qbB2
e3CaTSJEgaXLeRKo48Vg8k9934YXuV0o10XVq1vmSzGv6jSGWHp+A9ehTP0cenM4Hu3azg+jbfck
kpctgcGNxofLUb3PU2yZ94YkjlClDw4GTsFRCLYEWy+KnWPURqhqRRQPq6jHS0MzA0gAxPbLMS6t
g1/V6XWN4vshNHPvQeu1nqhZcpV7bI546851T45HRxAK7EaYO0fhY1JPzaxZImonhsznSwSA4c4s
mfe7KGygNrdZVtxpOk54pdK967q36W51oPM2A2hAdEMtY0w6HTGmki7GZZe24pYzbnDexUA5ZmTR
Y11nrlXdydQxHyOp2ptK8k0HfVtda5qn3LUI2zf2WLnbuPWzJZwHY6viOtzZVc96jyBJYvl8NEH0
PYdDZOqIZozqrLdAlOvCfVANtT/1eByYUYnuzM4Qr8IqUiCxO+m5UPPg2YkHoIJqp7MVavF53zfe
Q9fERjOzpj3FZ3K6oOVIwqv3ypVuVwRhBKc+jJzjyMn5vvdr9b4IguEGjoZ1rrbAOEqHvyJiEd+2
IzqqxsN56tiTuAel1zLvNIVxEK5dQmOdtUgGHC8R7YZBseKl25ftDR30szCS1WJg1LQM8954Clri
eZPAq0mrqsiBqyqeh8y1iHsuYvoTmpfKB0K8GckTbXI0peafp3HjP47Q49fdFI2s1zybGP9B6I9l
fGQuGR8NYhwvEnyPuyHMOa2OdbgWARTd2jSYLVqNufdJnV9XKckwiRtAP44yddFRhc7bzs6uLI61
q0FvSAZo7PI80E1ctiHJ5lPyuDsl24WjOxwNfUi/TpHIJ6segqPHEesZbzuJl3HfzqsoUjdhHCKL
HmIGH4MhbpMhhGwxKlay6pLaj+Z+UmJACPyyKRZU2Tm8pApKLB00PnxLDEjcYQFL8A4ZQAJijACO
7h0xBNkEZgpGFhog9RB9107pNYdA9Ca+8jyR7ymfKHJk08fXaqDn9/5gB1dBE+gXddpVSPuh0gNp
8XfEd8mbvPQiinuvq3dNOTZbGdrKMTbU6ohVs7lt/UQ7FH0N1q4qxXie0wA+b8akOUh7zC6LuIXx
B1Rlg2si2NIx0Va9JCPAVAvryfSaZmcFvndjDFKb+6aAxyLTbvNmz/m7qur9meh1+WarojSxHBsq
2cfRHsHdlZYFWrwXGIlucwye0K3N0cKP05B2Xmve3vIbGhqWQf5mprX3ElAl5zSaO2YUdoRHoqf3
wAbekfd1kp1K2KBi6VdpZEf3agUwyWACiI9Ajls8IAihbcmE1k1z9xf9BmFNDc2/SkSH1r7FTA3t
FaIdwShr+rBvDnhCh+7RGhK9O9LKOycTrJohWYtf+3FsHoPpGpZVAVnDer2603UepiueTdc+mL4F
WVbWJlR0vplRyS51KsOD6KF7xn2knvdsS8fWIJV0NiCuJ0vSxDhXTF+7PsD8VUjD3ImhjZOZnG6Q
cbpVqummaabbJ5xupGC6pUgty+9hWcXXtDW449CG5Ptmug39gRuSBazZVVoNeyweIzLmuXEl7ebj
oHqMrmpwkWFtnyN5iyQBm7F4dgudhVmXLIigfhdZr6kLsBzNvEiHozXWKhgB0kYhdncVkIYqW5UI
e01YMjzRwE+2jWqfuahHsn3Guo9gdZFZyZ4eZ4w3ZnxSTFLO2Few/USXkXFfAuqt5VcoYEr/6LOb
WvgTidGdp8c0uMzKp6y/KYxs2adbPT+L+s+uI2dGcsKlPJOCEd+9Rrhe42oAJPbhndsyv6ZFz6Yq
Z4k8ZNh8YNY8IRMq/RhtMVgR+9rCf1eHZ3jCLDVl72zaz4SAhN48MsNtnK4wqmT63rarS/+ztDch
sw4SLWBspVgRHpTkDmONUGG8mDNJ2k268twvjr4ZPtvcMl141rgrZzgOWkJAQzpLcB3RIVkZXOPE
cJcoPJ3grlbJlI/8eZV0cxNCqZP5w4x4+m0oJCNGVZ88Q6e0hYfUmbu2MPasXcsYL4mfxXMr04jx
uDQD1ChVj6lEI4GipA1JTI0CnkvEurKou06FNRDUd7TQ5ZIwRS6dox2UNkXCrYCkpjjRKAeyV4d6
N9NtnD6jOKXliFnFBU0/APDysv7eNdtDk4yLilqr9n3C1rnRnVAcXY6DkQnkLpzEQg+WwUg01I2v
Y9fd42b+kgzqgqrnWR/dkMzS6xQOWFNmNwVirb6o9h0wybTOd51sTIdcj3ut2fRZfkpEyWoXqmcG
UwHYMuZVIZqNzaypT69GfzVmeyE+jw05X0O344wC6yeaawS9NQRtEX2ECdfry4FhQpcR+qUHJGPp
Q4nlMjRZy5HgmAUJJk4a4qKOjCWe+4r5jHdegoLwnOGk5v068n366+7nmLTrLkP53AzKptPA7xH/
pC/9zL5KcE47JJClu95+qnK+FjEfnM+gNogd0xHQOcYh71Zt9CU30J2gOrclTz2UiSw66vpszGpG
8cFygJIBqegsq2Yput/Yxp2TLrpUWzicNpU7GsazrBgWdZORDXsh8xV3mSrDrV4+oNX3kkczE3dm
bUI0UMFvnCr1wcf0WDgUs+ne9q5Mg+w0xFKxvkirXQgjtrYnDUbRtuRvlrMCppwkOcEHUuzv8SYF
w3nprvW7QHfmPmzoxMesFm59ZhbNxNpveEp4UiKkG/Xd6C57C/SUUs9q7czpo2VTWHO7fAZuJJKj
cTNo5wTYzkr8UaDTo2cAa+MLep45Jua6l/OsPVRATPTzRB+PsjjxBJpVvcndRzfe6+HZq9m2w22X
EZijbfTo0knjg6Fi0Oy7eQTeyYJTzQF2XnbHOJDLEZtMeCHIfTDVhsyXcmV0JEMtvaHfGpgyW8Yi
o46FT1uVVJ9jUS1t404mJ2Gma7X5Wo85/5FEvPzRZzg3Ij3PcUN3oEtIS+X9YqeqL2BsLlpuE1+x
ZyHuM6fYOf6JQh2mTPI58K/N8hy3+R4fclnitDWACKRfZTLOg4S6FxNaki3rtlmMY3yL4X1uQsGS
/UJLgouGvBrgesWzjz/eD/aIc5RK22TuSRDslsB94aQiN6U/lSvaLHBoOiACw/JQh4jOKMmJz4FW
MjPsg90/MMab4avfDqqzoQu11HxQFx3Wy68i1mZ2vZLqts6KpR48FdGjWk8GyeXPywQOhz9urZzz
6HqDCrDoYXC2fbu1Yn+QvqHlyb7Pp+FXBB10IRyHGyl0C3wBnNvpxmR6nZ2VYgAjJ221fSTgzaWe
oefiG+mxVpVhJ+uQ4iL3EnvKfObiMRN31xgdKQoIOc728VQp2IBEVmplRXs1hVU0AF7BmqDlZ3UT
lps6q8Qu6NSOYaON3rKM6FhhM53BD2r3kAqGRexHF6zRtzINuUemqhjvX9nVq9B29wVt4Fkw7Ab1
Uib7sAq3TuhxBEmhycQvdv45l8Bklox5b3LAfbmd2YuGTQK/bT+FPAFxBHLmqWk166t2Y6QDgMRg
k8gAOf9Yr1MrAy2mN2N3UoHhrEZ5bWPW91H8qUclbY4WOQF4aIz7qLxQOmebAqAUcFSQ3C8051in
l/6Q7jncvuiIpozbRPcxH6CSM2WzjDklupjJg+sGuWuxZ7p7AsK+NDCriqpdNKAmrBECmZKMWwvu
3qrNAK7w+cjoXtbDzvEQSlbPY8h2rJwP4ikN6m1ueheZfcOJJ2ASjsucVK/WIr6g3KSqyyC03o+O
faXhbUlGY9YGmKuj65zBejt6j0Eu9wYpScVXa7y1h2oeu6TX25T8tMN+0Qn8IPenzKOLTVfD0GwX
n9YPAuhRNcukNIt2H9kdpcMITkUmSKWaR2qh8RhDn1uPWR8uu8oHwKQildRzGoe+pAB8fTB+q5n1
n8Eev1Pjr1/yE2jh6r9Ag+t1gfhnic6+QURRv+1rvf7At56WcD4JmmPf+lnMBWlcfWtpAUA2LVSG
NvfEH7L77y0tQ/2k8SOWy0HdtjQgyH92tHTnk4kM1ZzOL4gCaJz/TrecrtW7lc6mQcsZAnU/an0X
7YT74RAxxHYj0lKXC62rmFv6LaK1OY5qU5Rz1Q0NgKMwpUA6eWbGDlY2VtcTaqbSjmq8UtXmbe/D
+QLuxczcgXYoZlYYeDvst03I9uNh5bI423sz4idlP6fnhMe2jEC2HTkNxsWEHquyDb+p/wKagSKT
0gD3Xhk3gAmSuu13ORZ9ojtaR7tAqutfOqFDIslIgja4LCHxsOJwdhDxaYmF+lZqQOXVPI7nht1K
zvYgJba1FUJ70mTJkuQxQt5kVRIcyjAVDGuB3flk/Ipw0iqPBPshiwnmXlSV7aKjYTcsnMyrl6gl
wjN1rE9jHTunHpbTUXd9y+QDliK6iJBpPPi9YvpIu4eu3SggBemy8bKgXrxbw7HJTjJH/jGrPUEG
SpGK4XL0eut8iAvFuPLg6DTPbhMp5jLxM+DJQdYp5s7R2NNXiVVa1RK/gbcohjwc4Mt6U9kZQBY6
+cqQc2ppHV2fB2quayeGwQxmLZ+zQ2tp7iYb2YDWcRMYwUUWuPT/VN+oN1KQ23Jel4UBh8VI653h
2062iQzWuL4oMvHZwjpIsa7V+teMA/Mssd3oPEG3IunPxfEitELryoMYdGBrakH99OPAn7YlvGDp
GEQnjb38EsQkJVJs2+Le9PVuk3goHWf6IE+mMTwJi00H4xz9N6M2c6gwOxTMyR0QDw8NOsDEeTTV
N77aqHAzIr2beaHA7ciKGS6xf53ViUvftelGq11MQiN/7todtUgfV6GLQaQv97+oEt6fv6dHh5mz
TiQ9vhSEB68L99vzdw7pleFtQ58QwYSvhPANVQ9TArxzRCGxY2FJCGkyzAqQK9gQKxUYdJZZG7Mz
5D6LcvtC2rmYjY6kMwT562aYrpw+BP23hfsfxQmCVeZNr+D7e0V4O8nxkCd8HJSLGvFVnKBd9bGz
kbsAwITYkrByHL7pKOb85lpdg6pLhcct9eqRHoLaAzvWY3dpFOyz2HAyAX5RjOWM1mL3Fd+5/9Xt
Tfh7HBj+nbszW5LbaLL0E0GDfbnFjszKrJ0ieQOjSBb2fcfT94ei1L9YbJEmGxuztjFqKWZlZgCB
CHcP9+PnhIJVqI8yRKWH9mEPAMbI8+acQint1mn9opM3RLYFZWY2ol+nFeCzZYBdOZFN66u1aZwW
2n38SPc4WBLQs3D3NPChGvBtSPG7ShOErxupo/tONctrpVsg1iAUa6HLGvgKp+xJkIFdjpNgqg7S
qRQG5l+Bv16hg/9JuXybRv2ATdOMpFnAiL+PC3NpNeYlBSmdF5n2ANnU/J4DxHOBPlm4JeUYaWKC
xlRPx1AHwasvFKPxqRSn4c4QFgqFczY+xxLYoQKFQw7YtLUYHXwImyDPv3jkx6W8uVRQzqDXsewK
yJRjRfxtdVpznbY6aqnu3svT7ylPw1vydvebSZQDi04RHxyvwYOnVfcXFcDXDsQfxtYlU9fBAdM9
9WaaLKtPzWqjqSABDRnVdAeFUt5bdCpt7RME1NJVqeSRCu1Q+ds+IFjVNDMMFY1fNfAMiYX1Na4S
4YbG78oTibtPK0nly8/375sS6/EwCa4IrKiumqKivO0sM/N6rRodgSqU+nAnPRlvlF3jx3aa8B37
BivLYK7E4/s2yW5JFs2LZ2V3OqN4bwECDOcMcidZxewUnSxc+1gYPAleNlhczA310XIKkA6UEJ6M
0+RbWPivQrGfog++i7X+Ec3wv7CaaBlwCxg/rSY+fq2LT8X0F1Lh/7gZxeJppNvx/iibNn8Pxf77
6/4qMaqEXfQRKgCawLsprM2/SozKb6/NCTpEJhQRj+Twn/GYrP1GH6JoWCKxkqm/RlF/Yaa13wjP
COEoehM2sNz/TTzG3vhu25JqBblsgjB9A1sgAaQa2ZwrF+Ca5+40XJFfC8EeIK9qmxf5dPxVvZpX
3TNgPfMHh6b4k/TYE97cxvfZdfZjr74gDhbG3upXXn5LsvokO707nPKb4lMZHTRgFg7XbiNkWc65
h9CArzuSHzv4HFf39NMcFd4cqs7Ez6srB61bPBDKeV2wnuHkdrqwO8M96yCfcUZbOhJCkhMuSmZh
H23e6IuBeuqCIoC4yRP8JtRP7WNyUlzJLa5DkK32dIH2MGr91qeb4ppc58aWfMUdQ9UVLocyYGab
N8XFCLurfDJu9aC7bpfU1SPV3U/lNYvmsPWrkCZ5HxqCcDqZp+Y+vhOu5WNxsq7NpQq70xiiJOpI
3CdygZ5w0QLDQfMdMVfISS7pbQltN+pz5Jie4zvqY/b6R3UaIxQ5vZyvBbdgf428wY39p8y2HCnQ
3cyTvfhFd5hXvw3118tQPSnkG9wuoJc+hLI7GnxPvIMQ55QFTUAbnTNwZ1NQu6m/+DDJeUrQnydX
CvpQ/wAri1v5iqO7yqm4gfHLNwIYn4Llrg5nPrU8VPepvwfW/QThTWT66f3iGk4RVKeD8C+Av8Gp
g82dncyJ7fyUnvKT6Ssv0qm4K77In62PpKW4jsHt7enJSZzFJYfnzJ52Gm4WX79tItWP7dkrgjYU
fUjWwunGuI9vt5vN7VzRF13SR3bn6rf5g3hTfdnfkbkioEooqMkwZDr9VXR7T7sqVziUouKxfa69
LlpfRH90tMhwK76E0Pc8B3KYB5DMeqMneYWfX9QLbLdBjK4nwZNqZ4/GHUANRqN6HihO4e/FXX3K
XMS/gswVf1fD9kQv/e9IC7koY3KxwNw/Z/y8uWKoPlRnJZpCsgSb5JhX9UG6YyUGsZf5pdexT0Re
+zKdy2fpLvuD/cM783skiAPqGfpJDQQ/u4VI+ZLfyKfyRr80Z/MhvxjsgP4mj9JTfVLPwy/CR+UV
kP4fL/mfrf7GMy/NJDd600kXAM8eiM3VH93WRbw5RK7FbrmG3n15gQDBN9iVZdRGu6t6iAk7oys8
KRGqBF71iXqyUzokUd3Rh6PZEZ3Cfpe5mT/ZMJY66MyadhaCIY7YYX4RSqEx2vnnzDM8VpGTup0j
uYpv+FRSeN4Kq3w8q8mpCgoH5VdntAEnu1Wwhs29dkZT2NPdJEiCLMi+Vh2HgJM2OMPX/Y/qeQ7H
MzKOz2Zur2EWbLdtSFOcQ8F/Pj8IjuEI71S357UxjD+kvh6VZzUqnNhtns0PyUWOpGuS3ZispYt+
y4KM4P992h+0B4hd/PlkXCojTKL5lNyU5/0a+1Ai3mqB0tyZvBuSTSe3pcsaaA6nUW899oM/O6Yt
8foLyAfn04fS/lxjFRb2AolWd/DEEwxT9peXnM8vLnuS98aO6eTOZlcu3+QNkXZabvJwDnIMq3nt
wtGH18qfEXe2JXfxSK87mU9MvIUW61E4J7+z4tzW+QSDXYRujqPbx8V9wYbfqAEP5SKc6xuIolxO
Wk7jTWfrDgJw/lZcKWX4pmc+qIjJBBbLQQ7kQHOp27iFW3qlx8HRriPhdjsd45aX7Y8EDR0bhpWE
IXOv8VOPLRB1YeOpAfkzb3ULG8ZZt7+OTuZCzOz1LmoVjnQuPNFR7Mwv/MVe7N7fgglXM3iCjYKL
/ZLgEWYXq2+vbh1pruWSwbWinHd1ofgAhbRjPBkfEpcMgZ297/l22tMiAQ8ksIxzbg1AsBs/GBEa
0rYcCGHLl6Sn9jlxp1/Fmt+6X/6nffQmdbEYWUHjpCleOk+/7LgyBHoDwR7dLqxoIOWZ9O7u9y7w
XzdhKtF8uUl5EjTRMjkLrwruI2RYPtzx/JgxG+86W/M3r7K/1E7tTHZjkwYIOPzQr0iB4wSh7Rka
TrYcHJXcKzlsd3U/moEezD6u2YZQ2odxHK+IWpMPrvhYNoeT5Bdu4nGFONeZT+sBCf3IPMUYqt43
MeWxRweRLX6cTmV0fOEQ6qwx0amuq48AgZNiNDtv4M8EMfvZDCZPsU3neIkV9OlYz0OIjhx/R/s3
Kh6gMYk6hO8tloTMMHm0OCs3e3x550lRzmIZ3W83khMo0FiOMUhd6Lpc2MA9sv6BekGC0DHs7t3E
3cksHzi0ueXiyqThxBHiYOXq+P7Vbz7lT3w/8yrbvRN7SJ4Eow8GxZNc2Pr5oztEFSe+j+lmTQl3
5TMEMl7HJW0vPBanddmAf4jg/B7jxE6fh3PH2qEG4yLG7JSu4OhRxXNGVB3byTmSx2mxTC0/Zc+6
KobPDIDjEKuw0F3Rm92NjbM5Ak/m+N0xZ6hq8zATH5KeEAYEHCOcxmyEAsOpsZSNiL58/1jKjWfx
OcltGATmTa+CNvhGsks3duPouJ0jVBr96byFWAKeHiS5ARPEOwT7WHpNeExeHe3vzcty2pgOOKl9
k2dPPBHEQXuTRsOpOxaqqwfC7fGkDXcLa2yAwQJO/D4ovd55rLh6yp4suNp5oUJnQ25up1iFgj17
zAWMOlw0JDivkzxy8QX/0jKE41DoE+JyEO8Ml1A+j4Ee6uGIV87c2LNC4YwNOgt3SziEG+v4GEsl
yjv2CLTDXvq6MCVcxcKF5k4b9LojRCXmEsfjGey8Y0nUN9imEKrmAI5bW2SJpRiP2OuDkSkm7nDA
hzmDt7/f36fRURJw0wBzFQ7U23B1eWCwvtUAGvaSlSfilbs/EDCMep/OcV5JgyUU2MXHSs2uZiCf
Zh+uLD+MneVsRUOYBsd2GHlL7aQ2LLy4g40wJCXUxUQ7QphG42cVM2zdHLYKkk2mVGZJH7dK9sOt
mVHYrBgCdnlMoO5QUvXYi554bz4v9+oVm8azrlzpUrnHfLdcDIXQkPDX5dvswqUdCKsXO8RIfs91
0HtyzIeT8Z6N+2+wCGaw8FyWq8SnD8Ov8Jk2mtgJMbYIlTVnxlGwLwijxcC8aJ91tq94vwUmLgZI
ntt+EoIGs9bwGXhK37ECiPpl7mTAueQ8G7iUmW+FlWL4Mk+qjIhfHcK2ELSD2/oW9wkpKobA9CwX
Vnq+t2SSR5+JdcWT8mrb4DV/3dwSFuvwPMdu3WhderUydcBOdRTiz5ZbB9N3M6Btjx+hqOJ0zmxD
H2/DyOsjgL7wsVevx6XMNymxBbk5W7KLh/RLcz2mujtpXGjJNGA9+X3rWYTkkGo+xYTY7W0VdAQq
CFFhnyh5nHf9Ut9W99vXNTwChZHIJiNc6UMsB1s9DiTeZl2typ7PnEq8kn1cXJIT+MrcB/LiNqfa
R/37BMApKLcbuC7TWwgyLsNl+JoSLUNJHuh24RAEUf9/Bo8VZCHX4lN6c2BT8FlgduouAdy/dnbh
VGSXNkkPou7Wz8KdCIrgljgn50iR2ZXTExUdYZfA+QTy+eOPD6f4F8GBUjmwnNY74pbW4wH522W6
rje6k/umO3q7ZwXQvbsrUAkbjUHsh8KpJI4U2GWvbagEu0dGxy0cMWrP2jV+OvQs+EF8NJ7JUIEp
0G8IxLyULna7CkyOElpAKZxTgJ0xLaZrefrTjDGJxnMcNc/MLwuFWtLtxCmkPst3i2ADa8me1Ugm
glM+gqB/Uu+ygOnhvfljwuXoH7Kv1rU/63dVgA6zDy1tRrEePKWT3IP+86ivBbhIwswjDpV2W/OS
QPBgA/UrIsWEl2POS5VT2sAG3dj+PIYgSWwt4AWbti77jtj0Uw2KwYaKvbjJbhL0BpzJV4LFBz/C
8x/KT2oX1mA8IuujptkpH3svI2LoaqwTfmieeDMx3/F4hePQRxjWEy8CcGEOm+g4h1mvz83iC+Gv
+ATDtvCR8JQFKNCPGSJkZidPlMllKNOjPUj9xqnd/AP1bffzykOMPy8uYiLeJ8q5GIXeRt+Fncg1
Go7hUSSxdVbX4LasXbDt9uYeYSjcHrb6GjVCwMEQ0GVUMMtz5uJ4CUYlkH1JCnh1OxAMLwNmdewc
IFWw/SZP8ucqQsjNS6+75q8vmw+BN8Md0S2ybSvHr44REGKwIfDnGl+vwragmwiFe9lHacE/LmMk
Ts5RlPlSPpTXLQmQ4cO5HWEdQRBmLWZNtyEH0Yvhsdox6witeJULxwVjib7Ee0BKBPgcHhxr1/k0
OgqOlot3jk3TMjq6la9Bd+YfwfaxuPfT7jy/5MERzx7TdRxBRpsjNINsuOjWgeMWGwWx+6lkxlDC
w+cRRjv8HwMkM9E5BononIOAzGsSfodvxi8a2H+UfYmkj6hOOOcOTo3DaI2xc1FtxI2ax30w6RxD
A7AOXCypUy6kddB+c49w0CKIhvLeM/3uqcH4WxEcqwGMzuxO5A15J+7XWW81bkANrRPr6KmLmC+c
EoQt73a/IPagVxbfm3tzYIYtpw0caXDkX8YgPcywd8wyRwCMMmHBzQyE4gVdCV/wWwYih4tvIXCx
+QAXTCDlp5F4yq55dMTYkKdkvmxzAlHdlZsBauK1Xzlq42GO46JAVPHzLCpsIf+QsTpe/1uCGcBa
Vm1NK10IUok0q92pSSzh170vxCmeTsIIH1KDtsGTGwys4WRnckFkjrBpBRZQdZC2JD47wtzdTcLy
7oi31kg6/EKQYuDIT5FLIjK199v4Ob4gvHJj3fYRDTkRYsJkOCwi1sEhx0RQvZw0ckbDu/Jp85Jw
jGLivcXRsdiQbR2JmrA6DZfSn899WPMvBFGH07iMZz06LOLkm48wj+O2QBH8vv6+2ncGTqgKhmdw
TbfDJX8cvh5uQHo6/BuVTbfwtFCyG1zAcG+cV/vzzOaGvfLVVFk2JTlcP3Yeb6eynFNXC+HhQpUK
1wG/MlatcnI3hT6HOPPwK6bbnwWsIZCqE4yhBL7kj9B7xWjnfs3kkVgiSXe4lJ2D5UKIyvgOmRNn
84Epcs4YjqDVP5wSaH9/cTETvOeI0eL71T+iGySZjqjZlt/t7hEbHOk72Wv9AUN2TAS+NBACNC/c
/fV2EBMlKOwwUzyRATeCIKbXROhqKPeDzna3G1JZMxZ9tBciaSz56uR1gIoZFld/5NYxAzBbefM7
4X5noyne6iFdx1Ffw2vPIY452LCXYNyCnHNW5pN9x/nTU8j56IgjLZeGSU5ilJmDjXsAmeFo4611
117E3/N7IEaZSKiXXxa292FEqAInjlMRhLVOVhPdoXDgHmuSqpzbc9Q6g273n6k4OlPU21BbYSPK
+1V30hP6MHYeHkdbDtfsWfpKOQJiYLzl9ggRJ+KfI8RTvE70EcJpT6UnckFHYLgycVOEa8WW0O/E
pWMRCMvI5BDUtcrNcSgx2I/5q+XCjt3En8trcgcpOTbpSDlAcYulKolnf75bad79h91KZ83fdyv4
XCgiUtO4xF+lWxXia5s0xBHvPYsP+6OOeskFiL97BLImpvEILSW/voPdkizz+EGLskftrjmTVbvf
P5c3vP4Cy5evhPh4zzyZhCTpbUz++Ige4rvkVD+CTTpLgXLaXxrymwkxz+7JZDk3P4t0AsPxhgM0
YQxH42gmJOYQ5/fhdlsSa+h3/dl43k/k99whwml6xalhiWQ31c3AEfPyAeeI6XfFa4HB2z2vJuki
38kfxlN1gxcioJXxZbE/keTsSE3o4RBZ92biLp/nzUYpx4eb/mzdlhH2HStO+pzMm3IrX4ezEXH0
9o4Dfh5Y4esj+FeFm/8bDM3/wooNdcK/LcMfer+iof/0tfx7Teb1A9/qMYr2G2VKGsjojuY/kkpH
1bd6DNw2sn6g9EUai0G4yyzZv/Axym+UY+g1peFephJ7sNv8VY+h48tSwOIdyBqdUtK/w8ccXDx/
L6PKdKzCcUrnKsxV8MnobzrM1bQaMsMYe6dZ1zx3d63c3/dx1d8j4LG/j5sJOg4lnoevm6G072pZ
2Eo/WeTFuDfStIdaqwH17G1FtVIlqHR4PFIB2IoeV9pVGoEbU+ysnuY8E4mKBm1vvbXM63cA6aBB
1JPaHWfAQOglxiIBsDIOJA4aoaNSKpjYY9WAf8YdAc+INyioQDyfdBM9H2uRCZKfwaRPq0MzRCWM
B/TtgEsNtUrMBXdRqzyFuGHrOKELTfcV3udhtDWgz/UZpksB0Kbcq2AVxxH5kU5CuPVRVmI5iRb6
xEpvG6zxIk70EUTxYNVSKMl0N/qHWDd9cZk17SQnJXN0xtrgZEULtxDbTaEDnVaEZioiUL4mCeYl
7/5A9bzkBLWivmBrzUHCT+sV3TazVuqnQp9HAvltKFCeVkVww2abwUISVyYikJBm0mSltOV83/Vd
TMUHpowg10u0m3YkjCZnnaYBJDmsfRzZllq6dHAZvxvQhK2CdrO2j2JdG/DsKwibzxm6HrZsVmhh
jutS+5a4KM0lVqZPeWqM8OPHOWj2tdJ65ABU06A2lWdW6wxibeVwZCqINS4Ql2T3I7DjL5Zg7A+V
Uu45EkswDyRJJ5OpUTLzBmmRMkd5sgHfMq0jcAhli83z3I81QXOVyMS0cWb1bpcCMoH8X98ov4Bb
nIC00I3sypBYU4pBLxLZAbHfNobnVhFuQlrH2fvM+ro3Jqwj9KXJnCPypPkyo5dE6WQrhI9wN3W5
W6JxFRj9mOZk9M0Clj5lTh2lloTP1pgOnCUGerdCy6KlMBhQSXnfzmp7Wui84+i7LbQc0fkC79kE
NeMVwp+FlTmBKIJyKQcKI8aS8LJtanMzjau0BSqESShFA9oEorEp1tyHKmKSc0grXENpDplh2Nv3
xlpo9RfBpNh13G/1+0LsJtM1Z6WLT51V7NRttNoSg3Y3Yj2o6YBa3ZwGIvyYtLeoRCX7ilxbJh79
G2sDoNzaYCWohBEg7CTWZRrKMuRUHHNQYs5DSSgUcqAIUa3sHXpNjy4L6wER97oKl1re9saZEFCt
bxTw4cOXQdzJFo1INaIuV9M/2SFqSs+4SSG1PTrJi1zilMAiuNbZmt10Y0YDW2osPQis1vJRFKXv
ZLaqX9DW/miuZE0FzYXdPFA+6htzBbhYkYRZWZ3GGkg1Lim1Q2sDeCUgafPvHdk/4gq+Qx/8FKfw
v9CffWusojL/z5BPFyrKBpblp0/F1yHNqk9/d2///fk/IQdwsYHBASVAL7L5jYvtT8jB8RsazHlQ
pnI0J1PC+MvFGb8B8zQ0IO6QLMO9DE7hTxen8CuAXCqOEbqbg9zt30AO3uCLIfuhpfnoa4YICQZo
oDDfR4aQe+yNgBrefVK95OrzKh5iY4MLZhTp+dpDCdXB4DsGImQpSXv24zcoyz+C094yLf9wBW+a
quntLBSr5wq6NgZuvdpDTWITjtLlskUanL5md59NHysdZ6JLsPt/+X+1kv8/C9wO0qt/XuNOUzbV
H9l3S/v4xLdVLej6byZsngcrkKabinZAh78t64MIhNYJeP+gDtIQEzl+9ee6ljQ0RHTFso7ICvsk
8qs/17VAwAdv8kFBKIkW4tLmv1rY2ve2kM5IOEjYdyIYNJA7cB5+v7C1We43K20qai4qzFDvmgcI
rt4nDxI1qThYOYSRkbkiLbveUIkLjjJ760/X7mP/0KO+/EL2RuZ0fprJhx2FhOfFfbw5KqrWa5Yp
BZUB4p8UJUjaQ2Lb38kYF9/W5j9vjgMr95/q5l93AcXg613geb6/C4IJ3Wggs/PL98eRpI84o5Mc
IwMEvZuzvtPJvSVgcaqz+vC3p333bYzvhAa+74L5c+gD0nTAHQ1g598PDW52SyS1q6i/7P76IVec
kjoWVHFSUJxJi0fgi0tgu/W1/gXr8v8wMizajGvQ76ABg/9+ZHiJl9KcQAeKlugjc3CzrAbEcusV
ve1f3OUPQ+mcL2jzgUcK2TUOE98PBS2ZMomFBtiCRGtLnzfM3DSPhU1vej+fz2O6vnuSb0Z6A/HS
IQkAPMtIs/KwqI/l+vzz7z9OXW8GgNkVcBqOBiQ/C+b7WzGnPBurHuFg9MzT7vdtmHXZH2tWz+9m
gQbalVaThqqtsMfdS9Waq/6oD5oFu9yAePc7BAU7HWbevdmGc0uoNIfNOuEG1G1U53eVVSuKp859
PN39/MKPKf5+YiD2gKtTxxrgzTiyfZebEFcaDLQNBddsft6qO6DCdt3+girsx8ln/yjweOs0W7Cw
3vBUlauSVfPAGNPMrtFOWjP8yo0d9uTNbWAHwRZKh2QAZ9rvb2MyxlxGQT3z0RD90kq1p0hgzMb4
tMTzM8dZu6BPtVNjl1brn0/g96BBNipcRyar93VkpArebFSx141kFhlZvyQPiCLfjafsbg2W338+
zOsC+vEOaTrBrJtQ3b3ZlhpyN3kjW3QJ2x87kEpHWfPI6ZJ+9PYgebLIo/yKxuxNfPLnzUHsgimA
4EWX3mzQ2jI4r1klVZqgjJorgtZh7O+n/KqHQiRFP79F+Yg13t4imvUiEddBh/iaP/tbVlsQCq1W
DAUwCHljFdhlc+0jauH2V8oi/uzN5DFXQEMKpYGjMP7z4ZXv03PfbpZ8A7tAAYXKVv5+DRkxPR1y
Jmdk9fVTx82upNOO5PQIKBAh4IsBLIrSHhRHM+UVAcTS1/yr8EW5AxpKcdqKjlK3SAZL+8XMvM7z
jzPz35f21p0ubSIu+8DMrImXUlJnfQ/hKAUmRXBSE8he0EFOFq61KzRD7eGXvFL/0/6ysNMS3F4q
KiXym7mpEcRFq5Lqu52Eig98xzdBuC6hCYBKeC+8z87jLY2N/KPexbeqL58FimbLTfPU3PUnNdwo
v/z8ef1oVQ4SIMwWXRXQ/759XFPbtDTDTFRxh6ZOL6Jm9g+5ZOTrL8CCP46DD5QItmBGOig63+yB
RihjZLMLLGQzIf27lTKyHNi7bPV+fkM/mmIMEUTtcC8hcEVG7vs5Xga5qxZUPfwsUT+jH2o6M3uF
o+9u/GKp/+B34UU8snSQSx6tFNrhzP620eAuFGqz3VAL6oTAqnRPtk41TdfkHn5hHeUfFs4x1JEU
5H/wCL5uur8NlUroYYzDhJoVaIPtOt4Kf4yPSJfeghn2zFuwpl53uz/DDVp/FP/4Zc79h4d3sNFB
TQwnsXVQ3L2505bYFM31UgBH0UZ9BF885SCL8En222tFgeHLz5/h2/GgwYQK9fVEJyH797avQdKz
fd+OfVJnvdeTddcE9+cjvH12jPDaUoI+H2RvkFN//+wOiph6SiEl3sBimXclIJ6fD/DDLUD1BbEK
1Cb0b6ksxu8HSDgRd8YmFF6ylgYinrtlqyhr/GKxA+l/u951DTZJHgD06fRwwXr+/UBGQQ9KaWVg
peIEvg64EuT0Vh8gvzYzt6vaHiwPSebKGVqVK0E7AKrAVRMqAGVjvjyVe0LLdFn1ougXmrgD30zS
AZCNpSTA2UjhvtCLrNwSnEiRVpejGCTzgGh82hipJ26JeJfrStu4qZFArbqZaetzUN8p46moytpq
xyHGLhu1SZxxktFfyVIyrKTeZu1J71NpojndlMKk2pfy3O2ChZT2OGmrp08btB7FOKEFQ45S3M9G
pYiQpaQI4LlyKXaIiHYK5LQVp+/1EdncXbLsVEqnEaKCVKHvoBxTYCJVtcIkAoHPPTo8kuyimUD/
X6FPayDtqnW7T9nyBJ8UF9qS/qgQHlS5xHXuy08dnA2iPZhlvzhFHA8P+pRoZGDFkXqYUakA0ltD
ml0SwIMUMJlpBYdNGd9O00ElytNDdq5UZql1UQiE0UQT2/mLkrRQfJCbNa56O8EUNS9qjhZunen3
c5vvKkqkuwjfB2o5JSCKubnWXBTFOE4Av9M2RvUvS+l+tONGpOcA1ft28bO1p8U93elqcqQRUiNk
3LOlhgBlKW7oS9LuzBYqYSfdxh2Rb+wMmUxVFkpbrbq6PW1ly2jLniQUayexBdvfHhQourW0Hztk
vmkSkzaD/EoilsaLrKUDaZU95/A4wXEhOrCZNVAoWPm+IHOvChtZxB6B5zoT4jvEOmhBTY0edmbS
+TOC6UG/tN0nqIzBJdZSNYLtFqwNPIistFSF9229WEODHNHSWSO9kSZULuiXaw1wKTW3BNfq5/UD
AuU1Jbij88/NLQXnbebNQbAxNauXtoW52jLq4aXb1gup/TyrNwAkdMo/J+2MwImsTsp+M28qmJFl
itssNPQ1Nj1tmdfSS2tWIAQfBS0fUiMfAlcLUJiBUyecdDXCxItVJwjrjbvyuyHV9TtJrcovRwr+
k9GIaLs34wQnJE2hRNOGIYBhVDLpkT29a2GvI7bp5bz7U6VXOeLQhmF+njLLgLxzMOYX1tbeHYUA
lQJ4Y22gsArUBu1BHkS0O1ctNWCToKXQTxRFoN9gLcGLTSwneguMQWK+FrH7YGn0j0LMAzcecjvm
YD6Tx2d7daNWJQiJFmIdyl2bgXScyLDZ4oY0uHvwVCK1EW8JKgQz9B5b3fb7RZnr9janKdukHjGW
a5AIa59Ga8Ihya6JTT8PeZUditKl8CjSDkumIc1EgbZ+Q1shO0CeGv3RFHqPTu9KMENWXpZBRh8n
YJVmKyh8bzNtsXluih8KuZHBjhqr8Swv2fyh1fI2caGDFz1BoFOSVLlSBrVQTlfTQAiRzUr1Q6sO
5u5GG8fnSUGuzBzrWWIedWuyu0pch6BT8/E8CHCEQGZniF/ldeqgbTcgb8pbjnmuIlhUahOhW9fH
dJ2EhJpvnGhp1EHVQkEGnceXgoBH9OQCCj7ILWAYczvZmjdXmqWKdoAJPma3WZFStvsMnXV76xuK
W5Y4dRRnK9hsRnl91KhW3MvDvFQu/ZUC0BDymRDe16oVtYWa9qFpjTqwmQQeKXfG4dReOcrl6up1
NgC36isZ2FC3S1d5yNrUsWoLcom1HhYwAUpXk7iH+2WgymLUQGXLnpVOE3nc+0nTd7tHkaUCvZBI
Cagc6BpRChLmtLb7NCboUFO41SMjjeMAgoZCQgItg3ZfSa3sY78fgnKWKux0QxlF9ViyowD2Lt0G
Yc/ST4AEZlTo7LWB2cMx51bCKu3Q2NIO3QyfkmlSNWin1FI5T1vayKHaSTDCpW1qfl2OtLNt0sVO
v2rewTxkbj2KTprSobZF8+L+uzW0luQIm9WljlG07U3Zt7LkTJUJ4VNuluR8BWmOl8syx1nhdavU
ptcpMaXZUatpBo1rKuRst8LKAGqh7/Y+qSdZc5Rlyl66XEh1j50em/Y0SkkRqfVMAT43ETTETk4C
el9IHQF3ncXha7t1K7gYgWy0rW2rclemuQBMLFbZkdAKZzrqAlv8ZYINSXeIYmfQtSq6ni51H7r/
5dXEtNbZlOD21Frb2czGhH3aRIqZzVC2QMJFqwODX1nNB93IRyiYFAnayS2GFAzpUE2mt66UjTMG
ZWZhtNUIh41gFki6J3gJa/6QTJSTvLwyNxyBlkMv1MadXqAc3Gfvm7HA8MQLlbZ42ine6rBZSad0
1c3dodwG0yNFazl3CAfV+4ZUxNNuzeNq74T+X3KrpiXEHGHwQ1GqAluoo1uCJ6iW29lsq9Rpqfl9
2dsCat+FYwmgSRSigFRlPVJJK3W3p24WETJCb0lRXVMZoMxSlgTKE602qFBb8crQ8BUSziQr0OC5
J4AwUiiQUYvn5WXSmj8sYzd1uxWPsGSQNni2lXHZsF56u7G0qkGSvLJh68KBtfOMHUWfhQ/Q7+/g
gAepUPzUauuPQmNMdHJn8G86rLj8/QhbFhSfekfMgYh6/nFeG+xPB8evAa8gzNaz3kIrtiPisYdj
qTar083drnqaqIkv+iwPnW0sai/Tl2sZELTBxfChrxSUtARhqBSbo9MEe8yercAmlV11tVzqH3Mc
reTpYj4/xutkQQ6nqivQxB07Z5Ac+KRm8bE5jCFT2Qxltn3JxVWE6UoQW3psLBPG4GufzasZ4H0b
BA05oX/q14o6H1RiUzT1+aRBF9Vqv5eFmoGrGcf0gnLaZkEuZe0PmwGbg2Mskv6lHtPlcwanWe9o
xYgE4Jhr8UNTrjHrO14QWER5wRUTxcz8TCq00VeHrJbDPe7nZLfTjCzfTWel08e5Y0Lu60k0XnbO
gqk3KHpFo/IyVlMwzLMk0UG/KEOwYysU6DcVtHy7jnhQ7kUN0Y1Uy2i25kD5bI1muweKkGjvCwq1
R0J7SMG09noMOk8vN2CHyY54jzoY6105qyaQyUrtPicbDEBuK6xt6WqrIr9Q36VIhKCMVXv6EgOr
FfMcWjZJyy273Soyb0upYeI6xRrPJQOfWez/xd559daNpH3+qyz2ahdYNhiqGIDFe0GeoGjLkuy2
dUM4yMw5FevT7492z4x0PC29vhxgrxoz3TYPi1VPPeEf5mxnuXmHuqpuA+ewJMUY7GXp5N9jv+3d
QzrVMU512DkcSkEyZM4xScxqrdUH1/EnaH1rbqCZGq9L330fu8xY39O/dNY8IjEyL6agCaBvGB3G
apkDFOpWO+MM6ZvkfzkatqvhNjVqcD91em7dNymuusv1XJt+C1U9iYt384g/xtmQjvZyLNxlhmzT
xcvHNKMZux98g8bx2PT4c3S972DVWHACo7zsTPKFJVdFhMinl73zjZ7ccS1r06TRbK0BYglxUe1s
J0m/0sTzH5XS3EyJalLraHRVIT6MXh0jteEJ85Pg5ybnKEVo8xpVBm1d0LjNBKbJQVLCuLMHmx0w
jXGnrrK4UMyxKy7tK01LgcS8xAs42HtzZuAcmFuysEA9+zG+hAWSpF9mWwXOXo+Tfhj7RHzYnNTa
Y0GhA34wQ6HkOkfmD1mucYmBxOlJWkkIjkEEauf5I8gGUCdTdhRIjWVXbbtay7kxEEZg1iQ6v+OG
RbnNLXWZHO1WoyM3zzNyZwbGaIT4uvWqfT9JVx+kyublwkv9bg7xVu8gYA7dZpjQ4qdA1Mdtidga
B/eImersY50gsWjgEBIc46X29IWqDfNrsOZZF1ZgEpYzN57FJmMo+3kIZZou8pjrBJ24jqZ9epgq
bUGcGtVqvaPfMSMxVRddsJ9tg1hijr0wQs9H4nTn1aUlbvPKBLAxY77oVSHYiOHRTooaMHBPtnNR
x9jXX+SWtsAI1FzRb0WhKvvYodQr7zrp9W+ULJX/zrDaSeyCwZDFgntyUchznzwREL3Jt8GJ2nEB
o5KSjtcDwid0j53JgaexqAk0ozLM4ogN8wgXQJgB8o9ujXkcbrkiuelLVEQopfQE8yM3Cz8MwNjA
/FvquMNJ1DYStBYbJ0H+yl05Uc7QlJHlWv3Ayipknf2yrWOUetYVkDlLlTw45rQxyJEsG261L3R9
Jf0x8y/MXldW5FZGg0ung9wgdr36dg4m/0ZNg9OgEGb2X2Xl6elCzk5RvmuAKv3ZJVMAyHSJgyUc
g74pw3WoRvDEZjOb+85TmwWmHJPlk72sIjkrZrtBkLCaOniPAsGZ27HI6oeqsTPraPtx8N3KdFte
CE3ZhLIg327n8X3NC6+wK/ew9H1ivZ29vtDnc9U3JNt4tRbQ2lyp1mpntCmLNY4SsUO3nvxmt5Cp
AUNHK/a7VWZGc8GAOkXPBamzdrlsEFSGfZsJpBJTc+b2TVbVj29cp8e63DEGdt/YpEmytxY/lW+b
MsMMe8iRwwnRqLb8SExZZsEVoLNJ5gNWBj/ATFdTfOHYpS8QqDW5Mcs2nr+IGGmjOXP8D7GB2PMO
d9v5vTlIb74z8qauIntdjMc2ppA+6KAbvtqGb1CK1yvEeT8zCow9J33XtHML7jpPk8fRFEu/E0ZV
Ot+qoZnjD/2SVx9XNJ0zdP6y9jrItJ1Esilo5xb9QgEj6Cp889dR5eeVWWff7UF3RoTSiGw+2o3p
TDvpJ6iqooxifDJIsYJz1TV1i2lYW82UKNnkXtaTSjji1lS8F/UY+OgX20t/A0ghfV/KMmkurMIr
i/O6GhG5q8zZ/7ND7fvPuY1HlA9E3sXhiGxwvPN9AbtkloZtUFMLBat/XshHXTA4ydkWsqq3eLJx
9dp9u1gRei0UF6uy1VVZEU9C7J3Qrym5dHi3oZg9cv/Gep9WhIjI4C+/K8yEFCAt5DBeC0u59Z0a
xjq7MYO+ti+wtRqHq9mgRulDx+2C5Ko1RPNFmo5Hk2VsZ3df1VQSu6RqNYyVTV7q0NhuisNzn49h
Df7KOYhM5zKiG1rl0Sx7Az5Mt/gdnaB55aJpOmFfFzVWE5dZQg37lbStCM7WzveTCG3oebxaLQkG
C4Av7q9J4VLgaXcS8A3Wvv469Il747p2FR/zUfkdOYltfacds3YIgg9jfxR+jnx3ziTY3OkJpf29
w+07EgmcGnXfEdPMCCyUSq8bdGjbferEnXE2kommWGeSxoQJglc5/IPYzFDHRSBqRYROX5VTavYy
xCvYTT95adLerynIsLM5Mai5Vo4q7MxVmsOFl4yoMqxGm2DGY69gPUjiEcr1W6yQI4VUe7fz8gSR
iG1m+TCM/lyEvUG6AR5ucj4saa4/uaVtf1zmskvOfS+3BO0iFIZDI8mN5SxP0gTmyljo8mZVteAE
OAOcG6mR6S1FigSlKPIkiFj0FY4nus4wOWljmOcJxZWDY3LnfwVhxflNugriejY5RTig3LSiI4rJ
0RliyPIm7g3vIdZpfIsifxxfitQogN7TVT/q1FiYTkwFJ68ASeaHlDhDfewp6S8CYavxYijG9Cab
u7RAzavWF2kStMYudWs+ELUHVTT+hgscg3Kgy6cm3d9nM+JrdOhqMyW9HoaHpB7knZg9fRdXheaH
W8ofIjsYLEU9uMyfW+R7vzgFMMZdSutyDhHbHc6troQJpS0O0d6Km+596xnmJyfm2+0HWw7Mx2fF
jTx7OBOH2TqPCBY7LBDc/XJAR6Pt8h705GrdOF7d+Tsj77gmh7Vr7wDI+e/6JK3eqpqmbtiPJio6
K0L17G9Vd0hVpwPehmns3bQO0jyhcrzktu88D5vg1Fi/1aU7lGG9JO51ASbRjjyp6fR5teu+ycp4
lMfZrVLjMOSTMaBSy6g9Cty+v1nkzOWuOoQ8B62M7+jVU2L5qZMYe7TdbCB7nsDK1SpMn74rXtLp
edybvtxjKobSrZXSN6BKSmjYDK3VIl/H4G654Pho1ARmi8gy1Mi3RPSgxJWcBi/ZfIDbCj+DtYXL
5GYelOgaGeLI6JIc6ippRE6YClIm8+nyYFWOlUZd3SRnQqNJFA29Le6a2PUekKX0mh0OS3xc3126
715iEPTyGk3eXWWjQBba45g85rMYvgZ917f7akqz767TIKHlWEv1fmwD9alLzQrN61K1BxyTxrfK
rmc87Zt0eKyx5/00491Y7IomR+u6RNTuXeP71nvZjjX1pFV5MJeQ+Gy5qXGY2ONlLk2sVJZ0vXTj
tfk40og1d5lVQkYqEJKO5jKmHLfj2P/aLQIeU5Zl+tJF6rcIg6wNLkpnkOjWkhZU4VhrjNq4sMk+
tDMFH2ng0dD1g6F8cAeRbSVtDSzYcns/iEQxFVaE0G/zdUA2f41IxiwihYq7NcTqYYWu77qdxbdc
Z4RA1Vx/KZcmOA+EmPPI9QnXEVYYGNTqta7frZmJtC7+XOTOPQV4tpuThaSadGdKkW0lrkKYmKs7
26OtMeUuF35npt59nojlfsLNYg2RLkSXjmTT2intUDw6Y4Usb9yUM872PkP/zlvIBpvkM2JhtAjJ
+vI7q8K2rHQ6ceH2SXIAbYq4eDYbzhJiQoREdBm7y58eKV1M5ZvnbyvfDz6NNCa+t/EygGE1nM2s
YhwhrJke6taUnEjjHhLXnbA9DdrlbUOhdq/TuXxL+y2+GuWKIniHwciDLWglHTxuyQudKO+bNLEg
34NScSB65C1BRje5vu/90bxMat+6NtC7HyP80vQ3I/U5RHRusarXavrUTItPz8zI189BsYlm2b3H
kCQTMr+iyi/B19B4TkIsSBaG1oEePluMOjm0nqO+B3Qz+NvySb1Xc+EAlTBJJiJTm8EXMc4cPM5d
j6sIIVLvdDs0DwIfRR1ZS+zAjSRnsQiAi3fnTNS23GrtdF0Zqa7ZoyQToTl7LrIKsy9Qwxmb7rxU
AzjreO6rb77ZeR+w9EOzdprX6j4zh/q9PdLm2FlCVUAhV+WtJF85ss34GFYoy4sRkV1E4OI349oP
EjlbBCzx+q6DB6yGaoQg/Jg2h6Ot7tbx0vZLQv6EnHyfb90LoNGP2unVe28N+o9yUTUnU6SPtC8J
cbE0A2TXA4H4jKnrr7AGeA/ZVLEKRW0hfI0FVbcPujp7n2/47Ai9R+9WJDnlcaZjVKOdEVATWn9+
aR2kZyCz1LsL8ke1vzjtHoAyMuZ1Ro4QTa0Q39bEHjWS3wEqP3RBOKuLp+2oaPOE29xPa6DRfepw
lOJi+OoJV9n8vrm59kppgUSju2/sdKGTKdQ29r4HzMwBbKB+B+84F0FNhlNwlxtubnPmXHu+WTqL
rKgYLYvT31fBO48K/T3OOp0IOUTxFzWBhA99EuGJaZcXULbZwnyLH4X8JOwtKeM6m1xwBtYiwwVA
4WDja4rQ/IdGGfAOfKo2dGoagfZaN21nFv3fCUFpa4r1frGbvNqpaUFZvaG9wDvHGRaoJYuI9E09
4bEaFIMNt6CKZ3en3HVY2S9tipBFZcbT2ahjG5q6oBy5JvrDgnt5BmqfziY3ZB/isHTAIaBYvn06
BGXoJa2qw0/e8/cKVa1cnuvurbDyi0G8d638aK/jgUHvvhH+LgmCyJBogViX9OneWHa968Qbh24g
Zhg7mUwHOZ/PtDx7oc4rTFyM4pWJ/unQ1sN6DeAZUEGc14Anb9iWJ2N2o3D7clrRgl9xhz04XZde
Fn42/uZoGEj0Zu7r8Ku3qtbaADxPnpITG5n1FyiXd0Z7nXtWfJtUZXN8efF/eRfsoggxm8EmdCLH
OZlwB+UyzDjAIUdNkyVErR9vCZ/xxO8/BYlxtIExq2ZIsgEXnrwLI4eZgrGu9ipmsEUKBFwiskfT
fA1s8ctW2tyvQFJSQ23id972uk8eNC5BkMR2X+1x7vFCmB81ZkfVErGTxe/uAh4VsBPgX9FTQhPv
+aPmsqQPZrByqS279wZz0Ddlnejffopj8oVwmMNNEJzWCU6l88fZCqax3Oumiz8CJvHeCM/4PdtJ
tP5om6J0zBFENpX+2rasT5YtH2ClWVrmezmW+t5c+vmaHpV37lNm7P1CLr8J8/nxvA3LB0rR3ESe
nz/PG+nekW3n+9bpaR2tOQUMgLhXAsspeuPnU8AtYf6O9PSpWe7E1B8EkIBhikT9Hg+O9kxIihdB
r+6sBQ/7yi7f4tRT4BgbD0s3d1NHZGMIFBKfreLa6lJ6hQPXa7vdlBBvzMWljKN8pPVivK3T8i91
zL9FTZ/udx4ZbPsC7VOe94uaYp7ZZTox3d01TRafNYjQh944oKwC1+uVt/v1UexDcLf472A9LNyT
M2wMenVdNaEgZWObIboW8EdCx1PN5Wsfbluo5wuJ5+8WW21sfwV75PlCcoXhzcXr7ow43ehXve/u
+s6iVP69sLRZdArQ92wUDgBun8+fU65OkwTIK++KxXHOpEdy2SjPfiWQ/7otsPrDNhYQGHAl0KvP
n9KuA+gIcEY7xk/OLZe7Rwpv2NWhSNPiYSprZmbOpF7T0/91ER1kcUEu+ZtpoG+d7Ma89K14WelU
1i4GXnTqrPNOtunhd5cQCB1ocg+wDkjSjaD6NHLgseG2ni7ELvX7+UJmqIwTPn43XvwAtG0hcDNP
xSL35C6UqkjtMsjFbuaSoatjou6R9+qVu/A0XvAU0IeuDQMWvA034sm7jBTQ09g6O7fXirFZDLEU
Nl3IzEJiSJZ1N7+9dmitCngbeF6h0noSdeHSyYX+N5IOpTUdeiOYbz3Yt48vP+XX7Qf5ZEMDBsCn
ybNO9oFuAIPT53bo6Lv220x6znGS3XAfQ1e90QVzyNT3KRFefuqv0WJDrhIqcN6RBPiTtYQVGyRz
mTrEQrRvgoQefSxQvKrndv35qN8imv83+Xn/sc6j5EOw317gMN19zuoRR9V+zOr/8b8OOHF9ffzf
T7l6f/0N/+A02X/gguD5hFmYcPyTE/UXp8l1/kBNgcaO45NObD7F/+I0+X9YxGNIRjhTu/R2CWV/
cZosH9tSQIaU5XgsSMxJf4er98vuceGzk2BLkIxoz8vtpD7JRwq07EdF2rpbtWWfNdgHRKmjEXiD
Y/rKRrW3y+TZZcOzELi3OIQ2t+hG/Hr6LAfMpaXAgyEFpHEkQnK0H9CpKVIBp11FyUJJXM/YE/Zu
gJzYBklU5QFohwqB4yLj9j0zE8D6hUaWRoz0wrJ0J/r6yivMvwy7//a633iSpz8WwWbXJcOFxWj5
JyHD9kdvmPl4u6HxPoDI3K5fv7zyfRrWTJdUC9u4a/33bgkW1kPFEnvgY65ATWDvaIbScOib01Ri
wOZ/wb743uszj1axwdi1M0MlJ2dn+/k2OEO7vQHiwIByPCapdwG8mbIcHBSAt9rf5W/oHKAWlLT7
xIf/v2j+Ilk12cGyEeg1c2wV852TZd9oCt06XaCOsTTufXjNMv6Hk9FvxYAX2bcsMfbRa58l6fhf
b/9j48BGhfp7ImP4Oe2JA0+P/fYHfp55af7h25REHCwMHYDx//PI828IBRtPkSsCI/FNmuIfguDu
Hw7/DsYNCbTpk77888Tb8g8OKTcm+HkBk8P9LTvzH6SGfx1DYpEjKHIkxEgIXSjqn1xT0pBO7pUr
MsypPx1Wz+jwMiud+5zwdcXwrdw5+dQBFFVIs6SBfrBTwF3gD+fQcRZx/mTdbn4+9yklUDzPBX7+
HJtfAcWJf9i4zzyLChIMqIHwEyporZ4mnAOn4CLogYyACJrQhlZZ/NnA5xvI4jhXEeNYRkxthhwY
ygnXOe4vD/gIihu/a7+4ZBG7WCz4nqw4VtJuWsQHC9p/ZCTC+EQJNGRh31NrYgYjSo5h0Hof7ERM
EdBO47h6Y2bifGv0oChcF2uzMYkDHCId727Vknl+nKPr4BaZoOlB7xdX5uZaIgEgot7z5sfSb8dN
O0FgHmu7y/odu4kEmd1NrCOcg9V9WPsxCCvDzF/LQn8Ay0+/KxL0ZOt0yEC4n+Ty/qhLoFMt8g7e
hIiFvbcXXHxVADCOttdoxNdz9c1qreNczhBtHuoKG9L0tmPoVZvJofHugB963iEjbwhydd7RJpsm
rB75v7NhiOIi2/kWyFvhn4nGeMU74Xm8/bkNOAAMAiG6BfZGTn96OeiuGJsEYOEOVHiGqeUAtI5Z
/CuJ5/a3nK4RMZ3+CyL+dINPrjvL01laYX5FA7ZG7l3ySev43VRdgRx/0B72MmWXvWZeYW8X27On
shVQDYZwFoArc0/ZIonTD3nrjghM1V21b0VlXi3VutkPZ6b6LO3ceeTQMp0IrKR5Jyo6CGGfm+nX
tqmqK5mtzVUJuetmEibGcFh4G1dmbud/5p1VvE/X0tl1/VIcaShKtOf8RLx2c2+F0+kLEM1IVChx
IOqd5pjg9+SaFIz2ylntemdBjr1A1YNZNWjI3G0O/eSg2TrHSLea4AUyxnARWDcvaixfncshXSJp
pCVeiQ0QBrsdzjBYK9BqkUhvlf2FdAfm1yPY4a7JGUJJ79pqjOXt4gXoiLfmLUYf9VtmqfVuYob2
ygs+z9zZfJKCm1iNXZUAr3/KUZKMR/jZC5fxLPozu8dFOmPundjiOzkCM2itX3niL1GPJ9qCFixP
Iys0T7Z7WRiotFQ8se37+7UD+I3qjr0rDJyRB2f/coz90cF89v14moDh4llUbRgMnYR8LJXMfhB9
t5OmC5IQBGBrkkTUArRJXjnID65Q7Zob88z1qTAz9f3lH/AjiJ/8gI1rxtvirUIRexKbptjo8Q1P
ul3iBskRkQCUpKcqhnWg4ygeJPJ4q43sbN174dR1QdSARWOS57XROJZY3qLPcmXOAXKG3ngInPFe
z8W6B3VCi7oYzZ2dCrCxIBporjN5q/0UOfXadYBCdQN+16bEgvUdoAR8cjENv6kAY4UpGfF+gfdw
O+SGfz/TtD+W+PzuvRyWjg6IoVKlzDzH0W/esyeRru1pxiig/xlQwkvFb/uQpd10YQGDCTOPT6cK
/RdX77dyrv9m3dU+1ndj//g4Xn9u/wNs8CSR5u+zrIhR9jQ8TbK2//5nkoWWFzUQWiUWEiMOmhGc
sJ91lWOj8kW5ZdIChzINE/+fSdYmDUZ/SNLo5cwjqsIf+ocEyg8TFwp4WrM+xGCq9//6v8/KheHk
fz/Nak5Dvs1BAioEO5C8Br2TLQV8ep01AfZcQ5whkjTrvg8BWTI8NvMCR2nKiOmul/P8zih66ypo
Rfxl4VYCUS6s/ovK3RhoYD/YZ7CZ2vc4RC04xTJ/+txIt/04xB69x26yPMRX87HFFmvO0vpQY3Ut
Dk+W+98kZyfXJW8BOZaoz3rBzvbck7jfwzZrzN6wIgkuNuqzHnHbAVwRfKiOk5js6XhEST59+v3H
Yp5EON4GJmSpzxcvUC2M6RIawZqs4QK9nVeDMVS91UpftPN8vWBb90pAfl4I0zrhVZ8+037+TKUW
w2nH7ZkmaqFxKwHdxzk0I/vh5Zf70et8Egt/PInVRH2OMQ379iQWmtSBmdHmdpSRpXPhNXaF+vhc
4GSd17NxP66BuKwYUCIvO3VY6xombA0N7mqvssS9NIxGnvnSBMc3F7bMkJhwEF9cMhTQ4ENZn0Fi
YzeuHNLpMC6DBvTLYIO5svBV3738MtYPUu3J2yCmh/Ev6BWLu4UT9XSjW1Mt7JqZ/iaHpktoIpAj
oyU2px26UZbaC5lCWIvryVN76IIMIZCN0B8D3XrZcVkk/hvLbF3HMWaCB7gDmMuPSTc/pmLlxIiy
8+/8mllAaHhGDHFvEs0UWmVrLKH14z0hI1mf8f0uzseijZtQTyVr4rcNLIx4W6plW7QgWTTaxayk
qIEMhuWP9R22pc62Re+KFcpY+eNbLMaCajye2EilCj8xQ6d1SuRW00o8rhDZFIAm5ukXcJ7xGEPQ
QnU7H4W0naW1+i4UeDOaKNlk7dNFkFLqMXC+F22mjRBf69En/zHQr5vtWHRR68wxAmESftjVkPaK
v7xS9RhVQw8tm2GrCyBIOCjaYz5rW3tanCkfd3XGeFdgXZnfrcF0AQRI7XOrtueLpc5jUC1ayX0N
qxfufFepP2vpNRlobrvi+kymW0RsxP1aOPMnWtWmeZViaTncmEmwwCaKy+qWZKw5T9W8zgeph0V/
k7qqGHKrPAM64QVKvVFFBW5WLkaGrPw8rLdow+kkYqSAd202jBjnuWXhYO8o8r6I1lFUXuiPoAei
aeqhaCJ7hja7rHA8qZKswPTMtPVhyNRqHyDMcvum1FBhNsw4gULEBjKId+Vyb8drf2GbWVUd+VNs
E9ebEhtsSqBh3mg53FG7JSoa4sT+nsaKfg3x2HlsMilRcM9thxy0mKfPdKdxOMYKE9eFjA9dAsID
kZU3QA4VqXweGeh/7NQ8d/1lxVdTEelFue7jtF3iY9GZCO76vdtFzdR0H4ctSM9Zpzqgy4Rudwvi
y494Xm+hvRlsory/Bfx4C/3Ddgl4jhzv/k+FdXMxdkA5dGAE+zZp3b0CIr1xPfH0w4QXBMLOxe+R
DMctgvssr/Rref6JIANB0PXoJzKbpB4XHOstT37SDVwY9i7QhvkRtve2dgCy5Ou8q3xK1mbKrgBQ
cDPZ9vd2wq4CAigWd+6VkHhUx8l8i9XkWYe+18sh5qT2+PGbNi80oDu4//n+Sbj818Jkg8cbo1nA
y/sFjTb5Y03kj/UpRwO8TrctG97lwc/f8P8TsP+5DSn+PgE7PvbV53p9moFtf+BnBobuFlkUuY0P
QmPT6/pnBoYg16agutVT20Bdbopcf7W5JH8IQSH2GRc7/SyTz/1XBiYQodvUVdnwP/I50CsnGddL
GdhJSUfGYjMdppUADx69MIef8HQrI+JYtc6o8UqAiufBvHLBeUKuxnydfo6S/bUbSPXVAkl9/mSJ
Xk+atiezKgDufrT4qMufP9lbhiI3EtzSh6GqANmlpvmlc8cYwWKnXbkXFzcYzydYeY9DNVF3vfx4
azsQT27kLbcFK8NgISBj2/yenz9/FEPLHDRHQceD7hzqvBS4ELgD1m2DCt6Pq1U+Cnut7Z1RaCuC
AmU1x3EwxSu9lpOMavsdW+McZQd+DNvjpMSdzabsutVAwzTX8tJ0ivSjcKblYkoVfrEvv/SWZZy8
MwIuZPtMRjZtsZM1b5d20TOpKRSyWMz3frwCUCri3LgeHZs1R6RU3bz8yF832DbHRsIXjBiJ2ikA
ZlCLGicy+oi+G14J7aBkcU4HA2rpmBkQdxQCvG88PZhfXn7wv1tXQROLnBwtDlQznn9fQIbeardW
ERkIJ7pvXJXH+YWjjI1Zm4CofvlpJyUAT6EmQhSZoTqbiTbW86fNa1Yx0+wxkipLeTlUw7ccKQYM
PLD2RkQBV6MV+968XOr6lXP0bxaYCMLJZRDNi55CV9ppdHwylCoqlCsvZxhv+2S2zF2Z5N+wAw7O
i21fvfy2W1Q42UcM3UBECJ8vCn7q+dsqbU4u4FmYjEzeviAvsDkbu/Zrj/n1EzJUInYCB+IPg257
/piafNy3W4W5gyQ8hEaRDluKrL9pbIxfFcPcNv/zl2L5eIxklAXq7zQgAK0v6g5tWtQgRP7Bmys3
gQJsTkfLyiYkXVtXFLuxBCMR5pNjUHIB/vWjFTrYHqoNqOwK0/DulY316xpQWxIlETejTP6lJ1X4
ZtKM4LyjCeLmemnG1RrB3SmW6yxLg9+ORVw4pGrEIupJNMGfL7heTZGqpCQmtou8HMnbjjJx4D8M
Ymk//e4e2i43iwKByADkihvu6c3jEoFyzkgTUZEFRycnPw6rlowuevk5v55MgAyIAAFY5Ksyp3z+
nDG2VJPVSYPGcD1f56tRHjUF1a7U3QQWSgbJV9NQ1X0VG0DUX372r/HW20CkwkfAHBkieRKD4DAk
6Bfwjqlnc7tNGbQFW7sZ3D87t4vrqYW79cqG+fVsgnCAb80MeZPIOj00neUnbh27sF9trW4MXZYf
iLz+7uU3+yXqALtiCrfBlUxmEf7275+kwJOXI/TCG4d1T5vQFzkOIZ0vLopsigGL++0dqGD/FY1l
a2ukPDuim200PsCUKPb21JMqGngjLegZuXC/DNLgMnYw0CkRTg+LIdX+GfB4XHPmAg2Ffd1MbKi1
dJNvWV3hJWTOGitFEzzcWTFBEX3lU/84G89+Gx/apVdGjc/k+Zd8xmmKYFxnpGO0bJsjk8scA0tX
wsm27NkPvdrLL0dVpzcYbAfRmuv6fMjnhGOsi8fMCzr0IZTssHB0YPK+/LV+XAInP46SgIyHlh99
5dOBzqwy7ecOTjGjlft/9kwIHzQAaBcvOBTTdQ5r9zorDTYmeSJpoKV7Ze9X6puwJkH8U3oLOiuT
N+Pnk8z2hefFy7IX/QThZih7hS0aPMM+LOh8qD2k/LkLp4BiPeQzuii+tjWyzj2bKZrtYsaaUPnj
cljqTaMA4h4JoACXBg0pUeb14ir/ca6sWp0NCATkB9V0JR5TiENAoV8Bpu5tsygvEmr67JBsZ6s3
8wTd9lTxI4Cn3qregiroxPXBrrICdtaiyq+ehfwHpOQKBz1VpegYsCaYKhmzumkKbYB3V45/yaCz
q0PYfWREo8YG6lPu5upNZjpq3L/8YU6DE1GdPB40HL1DRtqnVZsqC5VWc1NHGCnj/4fBSYnDS+O+
Jpe33RbPz44QDn+/7ZHu01GSlInPT2y+wfo3e3hkgzI3/WzYRgAHXa0N/DQzg6igIYKFc418jTbz
Fib96NzEWZ+EsYnNAmPl3rly0cp544KxqLcRRXqjB30oi/TKURBBUQ/EzmRZcrhhph3f6qJCAsjh
4KX7tNJjpOuqPNpLZUNniHV/WMbsQduzAddUQ7QflszdN+1S7jPVmp+XYUUGtcs/mn0BydOPi+Uu
E3MNw8dfkVdhNQcaaTaaQqul8x0Mp3dbSMTpoYnFWRx77U2nbX++yrIC80S/cXtomCZkjtFPif0J
FhIwlB1vl9aiBw/mebWOyqxYUKpYfO/d0vbyGvOWyC4ME2uZ1DB7Cnqja49G0brHFOTNQXiyx0x7
svSfTpKdQ/Bz9Gc+ugWvFXAzLgKqxB0VVQIBC25Z+oNRVvO9iWZdGOsJK98WJvQ0rvk7a24dmGH8
Cpw7O9dwzwLtGxdmpZtdLsvhXWyu7W0nvOLOttPqUQzTAAs+7Qag5aUcrAgvAGAtU/J2CtoO0+vS
79vQHIbge99afcNRM+THeK4V+nGW9pFWcRTWQc7gwDLz1HRjZnH3zpIznoXsk6u6i+WFMToHF3oW
lEPlXLL45pt6FVjsCAOXaB+iOf0fOfYoU3ZiPDMt+ZjG64ORbxTRcVqCjz076jY1JG5F09QVYZPB
Ji0Xy/k0mp11tgQ+Lk9l/EHWi33TmxYi0Nr+ZjHG3NNHw0Dc14aFh+E6rwf0ygPMD1FKvV5BbF9W
lZS3iOksPT3NxB1DvNxRuTBk/12tXuNHjUFqepwRqyjeMLb66qXuXZYPSOP00NuPs6ogagqNOAKk
F+tDuxR1cqQlhkhg3prv7BzeeW5KtTMQPwuTTH/tl5l8TOboGuBbwdTNmW69sh33ZRF0xziodLGj
fGuOyAH7OI54nCai1iCjYmIFc8NAnccwxgsLzhvUgBhGcJRlvXdPo/I+teMRF5+4L8+L3nTSXYVY
0tEO0I9CImIt/xzUqFnJQuIAVCcJ1wgiYUjGN9NNpQ3zWKrF3E2W0NfJ5KoLymyXw519mh2kkZq8
v4udEoe3zSN3QjLG1B/6XH6AgwyvkOYX3F4cYVWs9jS6kAEicIV2urQ7F9WqQ9lNltzrOZDfbMhk
eHE1o1XuBqdWb9tmmLGaShlHgO/MokQueg+RH822QvV7hCDEu1lZxlv6ezdNOSKaZSe4V8n0fU3L
8dwLkru2G7t309oB04JVel435VU+DvdBJpMdIitsU/m5Vfpzgf0GtNK6mB/Idr4FgstNGfOXXv0/
5s5jx25k27a/cvH6PKAPsvE627v0RqZDZKYkegYZQf/1d1DHQMrSk27d1gMOCjilUjL3ZjC4Yq05
x2zcj9kED1BxcjmOs52v+768H8P4xphkdTYb1/iQRfONNxI+ksfpJ2v+onB0BXH4JRnwOoJbOU1m
fMUmFa9ER7hWC3ULQ9km9JtqO2r3UxyHKH49+8YCNrBuvXqHLfTJES38G3M8x/54VcXRgnWQTzHN
0b035d+6iTiqwIZpVr+aSfoUevinfF8CAuyaYK3j8cUMBYkZeT29Ud/dM5t4DMzc3MHYkeRrwPDw
6rpaQx1gCKKxvLPGCmJRsKXfN1EcrBNevBcJkEdZCAPtnkgtJWHPJb51U7jkg0uML2tAhBfKTwxv
BSqCtPYJbJKTcQ10aVh15VCsLExGXMH0TqOfMDbGvbYqS+mCNSBIM3bA+llkuQtILKvWqcnUap2D
UeUGsXPZYzz4e0odEsyU12xHnpMuRUVU1DFBNjxDQSVvctRG4ExIcrPTr0GSuEeqN5BSqrFdvQKR
8iWn8KhXWWmMX9rCaz96rVWdIp6ziytngv6qfGfVKb/6aBClW/c3ubaMdW8AJnMN1a6tsnoyp/48
CwWNM1wOGTGEIMwxyBLnI9XE1axR9QDy+IrXiKHJAFGmsMszM8mPVR6dtCqiPeE4ZFq7hLG6NIsW
Of3aA7iziVVKxF8f6OtCFE8iTmW5Rv7OjSnFYzMjV6x095S11s7w4ruC+mtFlwIAhTfc5VnwFvsT
ITJuGl+Mxmu3tZG8aTvGAWuzIxKMMzHcjMt1ZeCeCO08vsrq+g2N2QmDenAKSR5akRLxLTA60JRA
yr5xPEzWLubfbTDJ5EsbzSTtFV65C9yweMBoUjyBH+em2ElIdWNAIKoBRLSdlWzyON/Nubmnat7X
gw1P0re/2mXIPNGiqdHpKb1Kyyo4qnq6Tyz3YA39QwkrvO3q+0qP2cdxbO7SOPXWRiKI9q2DN2sq
yN1OCuc498qmnzVlWx82zspqGDEVIxjnNr2e2Z3vVdPfm8TQrMKBDDefDGk5gtlpaF7X7pPMOVwE
YbwKmvg2y5NTY3iXeezv7KRho+v6a9vNr3NRP0ZzT8VJ1+KQD/03OWPIRIN5SWJgW6qqLr2NUGuI
E4luFK6VDhcNl2M759SpJKXqcM6l9lfYke21XQyXQMf7ppTViipDkLY03iFNip0dwK1lCsYNL9tP
wINwqqICNNhw4ClWSX5txgMWcNNfYU2pgDyVb5xsGE8oTZYrYEDi+Wj8sRZnt1vFYrpu9HRqAVZt
8WB/YgMndTOdP0d9mmKDj3mJO35GnWLEFyu1zSt3LFAUFd5aBnN3N5QsSloXqGPyYoJUxXyv6hEi
qrmFYCCnaF1F2a4P020DuSYJIIe5ZJcSo3Of2yFvcnT/a1WXL4MRijVYyi9mSs4p3YBwF0AUDVwU
IyVAvxVi35uKOno9DNEj1JuLX2Q0ZWxsRWVYv8SDde7jcLzJo7w7eLFrbTJHI1qcjA/gndKropxI
e6yja4mrdmvRYCjK/GgWj5EAIjXACAFy4TbwNszkSiTZ1gwUb2NgPkxLDbTEeSOZvDlbUBNf0j55
8wVRhst3C0Xi0TNBi0yzK44D6SXg5hR/o6QNp+zC2uRJHaya2d9jJd0bAz5ZT9m3gbWMSB4agr52
Y6P3oN+eYR2tBjCMiM9vqTQIQ2Bi5ub1ho7GF7voTzqV59kke9S0SVPv8nCFpX4X59MOyzQcfflk
ltGXrHJ3Xutt6RxtIc5sJeLBwWM+r71iNZf5J6HmTeMMTxIsY9LxhtXSAvTvurvWJk3ACYpb+qfF
bux6kuRLZ1g3ToF5ukojKk5uB7avjawyfQ0fioKdcT+4Vaaq0XAIR1ZBWjn7xCN2Lx7UQ9NoEscM
OLf001ZevxQ8hnw228DHqm9eCsO8t2P8fKSLrv3ROFuyzbaFmbcnf3IgQPQu4osiPsNnqfbSQzlq
tUZV4i4OP6d0e7YRLNrlVeBtxnC6nabsPAfVJffH/rqv5JuYPAMWW4YxPaAip5r+EJTNrYDtetPN
fnLw7JSnJuDVXc5QD4z0QDSX8ZRyKnmMg/DVX6ilqTjC2rsPfOPRizDeaxqEo+9+S0XQcwx1OLoJ
8dkMIWKkPiiIQTD6hJR6lQZ2tcY7k1Ji959or790LbmtkRL11q+CR3+wbDC89k5Wxbwf5xHZeOk8
5nHwgJaQUB4X6JtUdwJG2DUBQWo9y/mzOxgn1dY2A90u2RSOuB8L+MFCR9G2jOtbI08JX4clRYdU
HCnS9lPm6V04QmcRicfw2hM3aQQBR0u/2TFuuZNN9porLNaTkdzIuqDeakdy2gLdfHOt4g4QIJs/
fSQcxvUzvKVy3Uz1F+kMd1Ydusc6mJwnw0L6bw+tty4iiMidpcnlGuabVngtlrmYgXWckRKNpo1x
cwLOtuwudlFfMTIVJ4DGgEE59Wx4X+HUpheYX7Hu5jP6+08tSJB1VU7sc5QjM1voRYSpjDal5VeH
KJFvRpuPp7YN27VI0pumjW4qnZ6GHq1FXWbhvpYtbx1U1VvDHfK1pWqECkFir8EbYpy2USFkjk+A
t8IbEGblczPrgwhGtjN2lpXZAKErjepSeBkZWw5s5K56kqXxdfaagAG9Tq7MoJlOUjT2rky5zaO0
jG3hD/GV0xPYnUfHZLD3DIYgcFRc2C8WGrrgCQqYWVeFcQuQZBfo6Tnu22cJZ3M9TPFRCLVnNyNy
LCTha3QustUAJRGO2HVzcWbiUr0JhM7CevBqipy8TO67UDxKhOJrb1a3jel9nKrwJuycQ1ea1hGy
BmyHIBiRbQzbLNZP7mw8WWljnptA3hGNdt9Y8r7sgOjmc/rJ7AnUrXjuZs+99AWeECbmJ+WFJ4QV
WwTeVyMYMN5Z9o5X9Q6EKnuUFDu3U/thHLf0MY7F3JL1G+vqmvg3G4ZYUE0XG7nVtunDY1pGd8Ba
43UvAOiZQ3QM63LnlMNzWQDLjgtrO1ocasc84KRsfWvrcXl2a0K4TeFvRQHRYFUg/Qd/ENkmZ1bZ
OwFnVDuXCAuGwd8ZQMFQnntD+MSBsQUrHCXFujENmHxADaFRG1kWkW/gWOZ87RUU0Pd+qnhNT21Y
6MMirL1qtJHfjbFsvoHRYvMzMHLDenBS59ouFORuK21d4xSN9HzWsfTsL3RyvGejL8eDYSbDdQt8
u91boxif6yirb+o0MKO1aaUG4lyvs2+j2oh4WYNi9Y/SKYpt69l5sOGRCpqNqQeSgTrrUaKJtC6d
14pHv4YiZNNV3nTxdDPb0WMYTHeo+s3XcRzdTRO8sN+RbTu9OmpGuKucFUl22cmPp2JB3mRZscMh
334a+YJYYRpaaCR9TrxJf+fZZQc3hPupOSxkyVVkxI8jOssZmf96HIv7iMNzMXe3dhze0QiuCCEc
SOULvZsxKWh9TDK7skcjj9ZxpKNXL8nymyQjUzgT+RpFxzqaM3DojfvaqEBssUUPx4IhMXv7ov+I
o9lbmwZrd+0p3jJqiE+zk4G080d5Iyt17rv+Q05M5Eo3ZveohP2JtIFnIVKacEVFK7xOxGsGyZ0z
R2ShJcnmcxoikM5E8gHcF1oZCz/loWQvWYFaei6moHgo6/ijXfLAsjYkuEM+k2tIPIRF66yo+poZ
4kuFaKiH/bcm7RGnX9KrYVPG1QGL0tFwmnuoUTftLFOMr3Z0Zrz+KvNM7uN0ApRcGyW0zLGrXjiX
xa9NpeDr13mD4Sgo7uPaprMLkjCdWsNjljDc06DcQNE9JYM/3449wZiGiuG5dkBpLdgYqy5LsotZ
xd4DD/gLQqXblGr+pgpVJiHsyHwLbcl44iBMxzVisPMwtWo+8lokCI4X62NdcsYr5jm7FaKbTmIO
P8xmZZyQptzGTvbB5T6cpVtJ6OTh/Gz44Jpnija91ZirniBwmKsuyZPtkLTlE9jupQAvvQcrjvkI
xKPC3XKCI3QtxDueP9zWc5i8Ednkv3m91z8jEQOE07rPjWUGZ8L4ipssRpIVeGN2VQQwOdgfa71K
cWlk8BeJerTP2G7J+ak9bxUMemsmFkN8Pb5lQl9xW5igDeqFyXaxUV59B5xqeEGYB14+jHflGDb0
2tzkzHik2qqmLo89GPNjIIvykPZRfZC11z854xRhfwv9j7aF/AlQbYcHd7Z2AIstpAR2tyXbFX1y
GG4BHi2Amsk+OJVPqMY4+cR+Mvc2J9KXkYSupe3kp9nU/Y4HEDy9F/Yr4VHIqEB/HKbhW+ZUuylw
oi0O5mRddCAI0gTLG0mnOttPfePLh1iZpYEg31dXbT3TsXKc3nxyPYDhiMuAtQOX/0STZKKh4psj
PD/POtvpaO5D8n4g+4D5TdrudnKopAvPL459HpFBC+ihWDVq7He9iRtgqj2xGcsBfGhtF8ZRTn52
rUq/PhEbgtZPJpPcSR+45BTE8YMgX+sKuM/FKO0SQqRXfCraNPlUoU4dV5ZGNVbWwnyxk1ztQhrH
X4kRsBgSOKgCuzhVL2GYJe4l0xE2kCqC1ZUpbb3VS6eZ8xI5pjLqKFR4dmKyeuwkY0FO2DghO+cT
5eI41b6zw7LU00AKRAtrUo+uIe7QjlVVuOpcFuRhUopOhUHXmud78ICXt1n4Mpv95HM4mZOQijuI
6+hkJamSxz5qk4ouNb3dk9VaKUA50PI8vW2nYBACXlWfM37m8JF0Q94FVt468WtoY9a8QC720+NQ
dhrOO2OFZ8iX36cSPrtdR5osRH47qLFl9FRv64mqv6XWNq1900SOd+Rd4UuOQH6cPpil67/GJYw/
UMpzfBDfxwmqyXV2pDydXAqKSh86M62DOwDjUX9yw144u6jV+XCQbdl+kH7Boqpyn38x9qMDmhAz
0vdGiDCyU2KPE7TtqXMc2GT26I6nQU1FCV/GhQc8dRnJv53pHJK+98O18sC4rRF/YkZfKRxdr8ga
zXVZmoH8ip5SuzdT77vlNvPKBQFFcka8aeLBGHeKsNbmQFu+hLWU+AAqGF6WUEcD06DT09dhfnLS
qA22GV3VjTLsDcdtgiiMu8kd6cgGzWspxN6B00vuwv045MNHmdF+Dq03Y8hoFOobRRpBrzQMIXIf
bnk0m0NPi/lupt26CXRinbnbnxKq2qTvvoK/mrc5dqNPukg3bkA3ctKBpAiid8eJi37Ddho4+ZAY
7G+mjIbLcohPiGGrBUfNzyoZCNE0fYOxUaytHaf4qFz1zpyvY/UlDYNDb8CAi1v/Wvo4VfNw3MV9
3NzwV9wHWub5oxN23rNp1dmh88bXoCXLAo6oAFrsDFuOUGDDisYWJ8nvuspyEXCLaVNutXIq+nV5
H4bF3jVb6d8NRRGITRZCRotH5U977fZBQuIazPVd7Telc+mEWb3G7hAvxsK0d0+NHkpkmMUybt1Z
g51BU9QpB3rXy1VApggxBispHI4nnBu7ju5OEe4ldD33kjbZJLdNja16nag6JTdqaHxxJtUCHIis
7KrcsWAgMzt9PxJdVcLDvYm6XvgHW6aG2BJGDdi3mr38yupj0z8PtenII7c3nQ9Wb9vzJhpbfm8h
GmRjaEaYwqLmiIedbFo7v6NiHuPHtsB8dclHk60AYjn/nNiFgpVpSlJTnFpDbSMp4qLcMGp3YxXq
ZJd4bk2WfBTEwUqqXDoXoN+T85A7g7LOYevp4gA1DYc0qQl5TSja922iD7Ku/NwDoUtvXe1k5VXe
MNbZmEOn62zl1DGRzqFfmsZV6Nd2euAnRzQwVFKc0Rx7dDNVcxO7ihOWLfLp5MmSV6Kb6xvW8Nzu
FFHgxtZBqDA8d+QVbB011inRqIk+lAbHwKKgvXGbm7U6oCMblpnPcwPTDNpsrUMQwkwvY+rOazD1
6ZFZ3DdsYx94pXLIogA/N8qZbti823PqgmzFBnEok9DfI1dYlB8DvRyksPvSlvM2mROg+obCBNiE
1EaVOxwTjQ5WLcP3aWSutfZAiYLuz4wdM/PoY1TZ2lraaslHAtaTYacHREmc8pXKDrSgqS171U6X
StUJRV3KWvC005wL4dAISgo/vC7HaTzYKfEmcxdmHscQGOGRzKdsw1qmci91pR+Xscquw6b7cVQ5
ctzKCaq3xsCO1CnvAtk7fx1jawLFHNp3vU4HdO5Bjk0DhtVxNs2Hzq7Q/HhmukOe4dPIKURKz0tH
66kJ9c6IO/uUskU0p5ED2d7uiq9FbGSbPIyaB1thPV7TkHP5JNOME12qzyE37QFOWfsZy+SwMYuQ
7ITKrcjS9AprZUqD73RKa6rZifbWrEz3MBO8dqqsaLwVnFRvBetujS/zg1vNdrpmUmu/FnQRGJyJ
1t4w4Ziecgatz0nuyLvcEh+dgcbOYJXBthz76C6Kunrc5sF0W6rIZGcA/izsqr4KlMJuK1tiscJu
WKIduE/mVORMJwHkHlXYFvsAWe/r0BXtvu4HebGGSl87uAhWgg4lp2/PXvnJsts1ybNlRs5Z1N2r
yu1ii9TvKNJovExj4294Y7TXYSucE/KimgmTql9EClVvYzX2tM1VtfRIM6eXO6aJzrbwAMttQHW4
r52RxN3aCKvG2uocUToUYX96aUSeDXD0DZtjf5behgzuPuJOaD8SKMprwjHvDH7SlWPN/k0Hu3Sm
wICyajI5DjcTI7PrgVJkp42q/+LCA7mr5kTfGqqD5y3oG1lw9A40FOhaecqhUWRlnpusczk7n5Jm
xi4wBc0W9mZ1rd3YPCiBDgCWNq/mtdVl+R5EZLH1EerEbDxz8jmJ/GBnJNIEasxcmxFsXbOvBh1C
rnqkT5zYLZoz+zyTTLS3sLDTJiltolZqj0wYdLIWj0oQgJAPwB+aFccBFJV7BpIg76sksvcJPN10
JYzCBNtQkVPrms1VbPTqVUyZc53l/Vci0cOGs9J85EwTr4WMoGA6OJ+hMEvcxT6FqJeH3tlK6WVF
s+ntwS2mxgoKnns32mL4VOvaDjdR30xXdmh691U8UHkowAjzXAXXNHCCVS6jA7zdA+e3dKdNQuxq
c7xHE2I8Tn7V3immYpSvEARZ/8gjQjPbNUXqfNCWt5zcIs85EiEDlHUcpbiPUhQAgcyKI0lG4YGc
lejQZYIOXRpirTXliUf2iM9w/oSajq52TO/RzHx1Z7iR3iSU/ZxodZY/dM5gfRw8O7728hSrjgOL
WpaAYUDiP+f+0l+1yjIDEQPT3ZRoC5DjkRRDgc/ZDuNAns4OBvy8u53rrqDMKCLWfxJ+dYZIfynz
6muRVcNaNV330me2uG6k2+hV3aFAFbrjOsz0GHZDm2ckTvaLnVDYZMWJFKIdGEfgiZa3c6Euj1HV
Hz3SuuiWeifbxm/mCBz2oZw+aTvLtghJnsoyf/NIa2Izgaw/1YDEKvMiPTCTlAvoBSOwX/SvyBRE
GITNxCiX+ga0J9ixCtAmfboLMFgaUfOY3NMKr84kRN33VM79EsCykUTl0HNmHElMQHiSo8li9SaO
zHFpTMlZqybdhX0fn9F5tNwI9sRwCHkBgxpeF/38MJuD3EDZ19ueRbwGuYeUygy3cec+CjN7LdGL
7TBlxRsGgltqL+uptfIDrfbsVIbT51pbehvw3Xw1JO+j1BlSd+0709Mc1IO1qtMByWAJn4tIsTFI
ToTshB+iMippWIop5W9YGXtlX2rA1REHg27gTYaPtTLOhcGxWvaD8Tjquj3Z3TCdY17PK5V0+SGk
m0YTftQ3ugloKJGNvmZMnJyDXBALg1DzGno+PXTazhOUsj09RQ4hHLvWVUDa0hz25jojXu6RWCfk
Smyq26oovZ3kLbhzZzvbTkYpFrtxdxVbpPhKk2iyKrX02tIiPLeV4i3oxd69GYnpMk9d8wQ+ZHgh
Ayv/aPjGcZowJ08dgW99JuWFLvaaGIPPKQaeWzgB4dknY+oEBsc6NMrQT1HgWmfVmMFFxk3zheax
eU6BFZ8tiyykaHFhQdE2b4QZGNGW/YypA2Myhj5xtYYeVx7qCRFhGCw1o5xx5IxOviXoItzZtuHh
5Mq99rbzK+M6SBlbxBz8H2ujDm4jFKfbwqIXZsdYBqFvF/LetOsX8muqiy54He701MuDqKW/TV0y
PchpaF/Dlil/gah6xeGO7bm0z/7I0etqos19Hw8Jk2EyJhpr3dPqPRk9rcalZGQCJPtthBt/E5li
3NMzsU6CfMZVEvEJKoUAKxvobO7yQuuTP4KdWKlpCk4yh9TEkFt+nthpxgNPdfigZF6QxlSXIxl+
GkZo25FRNo0We0BatNsJudqhFFMLpWfkaUs9pT5EihKT3kcQqk1v9pip6NyZ51EZ7immp4I9qmvE
kxvb5rckmMJDq6jJ+ilxzafa8/Xd4LrGE1lH9pWqhDrN7QxfICivRo5Yd07mqVMZ+fLeKKcyWdVx
6Rx90XSKNro9l+uB4Rh4g56TvTlOV7T2oddwMDRXPW18eSz8il3e72OL/nWseohzbazWvt+SASCB
gLyBYU26bWjP0VPStPk3J4+IuhkM3gVBwKShbU2WjQ77jCWfSpPsF5lmj3Y9eS7pMDQiN6lsPGpg
S59brfM9Gxo1W+ER1reoQwYkv8La6RbOw4pB+wMahpF+didvjYTTwmM5sPvBw+PjRIYT3DQ09DIE
NJaynl00FRRPmR+fgooQC07kvnOwKxoNZl0C8x4TycjDHXsPaG9fW9Pacrv4q9lm5I3YAplWneQn
myzSV0cPzakNSXzYeM7IFIOwO2LgOGkWfXUlByP6YM/zazJWARN5Zt9EBZyBsqaXPBfjtTOa+U5g
gKwZDS6nZFd+cYPh2JrkFDRhdkVK0qeURU43cUxx4skEnnHqBdtmdImWjOq6LNeorqobD8VUvEWE
xq5HtX2wIqNZkUREZ6lzsgYAQiT3VlwSaOhDCOAzLUyUxAhc4ufEG228dKeaaq89b9jintdXRUaG
lipyk/EVFgUk2f4Krs2SKemFu2RSZJRyaFg7Y/BG4BIiB8SU+7Kx2g+ZYcXHUEax3hQ44Q60o7Do
RwghOOwaq6kZ41u+b3RE6PHO+ZiBhaoG2e9mjDgg/iaaxzM3yUjaeoPnMjXOoTmXj/BJTdgA5RBY
/GF1NbvWfBuEeDoZLsUGYRa1xYyWaBj47SuaXsxHXYZBq5LFByY3bbOjjitqdP7M3Go2aQbIZWPS
MUOiwoEkPvS+4yjoCkNPvqif7Gj/Gd26Gtz7gTHjDgsF8yHhIsIavc89sEyDl/+y+oAKHDhhtR/n
Kh0OllMXFA5BNawqgvA+Op3HQLWWrvioPAOtoFBTedVGXnYezJHfg6IPDjhLv4o7s98Yvb5LHFqa
mqwW6tBKzseUBuwflNjv3e1ILlHp+HjlhQOFDA34z5JLKbuW1Hb5Lzn9HKhpXA+l7wOgZ5OjGUOJ
wJ61nDpbER2nYTGvT8jFNn6rQSu0IafgwxBFBSsWen+27IbjbchEkmosG6sc06zT2ZuavFDja9lO
DGfyTpbDP/XDf8vY9yhL/vcelvATxup/Bl/Yf5XXL+VX/f5HLb/Nf5BYeNj+9dttXtqXn/4PdNS0
ne66r2q6/6o56/zb/rb8l//TP/yvr99/yiPZZv/3/7zJrmqXn4ZI52dYlYlJ5De+v5f55b8eWpXW
P1r/MLb92/u30Bd83Jj/QlVZePX+TV9w/4HpC3gkcB2fRfIjfcH6B0xiuq0C24tlOQvB6F/eP8f6
h22zD9CERTzCac75O94/h9/rRzk9WnBGcOBVFl8EKc3+OwtGpVtfRDWnOfQI7a7vDFFd9zzcIaqw
yBHjyYhIIUFUGh61XaEh4F8J31MHBXJq3Fg4UpBA5rZzpVF1n70mNCaaVGTp+J4zk3s6jtmNdmhJ
q6SKFa7oCNgykJJyQ5q2YdxoU+fHqGCOSEJn6mV7GtMJfRLfig+t3RHnKkiFWRXTrOXu+536W0v6
f7Zef4tx+/9x0VrYIv7fi/YIivGn5br85/+0qkJaBLhtLvwl4NgmfcF/L1fXXUyscLK5cUxwyQ7/
j1XVCf8Bq831cGQwLOevY9r413K1cbFCUMck4uKvXP7a31mu7ywnyCCAQNjQBuHiWNBD35k/SDzk
0IzKaVvmdNhOvbbTc5JpKzqMQe+Enz1J15daIwauvPrhG0JpOsWy+pFTsmzUP9gnvl8aHsp3jy4C
v+/a+h/cLlUzIyHHE7uoeLKNUWXT4+D2et31JpLa31/r/ceEr4RM0OcA8N2q4S0P7Q/X4lBEPBxw
AF7nJd057XxJBzXuiG7zP1hNW18ncTZc/hfXBKBpL55QB27mz9f0iMkZJaUyvEhij4QzNl+BtcUf
jDo3rvOmvvdV4P7hmsvP/PE7XT4njFnLxazkQPp+t/l4XStM7QKic+sYS13UZg6iUBwsKOhGBr6w
nO9+/yl/dUW8r8CH2fMEseM/f8qBxERVoIbbeASunB3yOs8+aQs7EwnWs2no7g+um19cbwGawcpi
dwVf9e56GmVcgGp4ggQWn5M+J0U2Sa4Vk6OjY9JH+v2n+8W6Qe0FEhuzLU6z96gspUPyI0abBMu8
icFtTDeWUSDa7AyqDe/gBMnD7y/4zmiGow4tEpwgLHyY2933RjMqkTgopnzapLb/pHtOeh4n/j98
h7+6iA9ZFJ69ZYUExv98z2xjxMus1bQBflzhNUKnTNQFCTnH33+Yv357lJULKBboERg6853VlByN
humENW0Qys3t3mcKlt4wi7XjXYcmEtREhpT1PGe6BG7+967NtoqVDacgu6e3cCfffcYyK6smQQrY
9xMC5rhun6ykN3eRthr8BjRJ54ov+g/7zPtvdrlq6IXszbz+uX3vHMuEhkQkKyUzGLMqKjeuHzFr
TWj6zLvff7y/XIidjL0b55HFWgnAcv60obWGr2RCZNSmJUWMrmpS3dml2fzBG/irq4TfDfSE87L6
l4fxh21TBAg6DQ+tehlY0+c8C/WSvZFY/t98zDCTChsXG0UYZf1fHjPONnWcyWjeeOg8vjDGt7em
Z5VMDMvuzGRGkN4ct3/C6r93b7EqFhbpd/gSzCLff3eUCLqoWNql/QYrS43LKkDdoNFK286BoR30
lHAb1d0efMAflsn7BwNTOS5SbyHsYyjlGfn5e3W7id5kridwmU58GXKHpmBA6FkdIAfdxq5M+w2s
hPb294vm/RtXAAzAWIKN8jvz+T1iRVRhPywmt03EqcnHSICyjtMxyV90Air85n+Xq8n1PNez4Rri
5Ger+fljllIN5BoaRPeoxtoUvpSHKMyzPzwK798IgNwFTGcLc7mwuNC7L1P0Fs90UASbOp08lJRi
ulVTNe8NHMjbBJPmH954f/kWuR7kA4Cx0LpNHvOfPxWDQTmM5NVvyDzX21mFjDlEMqQoY1teF39Y
Kn95BLkaNZ4Jd5NCzXpP7OrcsWxTiKIbje7kqNpg8QKN6g/sgV99pgWWwVPo4AN+D1ur0yzxjJlB
OkcX8VaZUr65GQNHsgsNY/M3V+HyiWyQwjxzQnCa//n7a9EF1l7hC1qFUbFtBp1eefhVTphopj8s
+F9+ebAnmUgGFsU0VfSP+xcZ9HPmz3x5NmlStLNJQZsZyP/dXXL5QDxUkBsW63bwrri0tRcOzMJI
BBG9fOyrmoZ+nFV/uEW/WuY/XuXdZ/FRLGiHVuGGOY5xplGBFpxAtw3OMAd2Z1I8/f42vfeFAylc
PhZHT3s5aHjv3eg0b0mKgmiwUX47PNV1lj4QBe+c83TCJISzbcWf2rsg1+aJyL1uA9XK2cwMF8iL
9nZm3Oen3/9Kf9k2l9+IOsx2eUcIytyfb2eS10JgT2SV6r7cGZalLqW0BNP2Klkrs/tiDsp+/v01
35mJ//kteEuvkHeTSx348zW7sprlWFoIxLC04Hj25n3IOGVfiM54xrN1H0fdcIVgRBx+f+FfPpJQ
DijOhY2f+902k6gIIXeJMs1peudg1QWuv65frLSm+MOpYdmHfzw1fL/TP1zq3T4dVHORDjOfsUuG
8UL43L3dEcqYVHhLLac8BNqcH0ghZ3DjSPmHm/rLZxQmoc9516er9+7iMqSpORjcVJUtaoWQweOk
YfD/b77N/1zlvSe8iSc/GbAwbGanH89ul2SrKgzqNZoN9Ydi5pcfaNmy2REWed+7D4R6hnDEwODG
2WG/r9Brfxay+9NB4ZfrEj0j79WQQub9QYFg8hirAV8bGtPqRIqrOPXREH8YQZC8SPJzT5znvX1A
2O4fvspfXzlAcQS2YFk1Pz8RSVCZuM25cjHkFsaoRloHH2vTzutkcsIpqjY+GX+7QfX52+/v4q++
WkpeikQeCfR67w4uM1QjYzB6Lu2k4mGuXHlK7TH+w873qyfvx6u822YYUQ+mo2cBFd7KdnTX3HVj
aUDkY/jf7J1Jc9tYmkX/SkXtUYHhYVr0BgRJDZasWZY3CDtlYXiYHuaHX98HdHW3rcyyo7q3nVGr
VKUokgDeN9x77nj9f3tD744OpICVH2TcebU/9eeFKhJ2ROPv2Hp/dXSAQxNMIkIGpxt59sdj0K/N
vmlt3pBWdRjjv5p2fUhFZkFvZasYNP1vLpG//AR/eMF3R7zpdKY75LYfK68s/6hdu4xlUuZPSPud
/8XdxvgK/bSJmNQ5rQt+aFEUxPFxCTkWp65z/vC7SZ8TKD/85oj/qzfENAVuL6xu2Ezbz398lV5k
KnW5p6UIlx3tbnJpky95aPj29r++JP7ypWxny5IKKfhO8+UfXqrLzDRrsbjHCol/lBND/+qz5j4b
k2z4TSX7V7cT4/IQVB217J+uC9CYa0dT4McDTKGd2SrCdg1X/uZi+OtXQfgP/wj63jbI//GzC0Lp
OXaXQpCEbHuwnKD9oJt5PP/1x/a7V3n3VELYRR9j8A3pDk/nmk7GngzT6n/1KkDTGSfCo3nPHlJJ
YOYL68e4UZjhe7LXyVku8t9cAn/1XtAUecDuKZRpin/+xOSUrGKteC90yiIK7bTi2Y6n4Nef2F9c
aAxdOXUhU20LlXev0tvuOBZza8VhUWyagAUALoo2tzu4ePTD39ynf361bQhk0uw6LgvJ8N0jAVcV
MccJzkpBH5IfPKj3iipyNo1zs3GRRvz6zf35I0SmA5yKJZEFe+x9Q2OhpNSmmcEZ7CrrQClFUC4L
vt80Z3/xplz0KpSjGxCPk/jnL6oPRhv7OaqUZlB4hJXfOgjLuhTDNMHQUv7b1wWAKIc5BcM0lyfE
u+f4RGa9HQLejZvcdF8ZcGnBigeZ9m++q9Pf/XNBCA1qm8kDSUMB/j4XpQWeiSkicON10nL+mtTK
wxtokZ+uz2WoB62wTQpHPgvtC/9oTs6MZKgikhOdf0IvQS/AT+4Yetv5oaE5V4eQQHJQrnjOC/Bu
wkInjWAls/dJj+J7N01W5xx/fRH8+evZUhVMGJwmB9+feue0g3k+dKBo/JF79uD77gQ1wRFIuRZZ
N3e/frX3pyzETwIGGSfxOBXcvu+ucL6xlb6HOIENu4FDtjLky6iypoxT/jvSA0j0/h0L7f075DWh
fSJJcyxktwRc/XwB4rfIm7IWIVEDoKcu29lxYCgHzqbYHSF0/eZ6f39X4YHaNpqO5zDNYYb07lHu
hvmiQjknDHQyn0GE6YmXzpvs3zyZ/vxJbtT3DVLO58i69t3LGEGNmWvIUBeUPm4Yr2z9b7oq7Ch1
k/azK0drjn/93f35jUGT2/7HGc9M4n0IB5PgmVmxnXAjzx2poXVx3s7QbH79Ktvtwxfy451FO8ev
F2QfsQ7kOfjuFu67ua/ZAjX72S5r+aXEE6Gw4FK83OX22s+HVJmbx1wn46cMsmWcjbb8WHZV8DGd
nAXZWrY6qF91WBtx2mTDvSpk8gU+tpHvOgN3Mk/D5tMqU7Dj1gOIPrAStp8ECI8Tx+GqDJNrq6Iy
91Cl3FDoln40MHl5ylYFMCNfi3vMKf2dYZPIHa0W+UuX0NXb9nLGHBHjnB+yMz0iM9tJy9LX6LVc
RBVY4B7cYZyPDkmboAd4/O1zMtKf0WZ1BFsofW3Y6luL/byNgnE18bBm1mtVkHE/W33x2dJhf9n2
fnkzGxbHqtF02QPQturgO/WIeBSiQBdAYReu/irRbeTYnPRwT8bQhriYNqbsUqApRylj+Ng34KTl
m5UwbY8pYmqMSVDHkKiuEwIYspJmxnViPfPmKrhUg1Gh1nJ8IPKGsBFNDut11TfF3nfHDtcSYuBI
oyfcMCumxuw8oukVAhv1IBNs9Q65OsVe9GUA+CzprzQatQI9bW2++Mm0PBXoBQ8Q0IEVub0ZzW0R
jsikM+ebsKcth90wkItlYz5HXdMSl57aw1mRUe8+Da1vpBsLavukIBP51xle32wH+xyxWIXOLDhA
JiTBJ8gz1392iKR3oyZU5tO8iXfmbHYhFOEIqADlWM0XlLvEksi+Tt9K6C+XPV/x+GBYZQNquyP4
Aotv07BiTCMv6D302FAU5m/V6mfWTZ/yH8ZOZ3sffW2FmMfCqmc4STgoA4PFs3EvYqDC7zWTRXql
ENJM6Ca79ixJS9HtFYAiKOINNCO7SizvMjWrAsMZOrH2o+Kh4x79ys3N12ms8vaAjNt/lk4GDYBM
93w/Bmn1bC/FnYUnL9bN2H8CXedXUW/M/hhVWKMcjCDrhm6amvCP1RrkjW7HFSFGmVk7oPXyajZs
PLvkrIidMEtUMV1PHgRPs9abY4aemGUJo0+BuNfzJpQacq3TM7vwZreHWuUpF+FX7luo+ZUUuj0X
2GSqQ52H5XXaQHxBGL70SNpV314PPS+2IyE4dyMFkqKMAWcNckfIeaDBz+RQZu8a2hhmLQsGjuXR
GReL+2gG/LQj3zWAZFQpnd1xQI4F8tN5dTFhFm1x58HF586eyXqAcZOKcmo+hqowqut06A2wPHwc
9rBb3LQfUaUFBEuE0pcCcVbXP6k5AJDk96GRfq5NWTtnflpLQpSwo6K2DQbcOeD0t2iBfu7DSKTa
zFh5thVaYzPf8F9+v05x2GBdIyJhmPjF4PGTgx/0hY8rIMXSD1sdv04uFQZQfOA2dtINATibddEc
ah20N8HEnXQA6LbepFid6jjxJqIH3UXTajkq9V6rBAv6zvCB4xEXlzjWocJ/z+pXzfBY2lRvLiwy
lDBDmgjS9lkvMe6mBnJIwwm1s0djja9gLpfsY94ClYqCrm4JbjBtgFWoG7FuKEPHjdULD04Ga/nM
WnMnDuZZnvvgO7AH51b6mnacfgSb22sQr7pYcuqZtCSvrS7mMPa7ZP06F9J0dm0dTC/g1qR/FAVx
6zzO+vSL1xPKEFdNirdkzdA5RKrIC/5eS2bPXmco4h7UPBt7VvxGfiBZbjlCFTGynQknUUTD0ngV
/BlTDVHqKH2JXnSqCWhmS4VPzJHTvjV7wrDa1KnsBVlXsICigtLsn/uzNXtwxx1mtFwDlXWBMj+Q
B7PK/Q9S5zqEHGWASgCrsMyxEIv9nKUqzI+Dky/rfvGSAuJZPek3E7FEdj4FrVwOU5Z6H0I8Lk00
ua1p751gsW5s1ep8Z3Ur8MN8yPw3MHHhNaWTI84yRNsvaG9X88LBmc3Si1xO4rrbfuO/NTXPEQwJ
1rd2zie4SpXbvpRV7fGmyDnGP6NTcuIWH9HmGg4BaRugPtuzgaPjlpwLmwOiwUG169bSmSM38cNk
N9C3fUjY27wasvG9qLLmWWCuHsAApHhw2qPVaAcZ/4hJm4tsSImHUKa1t1aLd9A6GmEpCXe9iJpB
lMURE7xzmzVF4R4yZeAFVXOzvDYYDMYo8HSfxWPpd8NBgPjBv5UuM/GblS/KiAVRiI/B7mfWjQJU
KYQyc/zs8BvBdCxJOWN/WJxhn3W98WJ2wvk8l8T5xlNVOZ8KUUmXT7SX8mixYD7r3Q11YKllu6Kq
GfqhiW3lgwVGr4RB1iXflCEWGfnu3PhR2OEB2ikMDP1BMuiwo8rLx4+BVXoq8huDWQaTu77ZCy1K
TBVMZoNdnaWAuXpDy8chX0sz7ipHIgLG9jgeXDEvX9eEh/W1Z2fjY7LCqj2EMps/CwKjP8ihNO1I
5Fs4ylCn1TewPjxR22HIwtvGm9diF+QG9ElL91UJJm2Ym53TL/gYGzPjfJsMxRcYVuFMTOwkfeOI
lrMiQ7Au0P5qpPnNYeTDBu0kNW9xttIW3/xSYhzt2KH/4QaL41wqv0FO3dY11hE8c2t4kZnIz3FZ
lUGz4xbL8125GGMAVI/nLIYOJ+t5EiBeJwDIaq6zKZF2JJkwoP1e8zSkm4BJctZhEzg0XVPhiwvn
bvyEajl3z6cW4kqsezw4X5JRF9Z+FXYvr5t6ZWGPozxr9Z7wl7mOsxTo9+2q3FWORCM2WfHVt/EU
vA6L4SWMH/18xOw6e9PaP9JTlmtzPfvI8uWhHs0V4wzSFFHUtwSlzHZymNyhS6x9snRzS1dvWDha
PcxqbodpwTeacW+2K2JibHaG15fAWJcpf83LzJaffFJcYMoNvTvzKKJgE9xpXVMf2srT+lDWeZfE
7iD7McrTamg/JnYJ/50/wNse8VBjkl6U33heD+neV1077tosW8mMqRhDRVOoGjvqcLJ86wtIflGD
T2gzfAvnINzVPdZsGsoDthWerMPIv4m5ge2rirUOhypeBTdyePClu7qlELrqBLTEg67S7kXwu419
AHDi6Khhmo9GNQxNHHQUpVE1uhtTpVrm27IYMIBiozY+TViU+4NAl9/ArSYCaD9XErb7QeHjR0hu
psN94xCrvUc0VuhdZQTjdCjXIsXfh4PofGxgJj523ZSBKgtEGzwjfO82zbSff5nQAuKRkwOnHwaZ
NTzIseqc3YxLsCNHVwf3SznUoBnKwm0BVS0yOaRLNoIRs5NgjJy8top9YE/hXaq0urbJVXAvDexQ
l6hmSOll55i9AKl3XoqibrKHAhywOopsLT5mS79J4VU+XHR6npF/E6QBbCAsC0pGll0vfrkAOLKZ
V6SHzrKags8bINnBFBA6at2Xb5bcqGJV32Pdm8hgpHTGhY7DqPCXO1g09VeeiPZDVVuQeVw7gSgG
s6TwI1QXHgvX1Zt3dT1kb5vKApm9tMdXbfR4UowsYLyZtLo908XQJnt0cOUb6nuPBB0f6HDUyWG6
wTAQYEtsrORbYXsQSebWo3RXGrTzEnCcwcFTHcl8pDPuRsPmZG4GnKz4m63uoq4zysKpd/z2UHIi
HAzJvCh2rMKBBRk6rdhLWh6sxLmcPjWr+5ysGJrMMv3izk63J22ANy7QjIex0OPboFowvMnMb07K
6aPlL/nHLhhfW8T+McOm4mpJa95A3ndBClIyafqbjHv9oZ2X/C3JXXs8B2aFwc8fAVJVGTwSqgSr
3nEU9kfN/P/AUsU4FDLFnueotfo6lpPCmiDuFxoh4GkD1dFGIKJY1bUUx2lSdVyY/RoT7KUCLBk2
xkZ4rWZMPU4vM+FsA36T3GFAMIn0IrTzQ5AY59BosnjG1fMgYEN/WGXX7jqsnldB5quDrcPwKWQB
iYehsUinhWwbjSbuMezuxkslZH0/t6NxyO1OPHT2PN1iorOLKAnzz1uIAE3oagDtXwq61+1r60CI
BetFRn1/zBM8PDyw/Oc06Od7IDor9r11uhYuCOladRRVBhlInls9EPRwZo1thWBlWD/YE5QR7BgV
ZrFVY60ySbSj9Nli7QrxnGOtPLOaqvi0coLsgWWFOzEr/FzJElx5BqMSrk07cSMj4W1hrb7vfc5D
IhTFxazz4Txjgh0tg/kBP+ylX4vj4GsdoVEdojoRDUcho77QI5tWzhbRtn1uP4OiwcvVLBI+wGK/
rCjTmQCWxVNdS3gfXmr6H/G6TqAggksQK/WjNryav51EWwmJ4zLBbmiwjXnTU6/O5yn/FFYiu3ZM
gyQIAY25zYHKLkR9P2emoz7ozq0fAlcMd9oYtHeYRFLSsc62eSZKfFkml6KzTs7Bkf4LLAosj9o8
Z83UPHcjY921rIu9TaZfBGSlv6QJzTVrVzN8AW3gg3lYErh5Pd4ZUXXB2ZpCOtVzk58j2PMuy75a
34LAgPeucHfP0s7jkDZ6nc3PXusZd2UoE6xvg3FZ5Fl+lreMI3Dt5MXOwkPTgBi4EaWVP+S516vd
NMqrbFkM2CHhcqb9lmfZpL+NKDUOVbLgqS+88RPzKKJrRzlESdDLPxKZrhcNa0dAZc2XmtqLzsLx
o6IVIu4nnV/O0H2/GGnVPCD7tS9qEFZ7lTBxiLTn8RkHJnapVk0HWA5YxRNhlA6W0q44FDT1Uc8t
c44U63YNu/BSTMheYcvUsJDXmgu4lrO9z7zJi1sWsxdmDT0Idf3FVML0El4jL0fpPonEMW7WwFqw
04j20jUzk+txXZpnL2v9ayQydzww/G9VITgbvNS58WXyNoj+eeQ9fKH9aLpd5ZbN5wXGQBmJoPD2
riz6ezxvw0W55t2ZY843ZT3iJsJ5xBeqEryfDMNvkGNQdolhfsmhXW4Jfiu8wyQnysyhE+FccgCk
VC1KaAjjaZNwlVfJJ8vRMqOJYk6207AdYKnagxdGJIitZ2WrOLLzRQ4ba7pbumNn9oBvqd/IdKsb
L6YZte6mtDGXPX8+KL+wZqoQj8kodSRUCZNcM3uAYoLZnB6sxOPYMLiN2lk4n1py5VdsmZ79FUV2
dchE2CcHKRoy29YRJM+ShvUYMR7CuQO1dAaywreFu41HxAZ5VwPs0HmDpPKIldx6nnsEZm+XR5KD
N+qwlNRbSS9NHiAjAa1RLkB47gA5rddZaMBlybmGVCSN2RQHUWUMit2usGRUlR3Wv7x1RgsDdgAo
a3X58CJDLwYncTZB/ZZmNjWx15b+jZHkYJHA/fn44AJHvxiFjZeuII7NjkojdZ4bIwWGwW4C3qAq
7AFTvenOV7ioAb0WVhW+do3Rf/WGYbgpp2qGpmGINI0nntp/1AYhZDFnW+Uc4JsqLky0dukuKHy7
3+deIx7r1uDRhqYyl/FsgI8CSs4S+GpkjKJ3cpg3ZgwtURj3ulTFvui9/r6emtyLQvQYkP2EBCYY
sLf7gt++EGwiO9+JhnlYEvSzg8tAbK4lcygrDdzbQYvkCtsdTpOapVMSLXkxXwNlhh4M3RUiu/RU
++gPmrlxvfbJM6yVhfO203kaC0qxt7GThN411dR+aeSkqvMF1w467zmx/SvD2ZpmMtKDdVc3SYOa
WEgOGrvWlJQjpf8Y60Spl3YKeA+VZmoaTkyOIp60fHp2CpwjCshYhKO7tK2KccwGV1NdBnermsLu
UBWJ9Jju4CcDPEsvHvtEFJvnaqLGRnDQzQdigNhU6G4gPcEaJx6ReY2sP0bssfjHsA687gJEnlkd
G7M3znTivjhuZWd7FyCb3M+MYQf0yKVWO627aYVUmA4AznluP3nKSb6lBSfPTnuqvsNW3GcfbIo6
bEPbpoaZTxm8tqwm8fn5m3V1TbPkjijnwN8ZUGNWhn6odfZG7iTrTtBuPZZTwiSbCxA/JSMmL9uj
9GowujMoVjB75bREYhAdd6etHXkIknC6WpuOhiyEHkL1HlQ+rkwATgtnRtAC1G5N2Day8kf7oYGT
nL4VhZTDfiwruz+3GLpd1Tptx3tzbQRIf3yyWxuiUMPua8GHcQhyE1RfWzdTFROXywFiOpPrxvna
es0OUE0e7GCtGpc+3cprwQJn3vmrxitldUVtxhp5yLWSdfHFWsKi3qk80wAHNA/A0TMBN8NortU+
Ac58PWZ+DZnOKcF3LFllPUyEa/jHYdS4gJH0kaVRtih0dyJNMh1NHS3ZhSKuAdGqyuZ28CIrESOn
DzRG8TiwAZJgHfpaXRUIezxBIEwJ11T7JVvgADrCm9IlzQ8Bzk0egfgDV5xWMBS2gfaoH4OhNMp9
zbOOea3nS/ocNtc3zViaFMaqXJwI6Mys4gFuwLwPvblMrpR2fStiLOoit0m8sD/WrewRryOlt1Fm
tf08KkqAFUM3Xm5SV/2B52gkgFMEuwoobnujJVbiK1PXpLiH09DQlVTdaDIbd+R49BBf04rOis+J
AJjKP1+msG4RVVApPGvGg1M8zlSHB7dBhVZHCaYh82kpcC+7h2VhIXAZar9YLhhkTsNN3yPGBTlc
2tO92wf0VfvRdgy+yarKC+/Y5EmnHorShZo1lsY83ybaMdO3DjKAcZEhCmsvgsVF28eDRXX3czjZ
KNPaIgu/NpnTetC98LaMFTBKYbi4q92E6BeqXMhuteW1BIS5Va6uc2Z+DXEObTZZgMaBXthWRHrQ
DJQRamGrrV3Fwvpt6MXyVbp0ajvasYUxnal7rxQXU1su5TnjmSF8LPEPIiGVlbEaGMHDxFMT4SoK
8GtUgm/wHkMQ/QsoYgPQfF5CboutPAc6dzYKchvYDeNuHc916Ep3v9BIV5+YnxOsY2Six7eqCJKh
1i4M4FDXHnweRlOsK531aLlWJ88am2nRLjWUQQvpzrCn6S314lHn1WybIPf3sC3x97mFAsjc+Hpv
+p3hX2B3NQx419ppkzCmBEyrp0ot83j01TJRbRsc5cbdbOcZfC38PMbyiPC4yOBxFtVQGbtOh818
7BO3CW+qYtD6MgHfml56NPk5qR8TOV4Om4I8Vu3UFSVnWzhL0oPA+N6xnUrsg1tLd7ouPbthER+O
MLQu8NkLJjVjXwf1x3ZofPWltlh23evSVJXLcbcYbft9Lfz/LsW/s5f/YSO5WXf/acndvMH/8Xdc
iuonl+L2f//uUhTBPzwbGcPmkEWGSe72f7kUneAfPhtfdIYOdhqCbv/HpOj/g+36Jij75w+RP/yX
STHEpIjFgS3npi1ipfrvmBQ9891G2MYp4WLt5U60bERRwTuhBeMut0wmrPSKVmLdddDuztLabRzi
b+jbkrw8S5qEVj31FSP8luFXdubSu2SPjOU45cwFzMKtb6lKPrB75hxu2DIz+OVTsXcppZEbmX2P
ExByYVgcfA6x9GjO/ZIeQk4Y7wI1LAhnD3RV5hGN1Tnq86gqoe+SpmXO5RpFWF4UpDWIJwHzEhhc
jWeFoT0A0QBoUWa9mEuVsPmRjO2o2+BAR8np+T6envXd6bmfdtsZwIHBeTBuR0PQwYphaKZqsg5O
p0fabidJdjpVkmVdoRycThsQhpw84XYIFZ7nqL3neGNznEw9cFBNE3asK3f0hbylvuY0IwOak00r
NXDMsaCi7Y5x+c3zhXs6DavTyVjYPE2i8XRizqfTM9TaeshPZ+p0Ol9tKcdr4/upO0pOYFiinMZk
OeiP0AAeS+nC2u22IztoF4YnW5MX16MEKy5P53uwHfViO/TLXhDvUpxqAetUFySnGkGd6gWOzIlR
hZtb2aE/1RQp3gUKDOtUbaSZWI09ta16hPFTErSw1SPTqTSRpzKlPZUs5al8GU6ljHMqa/QIx3cP
c4Ryh2AmSp9J+ZRB/lYRzakj5ME9FUrLqWhK05ECClwSLy1q0vz2Zd+ZarekAPHO3a326tLFWHfQ
GCnJUmcrz9rvpZrRJ3fZqYBDJkwxF2x1XSJJd9o7p3Kvb5wh+wBdtb7LTgWhv9WGS6D1U6UZre7V
aAzrWRGGFJJdtVgYzSQLpj0TFIpNNQYvqWkaZ86pFE1OZWl4KlFpiSgt7FPpqif4LYdaBlScZKPP
B/ZEGNdqH4DcOUxwCmAnadclJoQJPL55KpLnrV7Ws+dfOaciOjwV1M6puGbMTTx6PfesTOwqKz+S
c76tjLaqfOSZPsbWqVhHCbbphNxKDcflVNCnoMWgMp8KfX0q+pEJQetot16ArRFtgbN1CEE+Moxw
T41DtfUQ3qmdYMLfPq6ZS5ORnBqOchpm4P1QaaLWIkkLoR7dCU0GjQoTbJoWOB00MC0R0zDh1CYM
q05NjqST+xJaKb6K5NQGNaeWSG7dkclZVuznU9NUfm+gTs0UWQw0VvM499BWTg1X9b352vqw8NSS
OQHj0V1/atXGU9vGdocWbty6OVjeGWEynUubAiVluAGEM3yVWw9IM0o7aJrTfKW4FBhDzZKGsT01
jy77xWd5ailTubWXvd/qFy9XNJ2psTWgOvO8m/LUls4EJrG7XkM23+apdZVlQRvLvpyWtj61t96p
1XVPbS81GS1wcWqHQ9HSGi9bl5yPM/Kt/NQ8G6dG2gnTpY5dmxSNSAssnmfsNxcWZdiT/xCnnlyd
+nNArYDEwlPf3rR9xQd/6ueBHBAhderyS3SiySE3EH2kzDK/qtNEQG3DAf80JyCXw77Up+nBug0S
ROIzU5hO8wW3gBID5I1H4Y5FJJb2ehtHlDYz0LwMhju4CEwrUgfn95FOjimGizCGJcQ23BgTQGuR
Rrgy7XAuMf9wVxQDcbmNRQCpMSGpT9MS+zQ5EacpChRnrjmHZcK5HawOncg67e0i+1hzUuU2zCEr
yQhfyLNH9qHOOTE7TC7t4hr1+vSBryvd68G8lW46fwT3E6cSNHtbpvJu8cRlWSh1I4P6rhR9/lFX
iMQD47LpsvsEuQ1PV/ty0O1NMoPpznsDWFgw3TiaNgt6oyeRIdLhtWa14/nfgLt0Wtptz4rnVqlb
6rgL0ZnnWboywOurnAC4/okzDoZdmdz5dVA8Sj0/temS703+CM+EBdSN42tqLkersp9w/Z4neYYK
FqP5nCbeRyshlj50v7KHeqABISVpQqThJHYLo4ZwocqSV+smcZe9cURo9LXx5GPvV4APx+FC2b34
1lrLAbxbdjXgoLhYHIBJ8YhC5JNI8wUK46R3w9Sn596cEQdUfLWQlII51QG5g0mBmIkBE9d7BD9Z
nWWdc82ozoo6VuKVKZD5tDzlGiBiVQoLT0/Bwckrj9gPLdM93VIaJ/YS3Ia1Z5+tq/Q4VzID/YT5
xWebiWwRtHnUN+qQ5iVUpOZiYC27c6Y8Er3+WObVbTnID8YEzjyaO1e+jlvWnVER2ZFWy61fc6J4
apExvwid03JdjPn4QFYhY/pKG2fQwB7nLq+v+NqnKKDB/JDInhQMnkXHAPEPLSKFsjTFbUaffJxc
T7vHUHZHuzaA+Qj5qKqyZGDAyctKjxFzMV7aImFKX4VnSsirJEzEfc/mgHVBZd1aox3QSji3S6fC
qCI05LNrMy0iQgSWmcFxsnrmhkjlqEbfeT3A+CKPOWSaFLusd+5BUNdvrq+bDyJorKOcMn0A1OZd
DQbserPrSTRLnXNl1DEUSUZmmjAC1jp2Dz8XJALhLB/h/MGIq4WozkyoEvcecYURZNsS3h05UVsg
5U2RLlPKTVVO143KgMllleR0HVrI6fl8IyEpY8jMHrolezbbwbi1KFV3uLq6fZ63z8k4TYTjpX+U
5fCZMTolzaazvTdSs3nwDBd8tJLOq28ljwXRgI8l6k2IloL6ZWVkp+cpmkU+7S0wQA67xp3KSnmW
ts5njGB2tIzilY3szvPRdNgmYLcwNe595Dvkf5de7Go2elaRfGjJ2IQNT7Rn5lOz5s0HqWb3mv0j
2zhnueoRTUTouMLiSIiicz6I8NyQpDAAQrpt6no91wb6sLJni4yE8BBA64NDl9qvrkNOwbx+0nb2
lo/GdGsYs36wmRh/TgeFBuU8cwsG2bkLeIM3X7f2EWpjX58TUIB1Z88D1cYb32d18nXLRDRvbMue
5JXNqCtguEj4iPumEDgtjN1kLpx4TtTAdzSKvr/rBggjF3bVzZOzI1UhLN8SGmPUhTLp5oHpVWOv
bbw0ZlHX16oLMuwT5ezDRY6kZC/4xxTQKpLng/F5qVAzpU4tr1kkjQ7TaZVX1QXt+ojZtrRhsqJA
DtjX3haZM6h7JCrG8uJWVQoqDbgzxxo0tRV7yzGrMsRsD11lWDZiIyjFi/yQoqCu65vARprc30yS
LLDiS6K6VFVxn0zJmxlmfl5FSJv4k3qEYZ8FlstIZX23MkD0AEUGk/CW4+i03l0RbtB3IjXLg9ci
Guojb0KUfN0ZheE8Fhg5PjmO3Zr72s4s87nNM2HU+1Mr9/9d7d9tF5/Xv2bvcNINzEL/9kRsal7/
7bwvv9Sv/Y997ukXfO9zDQ9GFNY8M0DDjGvODJECE0U3/Mfftx/xhTM9pI3GkEho93+3uhZNMGCH
wHQC9PymH/Cjf7a6/GgznsOWwoIUoMG2/q1W9yd9MEQAOl0MRh52gpCJ/3uLK3n2Xbv0HmN5wU4W
dU2/qwlPm9bjWOq3Hz6mm++q438N4Pn+WoF/ckYLHK7mO8G6yaOtnLDNgGt2kQ+lKUkWymz3YdY/
/fqV7E2x/T+y53++VBC4aMbJJSd4/med+rLWYchOhNETytXaCS+n4KlGjxFbms6q6lj6LtN07snE
iGGXftL+ApzEvMnytPlcOW9TemdYoti7iK3iREd9okPSIKS9mwT9FXO2X//B21t///duyCDXsgm2
+5MBoqD7cOfZCuNRo7Zee4B7zszgHGy+T0+R6NjAWPP9DobAln5r/uL7EH/6lBg2cIUBdnLBlFnO
Ow9TidCrHHUVxm0RuKgbm9tUTW+lHZa33tJdzQlcpMqYm6ssN5bd4oBk1R79LRvW2hQukzfUfnlw
mwkEplzLKKnAT6bqqp2eSKehxUOxvQM04JLnBlPQBZGyI6Hzs3ZJhZFtcz933i3S7mU/CMOJ4PiJ
3eghC3P9/ChZYcZJxf7GahPNDAbQN2kOe7of4lM7Y0e+Rf4bG89J6v/TF4G7xsZ9BrwNSyb//Hzh
YOVL5xwRTZwF4xJ3aIN37ChfwcvmUY4hI8YC8QmpjwdJNvlgJuEFA0cke23qfZ8a/stv550ffoN1
8Kdwn+CM4U9CbPrzn6Ib6Qsa0jA2SeWKprnqY91u09oqqHbUtUNUlvB+YUbKzBIEgQwDSRfboFY9
zxOb/l9foj+PxP705/jvvLChGBtfMt6IQ4BSmxyU5aDThaBWn7pNV/frV/vZIPH91bguHQKUTRv8
4vbzH1yJ+ZJWgroHV+K2BA7ngSVUy/Di169ywta8/7pJX+HJzGTR4in488tUotWIA6YQ50dSRBNQ
eYf8pR0SuCsiS6eIXKOYlHPngngbI0os9wLNAByjyCP17T/ZO5PluJGsS79K2r+HDJNjWHSbdQAx
cCbFQSQ3MCYpYR4cgGN6+v7AVFaJVGbStKhFtfWmrCqzGEBEINz93nvOdw407PWArjd5g1P5GblS
hYB6WHM/X/AQkH/sn6nCiM4QK6Cot9QObj+S2ZrgQps43wQqC7ORc2tJB853/m0rjAuFou2kcQoZ
Ll1ODFaMc9xPm3rbjBlqgrI/Z0bpwUg+knGJUCWp2xDrHlK2pNzaUwd7v4ieND17yauRiFtdnnoF
OVw+Q0Vv0hkJ+CwpeXo7pEy/PYdYPafuloDrJFtGzV3gk/L3wef8l88yswZseAYtXT7ut58zYms5
OnmBZrko5i0ETfJscTHQUT30QrtJhqQ+MfTE2Tlzom3Io8e9T5KaIOuHP/vAFvPWE/PHs8WCB4mO
jrGF4fHtzbh+Q2RgFHkIqEnugFDL/FZHJ6Y/o51jtoXyLOn1Dx7ov7zoir/CPqVDPXl3UX0Z6d3F
XLSKL4e+93exM4B1buUZwgqy+yiceNoe/vn5/svlzFm72WCiqB7Eu+WsGjFIDjJjexfqqCNTfuvN
SIcGPtN60PwAXhqwgIWeRu0+zmiETspBwF9AAv7Bnay/pPe/NMfGo61bAivSe+xC1AumX+iBsHKR
QDaX+hBE5GJvEpdUN10mTUACoRtIQlWOozabQtmRUmO62nnDqeTYc0KkpAQmTiRc/POtvRrl3t8a
zyVmaw/sBsL2t88D0Y5EaUHjCP3ywXIljcT5fEb8I0i40/Ez8+PRm31tW0cW/X8nms9sRV0+iFRt
s5IgxjxmjzJ01IQmKru68R86hnxB0SVlkFkYrVoy7jsCEyd/4dUoXAK3cgKLGi0asjPpjd62KbWH
KQVdBvN/4+RPjj74yD14OqbiNB+zg89MDY0svHDFjHvTE2BPClXyhGFUX/VpOyrb5dSNL+gjTwH+
InNTxeitdIn7AXw8hHji82IE+s4sXabfMchiWVzBRPzAvP5XO4VrAmF7BV7p/rtFVSSyqVTkeiFA
qyG0lBbEXs84P71NTcrj12/vP1GGDF/bXrVffzt7arrfdqp6eepBxf43EGxNPuK/L0iO6/blHQ50
/YM/ChDIniZkP0oJ3wJ4BrHqz/oDri1PuwNcgBVpLTE4HpJ82if/638sGKJ4I1iuPVqPjMH4o39P
2vgHOBZN1hOcheKXJm3mq7X33z8+l9oIEst6faYqwLve05mGidjAzlR94DMxP6zRiKfZUtOeYQzv
u5DbtaIPxljPjuwOAe1Oc0v2BY08ra61+5MYwPlRZ1h3IEJQM6bedGXK/oGfCJFE2nheDel8SxiA
dWNqrU/quqKz1VjZtMMQspxOVGYkgDb9JeWKPOtE6XTHFgfxeFtMtIm2Jnl8pKo1Vmkdk63Sr/wh
q0TVD/wTULtDw+mM7pPqVeA5a6Kv4xlR/hUkPFJB1IM2BDsLQibhQnHiaUhbmMuzAUZmR2p3VsLk
DGs7JnYPjzKpNLQJGJuPtnsyysGRJ42beNulmTPyTDK6JVYkEKbobVmiO2bZOi/acSRarzJRTOGL
2Rj9UgGMpDFOu8tihary1OhXC8S4OOeYLUhJ1Wm+mftK0fX9HGltg9IwI1vsKo7m9KjrJzs+HpfU
0CWuISYPHMLcND5qrca/sToV6SOSBKcjcsdiYH8icljBmqGVD7KcJve04Od/LuWEKZucpuECaxqh
lDNMJ08vjezM9rNJnRd+w+uO0LlQTlS+eLJU3PIecPwWN7qDboTZ52svZjEy4tl2dEKizF+FdGWz
6yaSsRMgsh57W2tO0a3Rxok4opCJuiwwgTJrx8SLdAsxHVg2sSm4wiWuHQsWZsNMuCc6GmJ6YDxE
fZC1TjFh9lMVcRSeAeVz4qKM2jwwgTvRZWrXVH0LBb1wlvKJIDzyCVojoscnMOJbX6sCBDk6yzIO
lnHG0DGmAhHDSFqHIEpDFLyitjz3ZgYFc5oWQxDmbesPKBPTeFuiy9GvzRbE7R5xUHTXe0P8VNiI
jhHNIljeiDT3mXFkSX6t4pE8COHNhb2BAoWuREd/SCSnnnm8t6ZWJ54z0T/UlHIvhN0UZUhzwrro
YhcnGuoVJCsGUlwCvZMyPYpGz/7mUtWScz5H3gnsAmxPcJeigQT3JqdRqtnuKXIOEyuQdP1DYWFK
2CT5uHzGpAnLn9hCPqx5sv2zXPdwZVDoV0d5a6WIu5fMbolZX+abVrSJDNIxV797adMzf2ht94XY
B0XOrDvp90A751urqc0oaABOkwUC5swmZ8IyyPSRdZmfmhUq7DM1J5a/hxVMSha+7aoiECPv+o3U
avlVwReMtoNdZglOLEBBDGnivjpADjTO7CGGe0PsyYmBZsbYaY2yyT807WEJp3we9NPY0/sxjFoY
BHwgTlPvFrTz5tYGHUzu4WBBG6gc1Jth5zHPz83yTmvF0mwXd+BpWxjS3uirSN/B4HDu6OQ+cYgl
sIeoRExFWcpkY+skSSuJf9OVe7U07poO7lrNndvG3dc1kMza0Yic7tO2zD97ax6IaCm/D5BqMRkk
9TDhGOOF3J103ekCzWhFMBAxnfQ3SLnamgr3XLsXke3ZuyWaOmLIzVPaiMygOES1ZU9qEqaLcqMP
rh3/57bk5mt13bdfv/bsyf8NG/EK1/r7jfj06+9P1Tv4/PoX33diB8kLZ6E/un+W+EQyi4CpSgNu
hUT/sPvanxy2V/CIqEGEz1r1r92XjZleje0QJ8NZms7dLzX/DDbrH0/ldDhoIrLJvxIWrBUk+/bo
2/YD7usyN8heT3vSuoc8fil8dFUBAv78DKIlkoSszx9Kt573mgvshhZVrj26Xut42yKL6xeVpcYY
oFsrblOS7X6nue3atE484zKKcP/iytFArZbgIR7jVQuNZHWqN3qu5afQzPJqF7ekfTJ7MRTrnbZM
bEft4GFaaLIIcr1j4LTV/Wj8Vkhf3FaFn91kQ5XfEOXE7K1C9nxdu+Nq5Bzs5rQs1XhTEk54rg1q
7sNsSONT1Rq9syvaIkpCVCpEpGlrMTyIub3vWV4wbaK9JzpDqPg86Ra3CVwHgZ0aTH3NyayqaU80
FVgCA2331renuWIvKmpslUI1qE3mMX+I0+alGNs8CyWhjXyHHHclk21Sn0iWiVnDfE7dZox5gcXd
OnMd5PlWYhDvVYmEFPUMf05O6OrOs5TLhET18c5MarLevV6aG5wXOfN0zt7E4QpCQINu0vXjhiwV
/BeIIB5FoccEahQD/UpPGcwF8ZfTurASr7ACI66yPuSfInuzNVkHMWugEyRGMV4PmZedd53QLyyy
QonzARoLj7P2sxxxbzO3YTKTRreHViY+p101P3peVPp7QzftaRNhA2P99atxWxY1dR1N5ekiU2ys
AdBkmisWhkM7FHahvtiRE1ehOY7WA6ne/hwAHK61oHZLeVBMCJ+Lesj3OuIBuZvhuHwrTc95SRMm
1McL8iQjyCvN+crHxfhEX7QZHX5DGRdAazyyzEnDteSr8vd27hpt5+ioe2iNIF/ZNFnMGKhNbTq4
mYNvNEAo3V6lHcbbTR9hIghj1OQ3urXIb8AHOeNgx+i1IBd5d4PvvrwukN4WIQJ7cpodq5HH7SK8
+wmVgL3H9663f5Sn/4kC579sNX0tBv5+Nb1+SqueKUv1TMzHb8xYfuuTr7/t26/V00tafe3eTFzW
uuLPiYvxCV+XcHUAbVQuEDX/XHM1x/jEqAPApY8ebY1GoNT/XvIYlDxMY5inUCet7sR/rbmG+YkK
yWONthjjvI5p/gwr+d5kJ+fkb9u65tpN+HfBw0SCri7CRoa9a+cdVPjbJTfytdbT6O2FxlAxZ8U6
hLjCQf6OjMTvZLHJCOO4tRnG3mVQV9A2jZ1Hy6jobvVeQgQ1y3hjc0bCwtrKbI/BLLvPSgbB1TTV
p+ig+yQwkAjfMHvEIzNaikjyupy3CqzxIevMD3rmr8j9d+8I5jk7lvCZbwHSefuOUrReLoZgjB9p
14Xx7JWXdoNJKsuIOxbrKhJ1nXvT+f2qcq6LM6vt7CuFn3+/FE276aweIklmXGaFPR4XWW0GKjFu
8SiJbbR084G8tu6Dps/7gQvfAlMvussgJSl09XfdbK8FsIXFPA9nqyx31EbTNh7LuxHgQJCWEvd4
BFHjh8PAX8xbjPVF331QtOA8iy6gbcGHWhsnPzS1+ZJ8q/ZMkvzIMLzNs/muGSHosOL5LH72hem0
zi5j38f95aa7RlX+B038NRbkp1ugqDfZehxMuK9P5w+34EqoBu7ALVD0gcywkAvNtlHdT4algkIk
7pneeSz1k4MGnG1gm8/mFIDg0rDqk0uYpIa1sZqcPKwR6IqlfdQnfUcsev19kLVDZ5azCe04993v
Y3ErrVQV6iTfukuHMwWlocXzNJA/N2DHkm0dFNmF06XBok8IAJzTwnpBSoyKvWTvFOFMhm4MMJf/
uSiqbxd+jP8we9lGs7801Juyw0rqX7e/yL38futkU5CbvvY13t86krmqglSaQS8g8IZzDBE5lbvm
XC7jZtCW5uiDB+rntcSxeHw5xKFWFsyS3z5QnhhsX/k4/22T0J6RqgYdRbYnebHcFmUenZnK+l31
mKT1oh63Xk6B4o4kgXPU0kCqOc6+Ryb3wW39/IxxV9AIOIWsvLD30ELl47TTFXflE3kfLDYdh7rp
cQ+yy4ezpr7TP39ph/zHfJ8fM6n+98V/bxvQ4fv/+/3yonzXBFz/73/sicL/5K2pMGDu1lLjlSH/
Rxki/l12mA47oEOzkJHje80BpYvAjIwUfu0Y/mLT7xUl/e91EI/qKjYgfRZdvQuk0WKD/nEdTHv4
OCUjZw7h3ppURV5RvsMvrVuhP83G5ZAuWn80DN4gz8iR8VFtq4lmOeZZcD1aQydqoyHC/dZoEVwT
XWui88ysCbSUpWJevKpmVsCA4aNghUr87HU9ghkrHkgjj3wvxx6blzndNMMX12QVD3f6LBOB4bLO
5o3bmpUd2n4DyMDRpX7V91pyXy0LqgUvYVKz6XRPZ0la4gYnG6jb/AAbXBQndC4TxFldOz2UECja
0Jxay0a37QLTSqVsjZ0QmlNs+96o1c6kEXUMYj2L9qWkNxqQMr0swM1JeAzsmVDBrc+R0yacu0jz
XZenqXXjY1Y8mfocJSSSpYz/PmU48tJ45nzbx5LSwOsUDmlQ5fbGphmiHRNIbOZhPibW9UAEcR3U
M8khG8NtP4Brvxs48dXim0DjwiFK5wxGafn2qy0ig58+rHa0Wn5DU0JhC91EY1mOBycqnKuMgiKM
kFWEvZm453qnM0p3ihQXuzG63oEXri5/+BX8xbb7djlisGtgC8GgTu+bFg/pMG9vySgI8ExGxjsl
BoBzQ3MmaKojJ6FkIpoWVM/ul69HIAs6F7ZXjwyAdxvYGOlDYS6S603dslMkzz1EHiVc2dfds0EH
cP/P11vv/8dfE5K71UGyynf4baPrevv+VNPlHjkBXki41ASZPx6PSYzIgiiNig/e2tv9Zv0oudTK
h4f9aK/9sreX6vDJOXQ1vFCbwUhh0qyf07FZPuJH/3QZlh+MPPyn6XIGeHXn/HBISce+zpY4dcNY
g65FvI3coRt2N//8uZnmu+4H6gpT0PxY9RVcjifk7dvJx8ke04VxZB8BBfW3ziQ0EvHi0ZqPB6tP
5S1mbl08FDbtbcjqZvqNAtpstrgRay+Cz9AKat/CFgOrUEL+1sU0YrzBZDna0UOGiLjZxGYNPhCj
b2MiQTfLMdpk6AGqAyYV7asP3q0882NLGw5qWpwv9ghlYbv0igcoZ5FEVV3ZqFc3nIGB/iy9AGk9
euNSPqD6oLkQJP4yl4wlsKvTW6loBu5wPhbXo6WxRvQDPpgwK8zG33M8J2680uTa3xldRow4RhOr
DBdApe2JEym8PIHQlAbhAc3ugCooIhLg1cmYiBn7nDaJIM4dtKRaJeZ4VxHtWQcGJJLy3FiAs4S9
o7KKSMwud6MTRZYBTyJ52vo21o0+ow9PNHmFXnGco9Ny0J10K7A8F+fRqDfOrVPSVA88zJaCyPuu
IrCDSYncJ17XVSd6XUX3yIK1LvQXjKH3E+P254VM+CuR52DDNp000v5ywRaV3ZV+krVX1izVcKP7
bpMdvDSv07MlrxrSdYuqLFaex4iFIcyIVTN2NjovdeiXZpBASqYsv4vT2c4+S7OXTRxYbZKeL6rS
iJNnhjH/jkms4lZ6T/oXAz1XAnZKr012XNGrURQ3Kdy21Ba/z3lRwAGM53GTDI0Y4CRlXfMCzC0n
MzfrY08dqEd8a7M4+DoFeuhW0241VfjuLYA3oFFpqrxiV6eLb69JOmV/2yWqtq8HSJXTHXbguNp2
sTeBcCvJBw8MT5uHi0IuVbxaFmQR3dPKsJxjyK7EX8MnMapHvgt4UIekH12CwqUrBvPJjJWr9fsG
Vax8Jh3MHUfmxusQp/L8FMxgbA1oYazUMEOX6cR1Xzm4IshuyuMQne5QnRRW5EnwX4riDQYURjWs
KO4eHJ3l7Bu75hzfTKvdoefL9fbdoDwoUJpmudue+2a2Ui1JtZMt/osDSuv6YTZ5JsNF5WO8Ub1f
TSHx54iBiy6Oom2aK5iT2Tg3feCObdQfez2d/m3R4LDd2rqWjhsn8rBDz1F8qlfQxraTJVImFbxV
f9t7nQFGZbRbUDVuY+OOmTD3aVGFnkoh5E3CErV0vieEXEMI5jczmI0kgdbiNPiITy2bxF7EAsYw
HxKzESdZn5rVHkCS/5jWbtzsmCEga8E3nzU7KVPXOXJKmZCNCWoCHTOtW2fT4y5ZZfhedWbmgx9f
DMyzxU2STKZ2qC1SbwFp6NV5Nwi3YT1q6hw6WhTf2APvN8AYzObisc8gVTdUZpXLGYKwptDgZfpW
yS0vDl8ud164XGe1lCUprdfzScuAipYTHg//MLFvsALZC+OZPUZbx4zlMSRoyWw2VFVRxLvCS2UX
au7SlPY+HavIiD+qld/tAbaFmI5oLtQ6bDXQod8dJFhC+gojM0DaKWMiglIpj+xzmPsy36oGDc/d
hDRxOTIRlqd7XYvNx56fiX9a1XLoTyXqQWMvq0n3Ajq/sw/FFCTk7T9vIe+2XmponKj0hgyDHRG5
w7suAuHYcZK2WYKTvbIv/EkvmfpE48ZaDO2DrfdVifvDNv96LYu68nWj5xD+brPiNNmwMLgJ7KWh
2jGCK6HQjJATzVrczaCSEaARip16ZnweeZq+rSdIdm2efFR1vjtPrTdCT3ctIpAVmeh43+6agF5p
2KyYAxMat3Ngq4l/t1kPpw0R6K5/6rWR/REh/OengWOAIVApez7SL33dyX84EWRRZdiabaPfleOM
fpjVtZjqX+Sdr88cwGlCjzjnCGqUdyepgXl50gzo6+pxjUUjI24/EKv9wbnj5/dim2jgCGt5PZO+
RzLLmnMPclIMqajMYMHa5tGode7zPz+abxtczGvXeExKNcNDU2xzvbefmNWZI5P0gnGNLNyt8KUd
iKYwdn7ts0N48RRCHk7/+NX+UiX+/2ger88H/Pe19xXW9/bHhjRc738V3+Ynym4qXgI9PdqKNv/m
e/Gtf0L2wkCPPGhb8MPmUfnejqYYp3lCMU419apF5o/+VODYnwgjXeuL7xZ571cMAO+eRuvVZoAH
gRY3U0Xu5O1zgsRYG9FXd2HXNvaZ4ZbZcaqbVz98GH9Rgv10EX65NIdZLUlWM0iYeHsRRbmpEd/e
hmu847FoDXGQco5+qe+0thV4ebySfJhcQnh8ZG8WCWSLNStXG8Jf1U+YaN4kmBJ36aBxbtI145da
yN8vh6yKjw6TAT2/t5eLplijfTm1YdTnT8qlox+3fhMu3ozGLxEjWKU5/aC+Xht6P2wCf7xFxgao
aJlw0CF9e826X41Sls41i6E4zWTsH/V5OyOuswbCE1DfYy1D6WDPR5no5g825Xfb3evVVwEvgX22
Q/X0bhUeZuyPZcHVfQn+bBwB6tBRQdvo9fEHb/TnS+GF4BogAyjbeXrevtGUlDO8IrjZYFHSrtA5
QUkfcbOABBL+88NJO+CnT5VuJaQHHkHc3YyN3l6spKroupTWUgGmYAxkrUpyntz4Gtu/U205BraP
HnPVjh6OZaTBDJDrqBCqfCxkZOGKTNBmZ3A1IecM0R1T96QO2zlPv2H3sjYTgvD7SeZ1aDcTibA4
IDPTY7tsLdiTTU0NFixN193P5EN/sVE2PWpGkt5EjovgVOSLMoIo6ns9NKEVREEXJabYJvY01jsv
xh9WEoRymngijQJnifpTakyn2thKorwxgLvcCbbz52ih472F4VJ0/FOT/XpITP/bVDPACRzZzUyt
ZRfDKquc6MTNDBjCKPDP/MyKgcq2/h1CveibW8dDEaiiqV5oV0njaMw6Ylb6vihvGdEuBer0daTV
quU2ZTR6M4vZvk3aGrNsFTkT1bZrLlCK2NEfMs+YnzHGGmmIASYzOOWW2XnqjBr+tsyFhMY0q6i2
MeWKCgXZy4IXEVO/sSZEbYC9uj4UPZSGjQ0qQ6Fn0dOnjkM1jT4nQcGGiFc7oSVdtmHV9PNz41Tx
V93V5NmQZ1Lt9VYm97rI0hud8RVitFY4N0tvjZx1M7d4wezJNJuGl342ZhpY1Gxetr2rxyVUMgSF
y5IkF23v68dlY9oKfZWmAaNpPWp+jrdIyUZ0bA5g8H7cQSJH0DDXBgzKASWYEpZ2wEHrnBtW102b
0s/8FwA93VWqryweHaIPSu0ClTg5DMxqYoybKkiaJbuLUB2gzWr6yN+OWdVCHcigEDZNDpAE1o44
yS3IvDsDmLRObEszXZgdBPXtYABB0tPYXA6JY9dhHCEH1ohkzg89QaMvJF9gBp7mpScb3ShmIIaj
M33DLlnfFWM2P3VlO3zR9HbBBlQtcA1Yk2ErTkbj3HtCmivXqh7w+jNo+kLZXQQWWIRyl9a9A6m4
9facmofflddbn1u96UKcCMO3vu9QhJHNYANdqfQrUxkfpvS87/iwgjGdYcGmN8lwgqbZ2186YH5Y
F3RWw1kuQQZkXs7efvRvq9iEEDRtkbpsOujXmnKA1l838nm0TtBJBdI/F/7pVF6MmWRmeIZGgDYN
aaW7qSv2rwvS/z9F/Q8j4h/W5p94QddP6iX97f+0T7+nTz8epl7/7PskQ3xaXVkMSj1AOWvi4Z+H
KeTMzJpoUDLy/1Po/P0wZZmfmI5ZLl84zUth+dROf7opGXqw+HPQEmu70f8lNfMf2WI/7M+U6Rza
bOYVDHldpqvvirR4dmPAXDaBH9KotX0UgyBPCSRAMti64hjCGGVTuyx6YGqmPm4Mq5/vFvp3xtHA
6uIHulMW38A0ztcxShVrZ9p9dlDMjPdmgmgAblZCjeeO4CWxfMtDg0046LKZiTWd5fhFVLE84iB0
Wy0071pPr05w+uNmsayo/ZJm/NTNKtVeIo40n4EqG7tRTFnAB/1A7y8LQH3iN/LUSFNIVlZ31LR5
/DSZhfMwx3lLv8AtPrNoAwfi2JMf5bENMISfBvft4xo3PDomLVLRb0guEZoW7TCGUlX2pSA0JLC0
zg6ayBqvyG9Dn5mr2E2h79XDvrMHZWGZSmzyOPsedRVDDgq+fikJx5HlYp9EHSrJY5DkAMS8pM2u
0zgxB6IrprkJ3S7K+zOasOm+pvo5y7CpYW2vXHGvM3Cabk2iVaqjJcpg7dIJ/RolDpzzpICdkXgJ
orPClMUt+LaU5cHwmZWUWQw+BD+XjPLnXGLIGzZE2aiivENVNWNuiMaodOTe8xaYBwNHvxiEeMOu
mGztYVC4KcdkohTMNsjImg4oiyhVZGhfDb/WFLkFAsW5zxcWm/4W+biqWy3Enuo1+tlUCi/HsrHQ
2jtPaQXWCXhUwEWoSGPTUTnSOtOofOMMPWuFVntQLWxDZUdxYFak047sotwwT9AZZ5OuPYKg7zvB
ILLaO/WWzoTT7wxDtCUAx/kSEeqhbTrHk0MoF8BCHPA8/0mBRTc2tcj9E7cdRH/aQCFZvM3UVi2G
tqQv9d0wKeJxCjq1gVKWWZwRWmAPnx3sizxaJbCvByGSeSuWqIQKrdrB/+L7uXfjcSg6d6DsqZ2e
9PmV60ze8JkjSyWOxqhpuztYos5dtPjZS6JXln0h66F5nOa8SvdIj+loTbh3Aom4awymuhSXHrti
HqhGK1HgQt9KbrvRzec9LUZwraNbjc8OpIw4yOkKUukXrvfcySRm7NeYfXICkGMZA6NB0htgTesw
eI75gkZQcLpLjC4+WcwRbIpGV7LYQOU2021baYsKiRUYLwjXHKbD0DAYXCgI/Z2FZvKqKZV5KwRN
zDBK5fxQKWwJIakjSR105NTtGNj7wHa93jg2yCehUce8E7rQYN3IdI66YPAM/zZLgLlsZT0nR209
jzqkVSxlATgXCQE3Bsj4pHtjO24JWo9RaLuAMY+TLJfdAeJKQrIMREGCaGNI+tgUdBlOi5YvN1XS
MLasZ55FAg2kYV8Ak1T9Rp8t96WdqsIJNBSFMZK9trlRqD77owb9MWA0VSZzmOAPKBHjO8TUGCQu
MVXw/XLbt3WCoc7ApNTkpX2ojTG5cF1jsHdlRVgZ44ZsZrDh21oXjIbJlxIZY3cSN8BEN5mb2l8X
2quXjTmZx74YGRXXscy+ufgY1W4saoBbvW/OClxnooPd1Iq0PoYy3pDDpLdOOAF7OZS6AmAx13F1
R0fcvIdfxtmtX7z6C4Mu8TAZqgdR2TpwYQFGjXLTiKhTPCrYXdHup+jK+es42VoTepmgSnGQz9JW
MQesJiL6MZYXNHH9LxoLK54sZmTeLunt8qh2Gz/dedLoo6BcW/CbcvR9svoyuRR42WiVlztJ3jpK
87QqqmCOYPXuaF3XYTX0jMBOYD3F7pEp/bpLNlpqY4bpGIpVPWKYiMdnbyl8YRCHiG6Odgx7kiXQ
Itx1WE3G2WghWnvO0o6BBtXJOW1qJ8MaE9MxMsoN/ozxsaSIxEQsLScNlKnDiRrCMqubDLk/McZa
1Fy6o2nl9rCBjyQHiD2j5DPt+JGM4MfP8TEUFdhpvdJ5OmRrdivx1dYwcuZ8uB65mJyky3B6NbhU
r2YXaQnZ5tSomsStwbZonMIwmkx9myqD190m8UCDfzfDC9mw7MDHMsHhzeBTc8g2ewD+RBHhg8Fn
NoQxtjaltsBXrfGkFAlgjU1q5c6UX2r2EnlYMGy/lECHDe1ZMPBSm3aMJ3lqrwo1tL3GI3klc349
uxrzHOGpGZ8imT3XqfTdOnAShWx5LMXsBHpU9u1VhmxanUaW7Y6HDEftfBBT131DxtvdaJPfY2hn
VB5zg035FSIIPXPCp7o+gG0m56Amp/CR0Uuy3MAiLSs0zm6+SoTMXOxLajz3Au5T2pzEttlinpl0
jBlxw6QP+AzlIl9BgWw88LTO7Pey4+azDb/Bzgm70hvE/UCMDd6IuXWW/qKngFyzTmJ0yE1Wjt3O
5TieMkaU1UIiTcZybJkJh3NrmZ3yNNFVfDSDrRpPx1LpYkvlDNl1r1dpYZ8zsJzMy0WvSiuYijbJ
d3IiLucqg+NmhWY6mI/xmoKwKYylwR7eell3PqK1PXjj7F30vCP/jnlX7bGowEA6LyAt2seFPrBD
5W2uDXhy6UBXF31uoNrwRl1c6JWbS+RcPSz+bO2YPHdGFNeBh9b7oZBaDLocVMu5GLT5WjQRmVCJ
zbIJ7TmBw2ybQEWNjWEq89FI26RZFx27foTinN4XRp/G8IEh00GzZQZ7VGqxTK9guFbXxoza+k7L
JnfWyWXLC/OYlYMRXCEdEseC2PDbb3bNm7qrvbLyt3VWDgnWkF4KBBbK66KTtnBtfZ8BGVp28OTx
g6ziwqEMUn4R6RQUEuTqcWzr2TNKbqfZ4v4B35fwLM6XQzkl8aOC0/yYMZ/GgJo53GiGuoPvtCAy
fVtz5E2PZmvoxE1caaIpYfeKviRrJCMKqpzUtGv6xIhOFQjZ5bPhLTFAxRnH0HaRtQ+Zwfel+Qgs
RnWX5SyqS3iN7iNyTF1uMY+Y1l6RxWNBujWbdsucjPnpyAgSIhI5Joj5LaNMh0eV6YLYDNkVYjd7
vhpAYkG6D9YcHfDPOtLQTZFZxT3DQw44ZVK2Ym/50ZIcAUWcmXo6DVuBs7hIJTdQ9XiLllxrMdH5
LSE8sSCVL9Vme8e5KzkzptH8UhVTdmFiP7vxapCFpC8Yltj2kiF+0DkDp/DeYAvWa87DXTLTroJb
xlRdFrZFKZf77RcdrBPwk0QpoN6jcLVtAYwrv8hF0+cXiI2hqKu88g9LSqLI8UysSUDe1USsJ2qX
4wg50FNEiOMQoHbxHiXNqzHEcjs510T5lXmoR1AwN3M+K2yHHPAdMFKHSGk0WzJoRt8AIk23Da6y
/bBmlB4gDjWfF36q886aOx7R1MUb6PAWjmJzKLZDlOpXEdPRC/J2uhc3SUd9Y+ipMsFkkDKvLZou
eOotuw9IuOJ50UYigDYguXWWCDo+/qbzRwiQjlYtsYuUKYqdHc1O+2ShsaQTcDdYyUuZo0va4V6L
IJrbiWCnLcvOP5KD5dzXWp6d1P1gdZsYT2Af5EvtEZiR69OTaOVsbzBT07PoOS8m4CkKp+RcHbXu
KTrA5EwzInQFdQf0gJK71MkUqJV7ySndf0IvUEM/73kkegIegXjBkKR6yOh5hZxyh5tkIX/vsPTJ
fOkMioVnJuLjgB5H8fCvzOqt27cQlvXMr4/wtK/WLebLxMLWhov5RIwKmtqkjHI74rEkWW9iYf9g
0vOuW2vSnmOMRG+I5Yrp4Arx+bEhXZMJVsuKrACYEizv+SLi66yK6DMWBCwkpVMJPC5aeWmlEPMW
Nvbxgzt413hf7+D/sndey3ErWZd+lYm5HnTAm9tCWZajJ8UbBGUI7xIJ+/T/B+qcCal4Wmr11VxM
REeHTsiAQKEyc++91rfIhdIooDUTCo45//4PczM2y5qELBbKKleDU6Pk5jpoxubthyr9H9r7c6f7
x6rXeUemoK+B18u89nKilZraAMiE9CzSylkTUo5MbwORTtzjwAxjKWmiDwwYSI/73ir5t2r6y6no
+yNGSg1XglnXrPj/+QanbC6DeqS+1kALdenUTV6BkIk93G59CV4DagAql2ng+XOKY0HRatuY/IjZ
2T22E7gDv34WH5+46cyl/7uA2bHfxfI/PHGZKGWQmXHp4+8x15pN+V4EY3jz51cxGB3ND1ulDXEx
3UvJguyciOrBIvVpR2FkcsQJit+oxS+a8DxcJpSkFNE2sRllqBcP1xpcysYEIxapsY3JAk7+LFVL
PT4k0IrL33yWH58cNgGu6JAPy5joXRj+w5MzXDoEMugLDmQer86ItGqlBlXX/OY7cTG/5q5cFdI+
0xPgOrZxOUNhYtGy3fGtDPCPJeuS2MZqEYyC5rFRFasU4dfvJlMXA4b5kowVEO4zOcFqOwtzf/wa
evgQ2Frz3Mcj3ryJmMQUK4q6vRq19r0KGuQL283gq3jf0t+8jx8+Q26VKaLDzVoqxdX8NH54qqWt
Vp49mvQR0owBRojEjVZRkwNRF2Giv/z6vbywOCBPYCwEbISnauK8Ya758+X0Kq7yWANQFHfE3lGe
DWwMSTaOD1YH9NPn+g4w0Mh6JAw0KDaWcIJTjHnr+dc/yIcPmZ+DZVcjW0z38LVcPPGxURPdUCz4
G5KpD0G2EyWEBqwxBDaSgq63Mvu3b9Y/rIPgQ8h0wuDB1OryzYoDFDcplECmVJb1mJdoqjQ/TjwL
ZEGhduHGC92JxJJUeGF++vUNf/icwW3gmrBQunK++bDuaImYa2CAI1mH7k61JkZQseI2bzCqKWF+
fbGLp4vbx9LmQRm0MpvLeRcv1djYrTqYJPpk1Kf7tu2clAB6+1PWYH0kNZlN4NcXvFgb5guyebHg
0fDlDi8vWHmJjHSgDn5JxNm2Taxumf1+Vf1wWzaeDXaxuR2Mp/zDekdablR5sG9kmlcr4SXacjKb
yPHLXk+2tjr84cZJn5oLzpfjZYW9fbnk2XnYoVqvSNKG2P2SUbA+DSxBdEysZRvSBwJAyxf118/y
4k3hoghcqDg0FK+cTS5XBMYbginOLGdU+q8BLRjfK9uvmW4Pv/nQ/uFCM+iHLheyaxPz3M9rQTTG
WqWLJIT2MxHykIUj/AQGLIme/ulkep4TY6iivOCCHhn1P1+qV/tRjSkCFkMAk+79pjKOp3iIuL1f
P74PEneuhVTDnj03LOzmpZghC2wrIfQ28iuDO9LI93VpePayOyaEaiZXweSEN/Cag9MEiX9aMOyT
4EyHfAo2nZnZ2RFpJRkcv/6xPj5sc1ZmAZYCscSE5OJhF5J83KSJaRFPlHUBbFDoum2y8uZf/fml
DN4cSmS26g8Pm1DWaCClFZdh3T04bf/Q5e0DvPaHP78Mh1f2Lk2zNbRmP3+mJBWbFQrr0JdawtRX
y7IVqH6TUAKR/RcPDyM85gCDN5WX6OdLxS14nC7FoN035DVF8RScMBQQNTb/6td3dbFH8O0zMfXP
Xnu8AajNLi5FgyVLBbHgxDAGyZZuM9/voWunHYGVyZb5Rni0cKR8+fVVLyqR96vabA6zp46V+3Jn
wiyvBHDjQ58VziOXhlrz1Ftte/YayXsaRf0TGDJEDS7jHOTM+W/Oq//wdjq8n6R3oOdn47j4LCmW
Cf8mU4v9v6v0a0fN9Jcym88GuZ3zA/36bj9ejVtFC4QVwSNe5LLqyfOsarHckN0pZvgP7Eppy4f/
YC34eCFGfQ4nKwwE7IKzmerHw5WWIKQDQE2jcxrevwkMzv6rbwKkBx1OJodiIssvn56syiGewQR+
bZN/HvMZPdZD2zG24ld/+uhsTsfA4nhXuK/LF6WX0g0NreLRNcnV/N3O1fjqv/lu8yKgNuM8yhbI
Ae3nB5dZFjVizZzUNSH/0W/9mhtmsU8i+fXX9/Ph4IC/F1gGKlWbaolq6OcLWcS3iETS7khMjdBv
q++Wv7+bf7gIXlrXxlSLF/PDRaSTj3EJeWiRGUVxZ1pR88Y3ylz/8a1gp5xhIYgFKf4uqrG8L5HM
NaThpZ0R3rC/FPtatr+rLD++0s78vHT0tiCvGFH9/MA438bQEWSw0EvosUuTe+s2MHI4Pntpwwn+
1zf1j5dDGIkCkaMIfpyfLxeMTRE4I61SvezHhwz9ya4eaVVkKOtWf34p5MOcJClpYc5evHMk3I4a
owEF/E0aAJeEqrpXU8rnso7d35mLPrwSNAFACsLXgfb4seLDueOhmvGwSAfkWih0SFZqxMv361v6
cBVOjSZiCBYG3gfrHa72Q3GnEKTbkdRNjuT8ujV0XJfV6P7xg+MqPLRZ6sh2zJ7182fUVkmn2CIl
hpHSud+2s82BWjl3bjlLmvVvmg4fDuFcDREHixAHfo6OF9/YoTUa1w7rgHlGGj8SH4p2AYD+7ah1
zNsTOzz++TOcoZwIOFn3Phwz1CQBfNwbHmHLtJQVW++Wg+f+DjL5D58U9wUvj7dBNT6cmcgUUklD
JtUjIhpw3Kv5QDnoBkM9hos/vR+XlQ4gCpIWOMbqhcRplBNC3hiXmZ7XLbCZQZegGNzcE7+50AU3
k6MLr8R8MvPoE7FeXL4XTdj3xMDy3c3mtbvz0uEYB4H+OUeNcKgag/jbvq/Kc+Ux7ES9b2R464j2
3IxkbpN8HxEmg1eVs+qigDmDdx34H/qGhl62zOOV5oztqZWd9UKckwGDJcqak6Pl02PkEWy8ofE5
PtimLKt9HbQMohygyOjtyNG8YaRN30+GFsV/RBRouEsbJg1b5pdPddAbyVVOksenxpJDtNbnKuth
wDh0oqdORC3Dm7LzLdhdD/1UueGpkXlggsRRjes6JHtl2SBoOHiDhv3YJcsRXGFp2PSVcWJ+m7rB
zhes5aSXh8IeyDQeS/cEVF57SXBDMbZyWtqif/y503agJKeDNvdhLr43DcECOGUIlWlDzrBNqhQM
nn77Hn/8drrveynTRdqtSHR/XgsIfKggH7I9kL5BO8nIhuBUeC1nyF4JQBNX0+7PbgsfMYUWoiqV
Azr21osLlqLPaBFZCrKRtHkbyKreZEX3O7nx5deTq7CQ0uWkQ0a3/LKNnLikvFnIPRZg1jiKk6uD
J1LJ7359L5ebHVfxZpo1/noP0uXl4SrIYr1tIjWYQRblHgMg1LwmC6gAcnS7vyk0/uGWqND4glJw
cBC+PC6kCTmJZdkqi7ZXQAfmbAshg8vvi8AfaRXvy5z/XeLbfoIu/GemkM23cg4ObC7/qfmn+ULY
hkDPJYHt/PXTzfrBn/5jVchYjjftNzHefmvaTP7N5Zn/5H/6m38lGN6PFQmGX8oWriP/GmHtxU+S
xNko8e/9IHf8rK8f/vx3CaOpIzmcOy8QJ+EEcMj6vxJG618MbJCg4w56F76zdv8tYST7kG6mS4sc
bBhfMd6tvySMqBv5LZSteLwdAMuA4v++779mN7/iE/FqcCc/jXM4MINdmbt7VFFc7mIHaVpgg4lU
iG4xlBloaaCjg7KozpjLOZimMHKdFOy40fNXLS8a1TdnQqbxDsvMyGeuFgxO8YsGdlq6C0O6+bDK
ywHIa5qjG/DLkB9g36cKME4nIkDbHdIiWA8CpGS1aFtJFpPXKrFM/MjqYmtnqEHwQEs/9ZYDambS
etDvVLCWYztyIpYG1SbCxSN2po5Xoybr4oudF+yRC9TGEcQvTXqSGBgtd8z2LnZAnBKHO8phxhLb
NqExoYSD92Z8j5Pxai9d1a0hh21O3E5zO3wPnkkiy1jWQugk0jDoIp7G0No5q0aX7ZAeW28Q6rXL
YPNzwglHQ3w+MoIdFu0Adu2xzuDa7OxigL06SgeoIwE9gB4yrxNuTSaVi1SFvIWRAJ1wGO+zxG7O
NZAaE8Wgj50r3DqFFn1pFPuxDIyTDLtFRz/9oGdyMxLfmAzGtzaObmpibmIf7zTW8RZhaFFrKjp6
j/FDUh4VLOik1zWCjm0jDjMOZGWVSEpyTznwYz0FqckzjQlvbFLyaJNwH0r5OvQneobrooj2wF+X
ae20PqS0cRcj31sIM3JubWkdPPjU9DkPREyvJmluCZ5a142NbCGtHseJaAjRd/pRycv6qhfNeRoj
s1uOBKEBpoluevz1a0TuibEoZXs1DM1pCnRr3TgmGcA0LFaA99LnySyHE01S88TM/KBKDKK8GBQS
2yi17np+SKQX4SOUTWMrSJi9yfUObenY6YuQQ0DYC7HJB0C8w5y8Ruf5QYLB9buElCMiDenTVcQx
1TKARpVACRzRk6ZDZntbevwqkO3ijk71Uhf5Y5XKcMk8CUaJaK3Yt9uhIuRiqqIHwozLK9sWHnlf
NaR5WP571ftmO24IQdRy8oVJL81Pe3HolRqhp8NJV9GJ/LtCyXAKCzuxVqVhmPdl6CnhqlJR4C61
vkOhy4uAR7zaxpa4jc1JLBwnKNadGE6xQ6y4x6dP+l556gy18vnsl1ECY0pE5ZYIr9uuLrdOFctl
P8liw/z6AQLgOg8VuciDvL+eRQRsGZrpY4DhXYitd2OR2FlpRVe6zsf2mHGUxm00XkVZO+0D4u3X
Tcv/OY3DkbC07euWnpOyU2vtZDD0XngjiUbkJ1eftUKiQq7jz2JIzQryc/LVqdq08lEKvIIgNA6y
rwaoTah9Z6jx3rHxptmzyMFMhy364ZpMiLZufIhGeoRszgS8WvVi3RQtXprcOCYcXRZ2ogTHpjU9
nxh2a8ldedc6sNpuRWvfLtdmM7ymWva1N7QChUyunUxXz4qtWSrjAaGptkkyBKbkGvK3GeQ7y75X
yftUcBtfOaEuw81kR7HPWN1ixCR3iS77VdHS3lvrBk3iZV/UmxH5AV+2om1ZCVwdrsPkIdZZoHfs
2gNH0SQ/57XypintuYmqNzuwEdIascKUcCzlPaxjd4kH/D51UKnMjMxISrpMZea7rLUH1QqusGqT
YVNkyufcqPVoYZOG6pa7RENjHrtqzok6KIwvINg4o/aFi+NbeEfd1U5xyVKYxl7GlLxUrk07uhJx
dYoLYiiAHy/aKjPPWZfwh4gyZUVD1K120kSJzqcZAnugD669FQlcFztz04XR1d9EnwdvInJeMk9Z
EePRLTwjzReTWoGdHYKnoBuPONkVksnIPtMLlMhEqdS7pDNOmGOMlFQNDtR+U+XpaxkoxTkseuSZ
RGwvhQk6o0iuIWZA6Q8FwlV0s+vOUaD5QrwkbhRpGa44dwYvhwvQH5isLLGs0n6vJdMRobmx4vvE
b9mD+qThxvdNr4mIcAtra09Rn7HUgBmokvLOkcHSnYjGrRqAHVbqewrGIDcCg9CoZGVX1glOBHLY
QDZL247cflvVLBk4mJBA1D5rjrWcGjaMsGyYio7OXWBEn6ygf3as0jmMuKqKelu69XroIPo3WXOY
oJGOybRDrN0+5zQQFo7X7gpxsKbd4BEFk9XntB7ZTXtsN4bFu1/Wj6FQwaEHA353uiCrSK/2SLcG
v42/sNK1iyQKrSO8DPPWAPD91ei+ZVW2Ai/GE1SaJr2OWRzgVNx4sl9Y2gAZLD1QaWA4r+pzzCBs
kZEQ/mI11OJeccgi49Z2XytpdQfw7IhtxVZMwRkP2VEt22YLlhM/WllnayaF5WcvbM8VHog+0o6I
8a7GJLtJ9R2IWVRU8aIOrohcJWSo4BxQLiO1PypxewhHrfULTXkYRwuluHKuJTPOsBC7XA+/sfj2
4c7B7ebrVnSmc5WtGdsdXOWt0m7aWaDdZGsOB0+dR8hFYifA1fFLeVXqzf2FjZnHWbzsa3h2rJNl
da8bn13MfF1kLkTyFeUwE/PyzNlgrQ69r4ojjFB/wGFVFeE9jTK+ZhpLETouhcDVRiPpNd7akiS2
u1wRT3W7i2nrM8tjSQ6W4fTNtck2rxBzOcqyHeo1qajbvGhP9sTi8zKBtWtZUdDlLzrb8R33RKl3
5Ct7zXnSz3KOPMLd1hNyurZnG2AxjpNl2lSbMO6uGn3YSq0GIv4lE9bZjY3rKC9Xae2iVyOn3as4
X3yylENumBBCalXjSNBiHPWOeTuvik9p5iwJkKY7ttLNr0LVWaf0+LpFlAkD/mpAF+yLyV6JAGei
0qxcpT542CYXQdh3HZu2V95MoCzNyARqoa8jnfPH4J0rcDlNmm9b+7puIuY5YYm5L0r0I6ovhMY9
rAJ0LtVNApQ1xS3hzDGR6JZtEDjLmeGzRXm7m4yNBXh36AwSrpulVvG2IAat8CRe9W1G0GVAWqhr
nXviY4m+1ALJh12xDYdTczPVir6zzL64QvQRb8ORc6mLkrxummOZSL77hXwmu9fYoTFFFWk7gGQA
h8TiRu/j21ycnSgpt11OGl9bT2fdbfaa6Pa6XAnDHZc6NHYyeXOHJbJMby2CAh4Hw+u29LNcH/cI
etgZWVsCXB/Ta88bdiF/ZdGbHhEd+R2ybKJRLKvddsUY+/B213kq9gJC0qKvxoOrRne1kalLi/2O
798uyzalTAzpmz2E277CLFo8m0UfXfV9w9uNFQSZh82xJ2Fe77t69Brp9s5xkqcyjDge9sZdMEar
KPY2Rg0K0ml2ppXd61y5ELFYKDbCVd19NON2CQQyWkz6yZQ3tT6/8fRzqtaAa+747MUIHmMfIfJB
i1V0eyEPhnjiZBc58AYhl+SVu43jclxPoVwFHI7H2PK9npc1HraZrS5x4sjFrONGEL2MgnxdKeqz
QZouKnIy2Kq73CxPCaDdheIYD40qnua/ZYvskYTFuzhRXjwrPTqdJLpNfZNK99B7dbIQHAkWHjB7
Waeko3OSOk891r4xWNdZss6H+qhm2pVi5AQ8aOz1KrLtQb/TzOZhwBtklJ+bjK+Xg5kWTMpezWze
APtFa4ZPHupjVzjHsFVX9lQYi3jw1qBXN0VcPQxlcDJba9uWSCuT1sspRgprFUrVeOgd7CVkFAQr
y7VG/m7NmgtSTsG+6ltRmu302Fw5iPlVpY1qOq/2SPgZXssE7w1B82uKghjfy7BB/fMiu1jsI32o
t4HQlhUnejAZq2yMV62skaJnRDtceYXxiY7jPuVdkQOpAxigyCxQ+WHRgWbCW+MLugphNyl5VYPl
G7ZWSzmVRJ8m1x4XVjE226JSX3U4fYMeL0qsHy6rYxLgvsWDMI89pHlFhuUSK9ur0yj3XuDch1m3
seFhgltC7mgPn610T9KrtzArTKu6FgHC8M520g1LwpQZ3k/7xFMX4WRZVzCFkr09cLo2rWqL8Y9V
yOCkDLEo1eH34e3q1Q04npWu52sHKedVVPZrxxlvYyfeYSZluFkcoPkT0Zv4rDKruilfstReYZxd
9ozKdQfZ4MycsrIDrMCraDqXKphM85lB+8qQb2GprNqpuIlH0LBVuyhLweFPLgeekVmcVdwEeSHL
pcXJOOg5VYXqzaTbW8y/W5PdLQ3dhZLKpZonzDwFLWblsZFnUnruais6NiHFSvjac55cDuOcC2Uf
iQVfJrJ/LDuj9jEPdMQKKOk9vX32B0NMmt+Ep6RBzBTEypttQPx3CfzoxIS8Mxz3tjZY2ZI89FGl
eKmzL2nomfgVHItjnpqWVDiBaEaqIcNNnpw2ZdjimgNncQyywReCfPEwo9Efptuo9DKM1kXlmRuH
bGUkMfmofnOaRP+i9TK8FVFhcuNabL9GlchfPLXJTd/IZP4mgoJlvU4Stpfc8MY7c8wcY4EOfKyP
EcneO0POYHG4WAUhCZ5VIzN+h4+7MOnPHTWcgg5Qa2w/sQ3Ar5yyxCvsNCDm+jvQ3AlChogp+DYa
hO/Qcw1lYs+eBQs9c0sclARbqlfGOyxdbVub3fodoo4rAXYtLXII684MW1fLYFg7tlAhsL/T2IlO
PdnvgPYZ1d7qkfpivPPb23eWO4w/1KSDMo4w3odiFQkOyUQCmxJzYk7HehG/4+EHRcEKXuUiAJgH
rGiPSyjjdNXhCFwqSLkeSEkBN8+yj38hhnu/bN+B9P3Mpjfz1ibJ+p1brxttY6/TGWc/uf0gl0Gd
xCd+sP4+VNrq0OuKgbqmnpy73HF4aeIZkp8MVXoPh8p6gKfevymWBk1/UoWXUdwRDuOrmpr3gLTm
yqIfVLZXwmsS6FtmxgFOL01IQxM97gk8AIJuP+zwMBLkRjyPb3aUmxTKwr4NgG3dE/4BdouRIbZ1
rbJ65ZA0+Nl9Yl4se93YRQ8DRJ3ydGVMBQkxlh1b/cKhY3o235NKCNJ2zm6dkb1XzFEmnCxJNZm0
OeEkfU87Md+TT2TYWxIHvpbcaZIpEkeCOSelwkoOBA4DxWuc5sqj9p6pkr3nq/Tfs1bm2BXGjCSw
kO+DB78nl6V8T2jp3tNaZuuJ4o+zeer7rPOPeqX/WSP0lzTb/xe7oRbtyH/fDX0i7/Z/LV6L9KeO
6Px3vndEycKw4KkwAkYTM5Ms6WV/J+Rg6kbxoJKOy1wdbenci/y7IwqWncEAolZ6pT9nVBnavwz+
rIrcZZ4ezML7P+iIoky4bIgysaO9ynwfETTa1rmv/8OY1WbgXkUx3gbNS6+6wHyUht1eV/FgLtsq
Dbd2PWHeAqG3sPAk7t1puCbjolwXueqQrGE6YsEbCTxWtQ+tClVNVVz219SYrkvbHCCuJTUmpUE3
N6iOloZUx32ntuqaHCdJScgwtJFDvNKhG1LGpuWqLeBIeLbiLMBo7sWYyaWh16W1NiKpnPrJeVRa
z10pXaysZWcnbwHQibMuteIpVSDslq2h3OiTLa7bPlavHLvPD1aH7HFRFiOB2rQkoyctj5oXp1pG
FNrTCrRc47bHYChXji2viHb7Vs9FfdQ6t6GqKMtYm74aOgMHO+9yMqxG+lviRY+f9Ta+o097gMaz
07OcEzynzGiXvtL9ROw0XFtl8RrY9Usx1Z+F4HSut6vM8fZYgA+lM6xhjF47oX1NfMU1zlHSj4xp
2wfaPYXtUrGrjR2seue6cJO7SFR3hSNIDC+ckx7mK5YIIA/aCu/1Ps2G6959TiCLGrBShMg27oB1
vRkOXV/TrGmJ3iuVl1ra7aLR8xvZhHfeSJ/ZsZIXOdS3uKqesF8dotTZg3r5lJbTU99ku0CjBVs2
iJz1FYS9NULymzEU7CcBjtEQh41TEgq46geDl0QJzqB6IJxwMu7VT0Z2COtvADfg0ibks5e3gIFL
toxw75TeesAgSmquvkevw08Su8dIy9/waxqYqeA4eic64du6cc96zRXdcjlhlNyGbgLM0PJBkCxl
ciaBjLn9uYWpX4vgNU+Lr4UzLRV5o+jJmWCp1ThxNExxtJHCdt3ig1TEepo+dcUOd/xjpE2zGUcs
u5HSVtVfiWnapizbQI5gfIuN52UbttSC07l8VjJlLZRp3YTlgxXclwa1SHZLYhYHfDLM9WSjKH4S
xdexEu4UjhYCY7PX6ydDWiekjCe9cNd1+Tg1T0HR7kwhXiYnWFa5tSXpY8WJ+jh205WTmy+kdF9H
AWhGNTuPoBoBMnOl2hbLGoBJaGTk2b80nXaFlWBrVanvqKM/jLydyGwXnbupdf3IaCU8uYMGxCV6
sfRX3qA9SSNrrVM/pTqYmlst4nOq8XIENQyA/o1N/EZN+7uio8vnRpswrSkbjJ1TPANYJXvRtvam
q6zcSh6M3rtKnOohbq1lIyt/cI4N+ZBu2q6Fdotq40lLnLXZH13OGdaeMSU2YmfceONwYK69FzbW
5eRKDbO1kTYrE82AUxgbPZarpglfvAwjtFUENyMxLs785Ytc717rtnV7a9bf8tFcGskaqMSysJL1
QNiCVdI/cHe2qNeu2hyMMlnblXcsbW9YpFtB8lZP+HyJmpSTzUKUYDkzCmEjP1uKeM4cazvqwQOk
fqLqq4OS5jQTFO8GsulesW86EBROoW9KL9zpfbjqp02Ri9VYdNvGalZW9DKa1nUjG8IigKdw5ngM
amJwPfUJbdoXzUUyXMX9aioEzS65okKz7DLmnsONbCrOC9WWiDoG/mY3H6XNRavrIT7Wga6n6T2Q
93tteMLPYCbQ2ooLn0T3ZmFrpGxpn0d33JBuQNCms57Epub1Faq9wuz9qKthyKoQvEXB5AP+IxSo
TPcE4OxwqpPDHQb7qii+VkxbWdAD5imUd8TfEAHTre2ov6MB2i8z5DEr1Nexn1aZ9+QWVcPKX714
QSQOBM9URyGz2m8cdY9K9Gwo0wEVCOUQYP79qHQuGcB8W6FjRhszBnzQdmew2gfbY+4F2jvZI1S5
mU9Oi1LTeDmcLVkM9DhtRy6kpn9Ki+lOWtlrW3anBqvZvsaGCXK8ULdWqnUHWemWP3tCTiY7z62V
N/p1PxraSVefUTJYTZAt8XYQ36n6YfwQhXa8rJow492ttY0bO+vGO/Ze/JpxBlykVT7R6kEIETZb
RjA3MqcblYwlystplVI6Z2ku98VGSenLEBOykwMIdSekNUGkn7XUg37vkWS9hZ+JPa8uV3UYP7Hm
Z34+3uk47PFzbTK13OuJ+1xH3UNpBuQTCedBxDVFHB9WCuKBlkx7yIvrOLcy/PQBRYildX6TD1ed
Xn6lPfVlao17zun7IulrPwixJBfqGfoAFZimPld2FbxWgsEWqsGFjPl2DFcFgkG8Y1RphEdy5ieT
rgppjzGEkQVfkL4VT6KlTFNzMUBPsFeqmjzRcpQ7xUjCnasNx2R6pY/63I/8KfDwItnkuUuRkE7L
IlG+qqm+ykl7jZVp4xV1T26iMa4R8oRox7NTUaEy9yg27bl+7qZntTXelBGP+6SBXJEJqY+WQQQt
me0ts0bzwMz3kGbBvTYFL2kfzE7mU1d4z73Zv/aefg1abo019Gs07Gr9NiwhSUTz8I9N6b6vzWKT
qCqpeVan0q1VXLR5arzpS5hiUYU/nFgQbZGkLWX+0Bss39kdDNCBLZ9OeodGR3RTvTEbq14TWDX5
GVRQX59DGMtMa48SXNxqGOVjUZvGEkU8HOgkMqi4nfAQR+kxttm/GatWz1aQscGbdffNVKSzdgve
hoFMKUBtlgtWP5ZXjoy+FjZyJ0I2DohBaSNOMVWQlnc7SGHpIWrs9JTbo7qJTU2uXdEybCBbGK83
cO5WbPWcxN1W4ym7DqeliWmF7Q6MBMxm09vFJoOm7avtczV8qmPzEOKs93MvuDYcnD5GqF5xvLBY
p9x7UMLnJhO7gWXEUPutAB1RDlLgZ1dPYfoZ9qa9oGpvV7o1nty+vgM/hZdfoVFNHNoNQ/BwZVTk
B6bF1UiAhhsFwu/Ada8ro7irh+gwFYnGwiYzxnuiukIV7O6BZQOBk9CTTxUioKN0h+waegGr52x1
wgLlmesSZs8NwhaemnFVqdaNG47uro+qZ7jL4dqIt1imlNsJDdsDel2SJw2vSgjFHiChke8YrIaM
T7yvZb6BWNZsotp4YiTmrLpGefs/eUm4tNIZaOYNB9ez3I1o3IBCS5q7SrurFfp4IZOVoRqPutA/
x02+1Dv9a8tB06yoM+Piu5/w/5db/xu81a/KrU/f8m8/i1XmP/+91LLMf1kGMR8YAS74Wab2L7Bo
FPvqX6oU/s5fpdZcdf3NywKlhWhl1oG+w/n1P6msvivXf3AO49YxdKaMYFGp+sCdziKmHyqrSnaD
FVsMrEtsV8qGPFlRXZMTF7HjhNKjh5FlcJ6TRUhoT3zQrTC3NkzOp7MzOVm4s+mjzwo8Xak3ukFe
3iJOJlktMdDTqXLIHIQc3s254hB+nlIaXZ/cMp0Y2QZp+eQaCpOIFhmjVtE3KRWn99uwlC4NVWNu
JATCNUEYCWEVNVP+dBz5RyII9Q+aHaJsCLM6Mio/Jm5EeUuz1swFLZFIg46pDhGw+QUcep1ZlxLr
DQfwkMATvyfhND24QULvvG6K6CDVVumPWR8X0XLKVJ3+ZTYm+VzluM21pca2uQtHtAzFYpwEE/dq
hJv06krVpTCIbCNEQEldEKGYVEh2F05q6f4InyjSN0kPDfIQtVIygg/UmI4H3nfrNSgtV73noGEN
qp8CDGIiHVuxgr4jEUkJ4cpw6+5lHJpBPCDMGTS/EkNOdwjcd44CIcKvgvChBKfiO6NtjCfQJnp0
402B9zLk+VDtqBW76DjEiAGyRW/ZRiLYVZQxsNYht5DofvKdHY4tciaJ5+9Y8SCk8lkL6lmdPlPZ
u7wZrHaVCHOKMS0xWZsCh9R6UEb6NHGsfyPkdSQ/EQ5Lq5tQfKooelC+o7nwW0pAXaGRFw4zNUsO
hiSi+J3lVb6DvQAqgGyy8HHR086hFeRbEBsifkN7o+h3rH3FZoodQZYZ0KeHQK3ka+HYCX36mR3m
FZLTiDpjxeqsrZIdWHqRH52oV9mGZvwYfHNhbEMPmNFV0edauG0ionb9cjJTmCZedtOjg19K06tv
qraldWYDIYPn2NvaDZuP3Em961c1sJMHveq9Z6nm1WeGmWddVM6TGibQMu3UMG9KQ+RfdDdETmQa
rYnRV23FM5OdWJyHxMyeK3VQ7+qQVnvBMOrTFOrhMQx1IrKsiurSry2vJMG+LdZ9rNwZVTct0Ipk
+zHO6ESYoyVf4MVVN1nUmy+6KZAA6HQ8A4RGMz4pm4y12zMRlQp7Y97r8T4tVGU9t1oNQAi7ACDA
nEhJi3TgEM23+Y3asVzRDaU0mtT7LpMMFVvdPuCc558wdXEbusVt10B/0jNzeGMCKfbj/7B3Hkt2
I9mW/ZW0nvQINAiHGvSgIa4KrYMxgUUwgtBa4+t7IcjMJC+zyGaZvUG9bss0sooicQXgfvycvdee
S9UH2ypcHo4UX5jcpzdt3pJFYU86kQqyWq9DyZSEbT8rUtngKJ0B+0lxXaWHWo9pL8SxYmue1Yyd
tRnsoE3PM1mZEl8zqih/5D5IxldcObbt5i2pLufDkGc1nNJQMj6GSTvz9c4TSivmzDqVWbRAdiiW
LJfOlylo4TAhEjQvbCoXA5nZSIunXNLoc6oZTHelwKiuB2OwL+GINC+WknbmqlQmLsyaOrXjvxSX
d7ZEzioTOGngRTRIoR8BaxWF38iDIvtq2i2VV5JQoV62YxcB+0gUDr1yKKuPozI0WEkVjUIRYhm+
rrRJUnMTiTIunvM2SpsD6IQy2UkVPBgfxwUzt3yJQg00lT1Gw4Nm1NbEyXYgkY947iQ6rSsLPX4w
Ne3SOU1QG9mbORZqQuBfXVWbTiubRt4t+K6WGwoCgjPtulazk6ZAQF14raUhrNCGARXDNzvcPyAo
/kntilJxjaaBMYi29vuNhNkX6CSzD5jaE9bkkh8nl15VNd2nf+M6pBHgo8NFi8f9++voozItpkbS
FN7O+qWKxvlFaaLhS6f4X2Itjk2Cq1BYx4yATJj4X9VYf/+bbXHBJZcZyNHXrra2A4kbczDKimtK
2cmpq7Q9I6m7uP75Wzv27mvrVVefGQZBkCHvvdZvr5qNhW3xDa3OgUKlnpyI2cplprXCXBIfD1C8
ZfSHMK6s7Zp5SQXRt5KFef/z17F2U7+tCdaXYRI0RqyCxdJoHH3EmAVMrIpoyMIipCGQhKdstbRL
rbnZ//xKP940Kudw3jGIgHdQwPcfs8W6GZcKwpAuLOxb6ITKZmln5Rf5mD++H8b2axIUWk8Mdccm
7wKk+oAkgvOZzfPQ2mrrRWERnCI/rX77KcAoD2sC6j8o1B8CDJZZT0LdKAJHbwJsdbPyGo1quPn5
p/YP7wdpMIATU5ByBe30+08tM3SZI1wCO1cKKH5CsYYnB1Z3qaZZN//+O4IYz72omgZ0GeWoQGTG
aQyhLdsOBcOjJA8rby+Nf3Ef/NM7og4liQ5YBG3+o3dU6bUGWm+0nUVLyshhTNilJ+lQIKssyhYe
5s8/wH+47QzMM+RZIOdmtEWh/e1zZswILnkIaZ0YLSFwDQE0gbT8ytO8vuhvHyPcOQomTsYjZNqy
WB35QUx7tEdRCNuJdHpn7UAf0eh5uBtSsQ9lIb/+/E39w+U4FjCJeXfxEU7w/ZsyOwumV2uA7Uqk
+GHiaH8iZbZ60vR2ea7Ns/iFTezHJZJgBBpt+gqE4Cxz9CGGC90pmOU01m1kDFkXPgMjoX0/KOez
wbhfHfJfXPHHu4Qrko3Ihs8ypx0naoRxqDFQ5Yq1WpabxazpePA50D0ETffzD/Mf39y6aGhkMlhE
BX//YeqiaIcM5hxRghMCgnQcN/gZ+1tS18tNqCTxndmO2q+CSf7pDXLz8xRAEEH3f7TwEtUdsoKQ
D0TezbCVEPj7apXWm7biuP/zN/jjI4AThtWdH1c3nH58c4YsgBS9EPKYi53EJAlRZ7bD7udXOb4n
150EPpJlyPzEk3BUFBTEOjEzhhPZZEP0srIFtzaGBb+bs+EiZwyz+TeuZwr4N7js1wX4+68tIc6L
mFmmdbaZQEUVTbrtYzE/DiwrkOFNUml/fsEf7xNqAwanwJnYuPFrfH/BuF+kwSR5xFFGkO1qYVB6
q5GZ3goM94cGKG7qzkaNbvrfuC6riry+T6GZR2+0mwalgRfPFjDm4jarZsUtMpR/RaN3n2ZFHm6k
EvXYzy/64z2jgmwCD4VXmLLguC4QsQ2es8XKTWeWGUebydqLCsLS+/llfnwKmK/g0cQHBgWG4fL3
nymNzOHd789kDYUdGXevrEHlNrFxXv8bV+IroeHCxayVjf7tPjAkckMXV7GdUlZaxkw09ByxtGKn
o3z5FbRjfdnfbgfYkFcMEnUVt+fqLvr+YpMRNr1iQLwHT7ZVswWkL5lDY6jRydOqX6R3/PhVYaZb
DUQkE+INNY9WksQsm2AB40VvZZBdeQpoFeul/YvP731B+v49rZchukOmTIbccfQBQjScsqgwaeUG
yxh4vTEyOOtntZ89QyoLG/W1xWeagEp7ZK7SoGCRcQg4azBitZl5PHRXDSJBWmFYyOYvbqR//BDW
kgLLrw5J+OjV6Zw0g1bjXZuVUbuEK8qb2QimX3wIPy4BmKRN5AnURtyXxtFKalVjEJHkZjkRls/T
cpnLy1DWSJe32upmNrv6MSZe7Tc902y7a81MyLMBUZ/39/3NNEpm0A+grmAqMkAlGTL3WjuLfrG6
rcvzd18vTlMuApOFJ0wl1uf7q5gZJhxpag2nmYvmkx4TIuTEWUonKsbbXHsNziDpPKqTXJwClCBA
7+fP5w+PjKLxj0WtBrwIZ+jRF2gixs47o+L6qLdO+3ChbSEaBb1GMTPtXTqg1z+/4vpfPHrHMCRW
cgBFNC7Uo4cUPGsVRyzzTg2+trgTQRmAei37UOwXYCP2L/bHH+5QBTAMB5+Vz8R1j7Of1AprniDR
11E6rMp2gHKtJLDzF1/jD3foehVWVIp4KILv2dPfLnMZhi+rijQddHPabrSiVLZ6KsBHl6rioiCp
XmtA57/47n48zCqsBwyyMPnpXP44P7BYugA2AtLL1MbpAZ/6MTaU+8I2z62ovdXz4UUgzRDmcBuV
qD1+/j0eYymp6YFtwvrDQEmshHb8gHTd0o3KnOnoA/XGlwSUiShMehCp+nRp1LTRzLpLruq2H7cw
nNtd7+pM3l5//jKOvl/qRwXy44oc5Dy/FkLfP0CJUhaFrcHlTMwCN0wHbode+K8wX/90FdhCLASI
rvCOHi0GMEbnpYpxF+rQDNy4jiocM6nyi4/0aDFYMRpE9K4VACUqNLGjxSAu1JGFaGxcG7cCPkQQ
r88doU2ZK6laM6MfIj9o00a1rvljP2fL888/y6NHc70+lLa15KEc56y43uXftGR0NaysaCFflKGu
dM3OMWA80oxJ3UiMf7vfO5FyNYy8MnUk+DSAG8cHAIMWWVhMRud2Kwk65aPH05UmwG0Nc7QS7+fv
7b1O/Gbd4XKCoQ9PCwI8jcXuaKWbGBQ3sVINrqxZUsl6MNgFialNa47bAZ9Xd4DgbqteqzTGfFvb
vCAfLacl4R3MCEUSjb0kkHmZjBjPjRwopicG1AKeqYbK7WCUebQql8wqZcY54kSYI6UniYSB0dOc
qY3sJ6lS2RsjUED6Oh2Vc4kUQRbJl2/x/88E/4cuq9986T9E65yXf+TPxf9s/8ieC1aRt3en/P71
f335e3/JMBVZp1NFNbH2d9bzy18yTLg5rCAA36g2IFH9NRtEa8npg/QJcv2stUXDg/unMf19oggp
DwYxzy2l++8MC833/f6bu1SlDOA1cWxkc+R2FUcthmwYe0nVsbThCdsn8WndaOdhVb6UlYonUs1Y
FBCUacZdH1gHmpMHc+nPKiIDRHqiaOzjiyx/NCtyzSSjdSJteguZV8x5eCoQhSEJItN7oxAf1qlP
UqDMLhjf0BkAxbvJ0D0PserWstOmWGuXtj0tdIyFoWXiH66fkW6q6i65sZMLjDdN5Y3CmatNYPkG
kOsDuYBNu9WtQ21dXgAjQ92DT8CNotMpcvptLXxo+kilgs5VFaxdjtRtQPo7rYn/ggEGNjkm574s
cNxc2ukVdpy4vA6Sk5hcPCjAgbeOQVN6E1s1PcfKYYt9dpPdJF7iZRdB+Lm+0+RrdFSyg6OfH7WU
/Xg5zTbZRn+QAvKwnPwJZVR1Q+8kT51bSXHl0q0xtcVvkXJd3OCnvK2z81K6Z+xAqsTioHIIyTUD
dUx0TnVWJ4SpWduFPCJpIvooXkVcUK4Xb59NpwRA74z+Chw7YS91j/1fcbIiI7uodJRt6xWd6k6R
2z/On6Qn6Wn+JL//LL//vP4YPXefv/wYPaufus/qpz//GT4nz0yFt+LT8Fl80lmTkFSA0jbm86Hd
BPPG3tbpqYq3W9hYyzDRaL3maIesIsAPG8VGpvWnlh9R7S2ml3OQfsyeBdh65GPpLQnE15O8Tzss
lVtHcct9tPjQBkZwrg3QoAsyehR9M0bewOCuvGhIQlsukF1o6hX/LVPZ8uOK+CgvrGZnMlxZmNZh
M+eHQt9Ekg/T/OPkWiiAGnj3s7scav42P6c3k0suUW879tPgigun8flz1nMpfIx/5tM2b3ZJxcDv
Al2jQ8COJhPY7Jqma0wkBHvzJe8zwoGBpaHzsJGPjridL6OXAKFVe5ljrC4Ok7orTgLNq3ZRj0Ws
Rf2SXYfSp7C9yI1TdZ/1m3DLXy+j+2m6nrQnvThcGvImkR65VUPBIi9MF+8m6TBsIEwErbncTFLo
hZHp5KvNcdinqTcTYS5OGiSs2nQZ9Ttt2MoLkhuvlvyCN4x4mbT6+myKCFpAFeNW4VYPzrTgrDrF
tTJtcBZ1p9bVk05b1lY8Ebk2wXuHKIJrwvPtzuptK122BM/la0u/8RL5kkng+Dm6jc/PvI1nZQfr
86aevBKJ9POZ5OgEH1AfuoVwl2UDOQGC+CDc9lz2IwJRF9/WTnGxZbfSxRD5/BdVMoxCv539CY/1
SgdQT9P8cxA/WJHqpLMvpNPRFcASMHa1zMWFjEoTf66QdEdXc5xZUADe9YiyZy7Szo5OMiAXSvyC
2QYH7aFB/9udFmjFq/TU5uwaMDnltdmdX13Kz1SyMWPQe+SB9XVef07BYcIgzbPJNylHrhcqBsBH
HpnFlcUCc4E2MWnlXfEK6wyjPNmLAwE2eGU620Ubx/+3Xi+QMfDS+EYTZ9pj/dSY+riK+ZQGsDDN
N3uUHrpkk+m7rNrP2glJRRzNyBK4jZQHYem8020hb9LivpDv5cyvhhPETc9qQtc5wnQqgSQ9jNmJ
trq8LZ9TulNs+uxSnm9RAIhqM4Sn/Zn5MLIeKk55lV/h/uJfAgSk9/9RXPRn7dn7L/NrX35HZnnF
ols4xJaHTGC//qu3bvtWnhGq0Y57FsblZHmY8UWGRNHI68zOszBuOdZlLc6RiinzC7e9FiNkeyHl
j8n0uT4T0Kg+kJ8dCi/ueaZqgtnBUyCvcjIZdgHSUenabCQ3DPchpETBqzCLfZt0DoRRkFfoQudD
gPe12jf6Xe4Ho08AXErnOFl67H2B8QgzBVYr4fHXfKoF3TM8iqsFMOSzebGcgCt7GAYXW0VjWg5O
Y29L/Ne9w0zbrh6z0dhkXoEXyKzwKjv2s3GavPREl6atK/BWkaoV3pdsj+TE2cWOitE0AW5tlvMK
2TlR0Is7qY9FIzzyKHD0SMx0Jz8mcypHtWCpiz+n6mWHCTdHZSHVz7Sp/OKg89DG3YPQJ78S2Kg7
faOaWAPKYJON1edQz9wqYYmlo5L0JYwUtIzqXaCkL2zsH8kTsTkQTbCjYhfVj9f08iVpOn7Qk6sj
SMxaiOlgIh8ObmhrBNQrbi+UfVsYvpRVJ6vdU58tT5MyLy8bfxw/j+Gp1WJpGLfggVMnlqNNYl9K
Wp/7EQpch8G2J+b4KtYL4UvY4qd4oWNvQ0RSWoy79kU+3ShoFyHv+KkqfLmoPaoP5gdVmDvjsGwk
mrjS9ISU9DxNlFOMdRdmNt0T2vmqFsgBxUVU/BtV6n+aBUiQMUFB9q9NQNuS0vOPm/7lFbRnE3/q
vq1Cv/7tv+pQxpfrCFx7b2l/rUFJfmT6QkefNgJt2W9rUO0DYxmwMtDusAQxl/+7BlU/0KKie4RH
mmPPb9iAOE1+352h/mQ1Q4WOJReEPwlZ3x8BIeIQrgw61a0Dgpjq3BCwe5KGpabfD1a2wSh9upjK
AyaRy0ZQgiP0nEvzjGas8MuuPdFzY5eXEOqW/EKSjEM5iHPaGCfWmN7HaHTlaLmDHTexDZqHjNbA
0LQ7hRQyu1BfZjk8NEK+LkVKElhK9KzI9dec4ReRhPhtlM+GtZpd2nzcZhmy6zJJXsw0Nd6qYWhX
qZSq3E2w2ra6XhfnxADoh8EyO6T+irafojVOKzP6+y6tdYcQv+lJngMsqZjYXQnd2hWxwC9p+xym
IP3CBkIPYmCwCTFJ8gkBwHPT5ofQHodNoZvRBfmY0U4kLRKBijbxOqHDcKARBtusbkEoPjehrJef
yF4hFSvsFI9ATHHeJb2OTFgreq95dxtGNe7itLAQ2hfmQ52zDM5Ym9xEsJXlVgb9RW+Qp8jVZUNS
mpaA2giSOt2afXNTqSx7g9FGn/Qs8JuSP8OR9pDmbXhl59W+qzFC5CyrTBTcoEy39pD7WTnvRxLY
Ajk6zGACzPSkHdMTK8EIoxFumWM56PYlwc6BXHD6Lx1LX87jmOC4mWIrCaL7ORz4A+V5JNhu7IZI
zaxqX/TQ3BRqf8lX/3GqFoJnQlexHlEDbha7dmJBOiUeGmohycTHYa9BGK5RQM7hPQl0PYltnCqR
NMCk6C+J4Sg+VjCiqBkHE38DgVjVp1ZbdC/RKVEVUbV7RS3Se22VE2VFcJ5X6Z5MmmYzFfLTRIj6
3WqrxzAs76YgSS7q9EyTyoMeJG9iOAHTsOFh25gJkg9JBeEOTvFmQEPEDfypSdvsktpG37V9fEgG
3U1BoGCoHSQPNEXqasO8SRUs98B1XrkPJHcxMfLzstKNSq7HSZ5lF1lgIpVTOfa0tX46NWq+18SM
qkuGT2HWLbPILrwQy1I4YRrhArfHR/rdpvu+Ev1WW+A/bcFVmK+QG8Ii9K/X3Nu+ePlj365n/vbb
5fbvv/tVFax/oEcLlXDV3axNfQ7xX1ZdXf9Ag/i9FUXPC88JS+tXVbBqfFib8uitTOZkNJD/Pvmv
vwXemZReRgQKQgfjd1beo9YfgG2Dufu6HzBTYtJ/1PpT1JzHQ++FZ8owb3pBMmkZPSZa+pL3Ecaz
Upk2Wf0L1Y5y1PB7vyraK/GuCsGVenRVfiE2YB/onlIBTeosU6dlkB2SOc4Pg4jP56akYDS0bZJn
l6FOSgQBL+gdm+guYZX12EegNxTJVwz0b92r/z1dxMo6IvvXN/NZWXTtW9M8f1c5vP+lL3cxbN4P
yLmYNwqwRcw715v1y228/hZTuHdIN+qaVcTx132sGB/ee9cyU1gEMyv780+xu/GBwTo3Hr/4fiP/
ltr9vUX8d/+KDjkqMzITOPQhc6QiOepfDdbY0i9OJwaVWnuXDNXykbhi4NrIiFG6jsphlEbtKq+N
8m1aJgNz5IIBSUukQxWO/UcjTNWTNE77E4Swa0Kjml0TjYUJ9PdXw//LO2x4a7q+efvj7Llq/9j0
xetzByjzP4DfSQPzX99p/zt7eS6+53fy57/cZKryQcaszqKGE3wd3DMI+HKPKfYHwh1Q3aG7g0eE
kOavWwzkJ2N3cMkqcjnEKOso8c8mqf2BWpIwCILQ1vYpv/UbRerRoqWuMRnrOA+87CprPJ7o1X0d
1+jR4YIk0UCvHaOhYw6J5JcwmopfjGR4gI4qYuQ7pGYI6mKM8Yz5eMffDkVqPU9EOKeRS9SveFzs
Ln6RQUTU0CT68sySRN9tRqtAClLm6vhCSwTfexaqGMoTLAOArzIGnNhik4uJOJ/MD6O2tz0bGf2V
6BHJeaSSxgiONTs/aUWXl25eVON+6OWicGMbO6Mz0TF+TAkDhUmMs2Ci3lOb2Q1JF8RlqCb5vR41
eeUolKxXqdGUl/bI9K/VgGdQVMQmbZCOIFJ8Zlb82AQVp/q4l6Bg6D3S71YkI36DuKp0R24K1QYt
F6hPtiaZtTvPZnTfIlCgWapkkPGmIseEquvS2raROi332G8lE6tvNZyHTVY+APDPT8qxSq5DfOrJ
LtFmMbgZnoXeQSPeB648YGdxpL6uL4eBAYqvdLMyvCVmWht+x4DkKSxt/SIKorV7PTX6o9X2OACG
hgyflW4you1YivpeRqwc76Q2B8y1MKW7MtOuyL1iVisQ1JVUf1SFHTzE9pSVHqceMKh6IbejE8oL
kzwcbOOTkKFWoylSrAd1HibNmUH2veQ58bCbUsxMjHvoWXSJZQs+whTaytUohbm2E53e6jS5lP4q
GTWDQImxzztk5LFFc84Ug4zx1+iBu42NdcJdW+GpbWb7FrFftMInKapRAFfomsAcGE8RHAUVe4Yq
nqWcpER3hYSGvpHOUQOraq4vZyJ4XpJmhJja20sHqCfuJ52FtR1qB7y0eidkHaNcSrb2ZqjrJdpC
ESHWtRzH+a6rwIby/gWuQEMYw8UQRNiq2yGnoRtEJbnuEo7hApLRtNWYUL0RYVoWvkDZT5NjNLNT
q4Fp46qNZbxiyUgUZ85m+bYIsf54ctQ0NFVIs5N3ity0tCeyoX8U42p+UudITRxy5zrVz1JzfAqj
aaqdYGKfwH3dUPaERGyDG0LcojsBUtV8n8+tyPYGoNXI5TaRXqwE84CnSlLbrXddoDttB9OPSwfw
clJrBmw+KRlIuz6S6hut0VkcNCLRio0CEjDDToBszA2wWeN3rccJEp6NQ6WuU0KbKp0kYn9YNICy
tRS3qiNXq/eqV9I2d0BxjJ/tPiF6drQynmZexq2uTSNN/zhiisERXcB0leYKy6w825Jr5lmnbFR7
7G/pF8DfZ+nCCYJ5DYiXjrgc79RknecTjHk/WvT6FYtSj9E8UHqw8SRiz35jxt1zRVQT5DE5xKYO
fzF7GueOik3tq6Ahbj02Q18sofY2anrenSUVkLPNVDVtuV0iJdYPtrTQyqR/NfrqVDTFRo/rDgbS
2kzth1zWzrq5ReJZwuGEk9NEPRaGdqELLYzMeFoMqYG+kTQqgx1zvjfjVr4lx7e4DvFIYcZAfHip
23CR/aUG/+npqUYa9n/Zll29FTdd8/bWsWf/B2zUVGM/2aiLVwwldNf+nmfy579s1MoH06LSQsOH
dofaa9VofN2oPzDAZ5u0BTNrm+AHFAtfzzTrRo0qm72dUBoIGqtY/+tGzW9RVjJ9BMPNr6+dqd/Y
qO3jZhInGYIuV+0kmhgYAUdbp2rDMWHMnThBUMovMejhSzGVkzMbC21rmUl/y3axD+jB3g1m1hEX
XEt3QV2d1prM6CmTaL8CsuDPJPCWLkwxWo4Ypvh+athQYsJCfBRLFpNAWkXJNHzK5eZpAcbmkZF9
FXCHwvPKM3/qbZC5apnuM2OB6dwWQBdCyC2NEj/Vk/WRlPfEK0rtBHLrnWxE2qbo5mhLyPqJYuXS
ioi4qwylJwIgeQvYBOsSYhSMb0/OxvyhnofBb+vZPKhq2W01tZt9JVdMP5Fay+mUqfskJPmal5Kf
DSnkiXJsQIFMrVOAJ0B7NasX4WLFm1xhIlrw4LkYv9l7R4M8EKnEVzx2J12jSBswp4UPq27ZdGMD
L7nUXqFX0UxHMuGker4F3DrcJll1rYXVa5BKD2IIVD7pWP8sAf+wpji6DdJG7FiEd3apZjsabTXh
udVyWCBzfVGU/9ZR7v9JeP5PmxbOW0aBlX/7UKv8hS9PtfFhPT7xzPzZ0f36TAODQrGOzktGSKvQ
LqAs//pM68oHOrcchDj+kUtqrGFTfz7T9oc1ppRH/WtlLn7nmT4SusmIFQ2qYdoUiJQAZBw90qhV
poyusM6tNstMfQqmFP1Dn4mTYGi6jbr8SkW/fgzf6gW/XBFJnSoAo5AKdXRF5AnlSCQeHuaa6kZJ
n+NohkSb3LZBf6Pa/ZVVgTQi7uTB7vVPstZcJ3H1Mudw9hpJ2zS9/hbpOiNHoO11+1hqc+a3g8GG
2Vq/iKPgQHP0Yld7NwpkDkZIQdagve8PC/0cBgYcf5Xc2XFxed4npzXq9Bz4KOogvtNiY4BH2XVW
p942Il2uOOtum6gZt8my3M1lgc8D8q8zEAmOzbohfmSywU2panuOt/OjHheIfTWmlhT32pPV21cN
hAmNFZWJf6QeFusijIFP1ClYQGRITtOZmj9A570rQKF6upnPXhnEO3aPZPCDcH4hPed8GoQJExMc
B4xpHMwKfDhyLeGdSNM1Flzh9o1WbxebLnujTuEp1b3pyb1Bs9gsn/KF2e6wZIQmtVR9XmG08Lz1
RLmqu0GCzAke1FYLLH5Fpe36hSMSCD9mC0BFMY+SeGNYmyAHfAItZNbeWLfStxZs9wY84uR16jI5
ei/5Mixe5unxTWs12SbKi4cIS/Ee7Bq8/OpGbzmFhQqdVsLIcX7GyTbpZfrk9bKcsu3Z+2QM7pUp
xDw7wQGCLSqo68LGA4oubXuo4Bu5rFufaeHBHuo78Lny9TJQNuXLgNNUGqSzdMzUF1CTyTaYtS3f
n72rCSG5CGXAgdRE+lmci30O8B1/cX6Z2UF8ypmjB01kg7uJY9QgaR6l26SKt8M8ImTualnf63Zg
xY5kBwJXG+eUOFtA4aoFJuCgxbYcJT7J28KJkXMz4+YINsviDgQgIJrU3tuL+lzYDacx7H7uXNgT
O16R+0qmXeoEH/p9t+DdbeGnxFFTMhypEP6kZe2XVYU1JdU78LR9dZZxBnILK/icGFH4SvjCczt3
GVSWLE+wIkfdDkAKBGQc8uBalQmlEXdoYimlV5sN5FJFEJA7ROGGKuQTAK74WbWk+zHKtAutjdNT
StJ2q1aSdhIBBTWXMnusjVa+SedmciPZZMgZ6kHrkT0qzhAeSvBLbVrzegKSvDCr4sAJ9tymv87e
HZi7hDGMU1ghAu3cTPdSXBUeADgs0008AqI2LiLGP7ddbCZ8ODrHigacb1WXyXkQdNUmzWz9xSSm
wJfqWQeDMjUbMUWXpZ51vgkS1kly296x9oV3tTxdl/ICPVuDVNV08y4rgx3RZDZsomb0GrzJXgD8
2g/DaNc0K325HoPrTKBZ0vtK3zJQLc8l2V6gNpjjx34JxFUGiNEfmygHTzwALlVJmMb0ddUWbQ/8
aG6cXJ/HM2HPoneYDcB+MINt16NaR+jfv2STfmEoTeFWWePjXCydQJ3P4tG8E7P2KrRWnCJ2NLdt
afW+Th4cDNKk666GHMS1JlUbDQjEVjYor8bRrDkyKWrrt7GIvbSf6tdhkmw3bITxEQrpfc6ReDdH
ReyFcWU7rV7FhhuOQXkviv55UfPqXEG1sTMb4yHR1OSuDo32qtVIUCpbhexPMyfkeGgVH2xs4bdE
5l0UQLXdppzVS8iC1tMsFckW5ER/tXquT6u4YBCTpINrlhFHVQOesBqn8FRjhAVqUD2DgGiZBpbd
5yCqFQcGfXgBQZowhRjW0Ug+2GMN9mzO0RrlfXfdzbKyjVpdnOT6YDq9JF9wUL6VVPEw6fK9nva5
4cLmC89S+Be7VDSq4arJoFy3mjwd9ExV9jp8VS9jgXxTpsI8ofEa7Col6Fd4l9KYwD1zu3AIF1H2
uVlzJw49aiRSZmbPBNq508yK55rWBUN8JmI7WSvmbQ14SIUUn67oq7muLqpalyN2gRoXfF31H03K
wHhDopJgPhtFxJ8VQSfflnM58ck2xWdR9flu6VTNl5XATEjyULYdYDkriLNXKlPVi2urPBHVWO4m
Dr/kvJiBiXohLDd4RANvsG2kPlOmxH4ODe8Q6s3qfTKAsZbw9S0tqa6CJksvRJbNu3AS0j4kMkSD
NKR+WhgSTr5u9cFtSwKYG/fRoODfr8bzALjPoVva4gqZuOJzW+/x+Capm7achOlbzBtJLhevj1Ac
h+iDSz9HAO/lcO39LtLtSyw39fqJZWh1Rw9er+7kkW6A8Slpd9BgOEsrO/hcl2K4bAKsMhulQPDG
U7OBP7KgektGwLmCTAUSFXp6MOqS2ad9EH0esV3dl01r+2CbxXM3mKiJejFWdAIWutFRlFbnFaDa
7ZgluWeWSp6BCR7yiyoJxIs0t7ITaOOym8Rwo9ZFcIhmE7Yr03S/AtjiV3b/FuVhdt5O4OqROCub
NsPAZrapz5ynu2zpVG1aPX9omjKl5UdYFLtBGe3muABSxrjbAyebnGWyHHqA5gyWiXlcSba2jOYQ
QHuK8AQVkMVAVqvq9TuUpo86+s5MR4bWZ0gm8/oiapf4HLtltx/S4NRiBzqjMoCtNul54WQDm2Sf
JKmXNdl4U5l5tZG6eEw9C4f3eWCn111ObDAPRHAKDEp70Kg73GopigvdqsVu7vUd03pQIkk3wl3v
JDnalaNpndaZpuxToQSfe3MaHWJpyhO4ZM2OeWmzK9Xkc4w1fx8DwjupaTXexy03KUs2CK7Ia3uM
ZAc5qYbpOqbhAFswlLsDEazWDps5ybGBFmVuRqgHSMco8RYmEWeilmpHNT6rWSMUJyoXe5Pl0+Ws
twUdXKU1vU4Oz5oIOI6VqbbXGsOwkfJkJoUFzGdS6YItydDPx0avvayXqsclnsjYW8py14oxOImm
oDmFNpI8hASsYSQFTJKy/Z00w0RPqbb7aWPVTXIoJql6EVkcnIyYot+kKQjoJOVh6at5OZ6N4Wxs
Nfq418IYr7qRMNKiCG/GVin2g2qNAChldWtrxeCWQR46+qjLnpaq3Q78WuH34SpFT8rkpFQk7QJC
ieFanSZOhWG1hwKw/XbRzcs4UGw3m1D7Cit900UdbHQplXdmROII9uZNTyYVSVEZisFm5gFU5hJW
8zi741AXuyGJlXOSvR/SQY9PIxFcAzA0b8ccURrLS3EQ4K6KciwPdLIdQ8+1+2oYuqtwWHYkaiMT
lpvXBh1luTSKEwwQ9VI5pXyPkitTGoQfV0N/1Vs9fTzIQNY5O2lyP/RsnsBRSlbHuj7pULkmMrKo
wk6M/8PemexIjqXZ+VUE7dngPAjQxkjabG4+hQ+xIdw9IjiP95KX5LNppxfTZ5WNqsys7uxu7QRo
kbEIpIeZm5G8/3DOd34mluguAHzMlzxPg1dfJqABiiUI11T5cwTyxr3PzEbdK2uBIkeaFAQiFsSQ
StQIgTkvupMTFIJRavHmDbc1vamAA/o4oUyrGgj8SykItarg2d3eJ0b9bAtNoGFu9M3cF87OGp2j
CWbhqezcS1+JKmSOGEtPq86Wtbzd/P0biYmAqJpx2rYDaulAn7ZO5z3xpMvD2suD2CH3Cr5K8asb
xjWiy/tRju5Hncjnpe0eVnqxS1X6X51rfTAVyJ7bIMNZnJLZ5NfPMKa0Y51nb8BjpBvyzqI8MMpI
V6jQAq2imqy5+BRT7G3ZTwpledKHjkHWTlURxZAnqNxqeKFRS3A9ooS5u671+gQl09+SV4e2Q8zo
11II97l9zzcJrGgZLl2ld4+diepyqTlB7bFDB9omPzQ3zzedmNdwotzEoMjLLhlYTDg+ISRt0Hr4
kwEW3RiHjeieAdxk59JNtJ3jgpwyXGSC/XTQhagvlVPViBARxawjkHxLoO2bJt+81/PKJvM4s7dM
xSsUmHKfGp7aFp3ytxXcnUc1dz8sVlmbZEE8UsDIkjpy2dkJkAS51hESj37HPhNFYr1asZd6sIA1
sZ+HfL6Sm3IsVCW3aeGvp6azmVc12pCd8TxFjYI8ZIkBSUilReniGQ9VyzMS1jFaYc0+d4NV32c5
gktDAu4sikoexeyNPmI7ViTyhgtq8vVczrP/g8ii17VqPvV+VZHV0+BsmJ+CWjT16TMtb7WvZ1VP
JmqrdlP5Jhfq7AwEFQz+eFjG1g5bRDcRiGT4/BIsEqrrdNyPPcDJUdsvYMZhD+ojvlCAPx2XHi3m
msD9L3UnxvfA4xiCFZBbiZLXZHiGlF9/7wXiw3k+TLXvo3HK53elpuA6Z2bwpZXrGrESU2FLhUTy
S0X+EirD7Vy29Y7R3KMA7Iz01XoYyuCzGfSnSmbp0W65G/KVNlIu3lOeFXJvopF7mxsAmAB+7+ba
/SYDvwWmlX8HRrTc6bcnnQcBliwVok+IQx/jurZ9tMcB3eyGUr89B7Vx8Bd4msWN9BQAwxTjWj+V
KYpc0Tj6zk7La8XNB8EJZVs7OOVB1TeYTs4768fgyHt6d5eXakmXbWO0V5p183HwZgCJVYMEd14e
STOqt37hiffWJKaMNEB3NyZlttNZX20gNNFqzjgmZGCkm2GlX+L9TVudeV/YAjpEJzYUEUxb9GYV
v0A8pMWR/Kd6ywUUu1mBOmumBNZnQPcEdwj68NBLHgO2EBcwYhxZQYqy3nS/tV4FIFbypSfues5X
OtdVD+TG57m4Tpr9ZLWZ9kLNPZ4ny10OYOKSL2+mX3f9ajzifo1WIDuvQzkevRKsZ0fURegFaFNb
+nO8zKo73sKEkC9bnf5N5FO3SypduxDdZB7kZIitN+Cjgnya/VytpftarQEEb9H/Kx/l/48Q/4P8
zdsq+t/fC2zGKv34UwLn7Sd+myGa/r+4UCesADWpjmX6H2onkyjNmxUWuyS6H4dp/9+niLb9L2ij
0EDhgboJmhj//32KaNy0JS4/xZKT+SK4xP/CZoBp4R8HZSwFHKRY4JjQmqJ48m5Tv99ZDW2VJwor
HRFjaVpcJ+oYdo8OgjjoHzrzmmyewq5MPD8iztL9WZJzkYQlmmcjynVRvLp+7xrx1Dk4gew8ESE1
ftFEOfJ35ImmXN8MWyNGxRlaoIToS4mb8/lrj4QFx2xDac5DcOiqpH9crSZgH5+nNg2O37GlzFgF
P4ya42kbYzbdFEZiu/BMNSuMCFaQGj8oT9OPonbmlyJbkrNMVl6W0oIA8aHrPP1ACom3ENrx0zQo
OsYyZdjCcjvbDqp5nWqitjznagKbzhxI4isULOVfNPKWS6DUQS0iNZXbBJ+Hg3XETOeYGX4MC2Cf
kNZkCmPP/0dzXlhTTPOvH3o/BcbmOZa8n/HrfjrmyxC0WI71zLzc4qWaAK9SMsQEFOyF3n300rtL
NJoovzh1PUDpcn5YfOKdtULGq8FPjh4pRGkX32IWDSLXoKTSp7bc3vwBv9iDGZ/5uprw8/Aj9hol
mRZ24JK90Xoj9Gm7NPVhgLU7b+teouDUIunTIIELIdnJ+W72c/Be5fm0JQXV7jctIBgnalsbkgDh
Aa+apdI3o2/ZkKBK034qc7GpefLFvkxDLcrQngssY5iy8duQGCM3RpbTAHXsMrxNMOnlt3wYhjuS
j6EDgbaxz0tWeTsJ0vVUlZC9TOymR1VOGGBMQg4fca1l31AppwtWBqVIQBM9yZ/k9nRQzBnQhE2d
pXmUCytn9dktRK0JIz9VXMy7xHVFXHqyftDdcdnqi6Vv1aIJJBXzE9Vz5SPuI51EJ+6RXIMp2ZdG
k1YbwtK92DHt5teSqZp+AlKjTMlIKp0kiHynmQ7SawX0+wrSc4PQd5ENzQy0iX4zmXV5TZFvxGnS
faX2qOJiTsZfFO/mJuhtONZJnQjMRPXiHz22b8gi5nYpwxySMaYOyYmOLDhpf0i8uG+Zkt2rOXhj
s4fNlq5QV6zgwSLBDeBhS4Ag79yghA+s4WVeg+pV7yRGmWRynHvC/dAtrrC7vrdZzdGy1M4ng0iD
VKhlWHJGu6I5O1bBPIN9O1VRrffONUkKpm6d0QRfVq0WrjHqi29LUE9GWJMzhjKlysSnSNfRJy8s
VXlcJIPZxlmfBkxCXGRAhBYF6myXslDxPOvMjm1PUaN383AWyk70ELUOv/qk36D4VWdO2bmt7Pon
+0v15VmDnhGcm7fDZ3lz6YaZEs2u1xV9e+lp3bjLfLvqbwde4u+9nhEnEpNS2hH/JQMhhIv1xsXD
78jTiYkDbn/Cv2YbQWXuls0ceWqq2zPpuEV+KHXG4yA0vdK/GE3thI2Dl/yhGoeRJ1CZEy1ncgOQ
xQ4BiW2pLBdtbxHmaJzXws/dHbk49U0LPXBiQ/7USSYXkiVhPeiaHc9ADJMIb2KCXa0wOxTFKQmi
qBgmer8GXw0fo7AG+P0EdpFplgUWNr1ZpdldanBb02rPPSYfISykO1x2R9vo9PfJbnE+sWTK9Rhn
zEgp7vrjsMtLkE0726JL347KZbauJaPlbhGgG12c2XrXxcp2kvk1y4S65oRPQmJc6mVmGaG5bRzY
g27t/TWHvWwoIihOc+MHX6iAhon30tXkhiyJhXdSNug+VGWsM2FJOp5Vm8urP/eB8OWhGxNphEHV
FNm2nQPvDRR1QIrWtGB+GpSfiG3fV5NxMPVm1TdM0Xs030FDxev4jlYfrWW1gqOmJ40616xZq5g0
3ga3ofDH+7kS1t3SMuYJF5CLaVz1edruXdJSFZITj9XsAO6Aca+RdGYMkDcxdhb3LcPIXK/MGOik
MiLHcp3uPEuZ/1x7l/WOxvBruXrYx92zN5lGFpP6XBz0icsY+1rN/MtLO9+OrSlwna1D0CBND7Ba
eVCz03wESC/OSY+LZwN+fDwyYXItDGRWYcOf7yZju0yiwkNGJsKp61iphCAtuSWFLrGQyaHuHfDm
+ghkoGQlQ0w7iSMbqZX29wFlbxoX6aRXka4vQ4DCHleoVUzuiQhgjRpdK92zEk5VRHqSJSO23sTm
AoDtUxK5OBMMnZrI8dlNab0MHZ6tIgw4d/ibGlpq1M+exMfpKxPFfUYkb2QjgWk3IrDE92X0Jrxd
XQIbzMgLfBx+kZRehIDJsOMESK6BEi7PSMy2MpTKpMrSmHota4iYgOX2Rw3Y7nO04C+H/TjCdrdE
4pxztHc/RZ/CGp7YtsJzaKZkjOy0x/xvPvUB/zi5MG4a6UXGWsKxxmWTVRXJjmwKrGiwquXMdEG9
2nYNfcOUc7QamHwjUSjz0+lanSjUROUq6pSRH6cyFadqEqICKJA01a5u6zzfsdPUHhaE3znuwDZ9
d7yX1EFnmNX2+IM59VLd+ZM9f+N4sqzITEks2/huGnzZiZfbG3eVy3VZNFmD61fmS8FzOYFM5zmE
21UjrHw+YPfJ62zry2plmxOv7dAvNLrqvvyGXOyYYSqpJXXiEHyh9MTSNog39UPWz5BdazJZ3hZd
6zwSXRV+40Aa7lfb+dYvkl3ZKtAty0jrccuayI5YTtkeS8B2cSfivMtM8eiDTFlHFXioXynSI2wS
3WRiVXYcCM5M0HABdYEk0cHHrYMTsGy9x1bYM/llaym+ZjhG7sZTI1+f7N2JOMZW50uyXJPTiPWl
jC1zIZ+AQSJyu6p6tIa+r8OhqhL2gKinCJbz1oSryQvYZfYLQH9iklVLzAMR5SyIV4P0785aWKY1
BK6EvV+q7dJ5jE04oNk8KqvtHzIS6AjiGovsO/ds8GMVK2ZHZ3VvoyamGyos0myiCHHJrd52ZjY/
VrrdPMjcMj4Ql9J8B2vDuYWgSqLmvGWKxyvH5ZGsPGqPuckMLWzrbsb62BY4pEk4YekjkGDZ8cpG
EkuoWM1PP/fLT8mfiOWSm+aSsFQslkHg5Pb/hV3kPymQ/n9MbfU3ie+/31c9/+//NZT58vMP2ox/
NFb0SL4BHQLDN4AG9mD0SL9JrkzMe4DqkEBDAroxhf4BkEBXhdzKJqXLcX6TR/+9sSIXDIYlmCnP
MWwXW99/SZ7BS/xeLEFbdYPG3V5dd2nV/hmIOQqXG94mlqV4HzN1nqrgVPcwbmf18btu8/43Tf9/
a8b6HlSyFP/zvyPu/jdeDK0DmhQbsTgszj/2cOUoTHKdHVJHW5QDT3XRGd1RNAZX5ChbRnWUX6Zx
YXFT/BrWofF3dWapKTbE6O91UWuE+CAlsWExjkn3oPn96BxK+kFxb/aO3+ybvJXZluKo0Q4946T5
ZPaJRG7pKe9i5RDOr2UmzbMjcpneNVmRE3UXDBQQ4LrSfrvaZgWyAEE2ubVydcg60ogw2RhkSRAY
bLIPn4fq9kOOSZNhJ6Rys1WV8j5H5mhsaUsb60gB0pfsFfq63tvUkvh/zemKDot/Sc4N7HyXhuM9
KH2XHqZcLeRiwuOWZQnAR1Ewy74v2tQnRLxUDt3EsIJwIw7ntpesphTs8aobEQwafcKDo2faRXH4
H2w3aHEISqXyGrWcXfa7mzK3Pk9kfjc2ywhokNit3UQekNoVCVEyowMXostZCvrCCIZdtrY5bZHS
dNziKV8iKT1FgAZajOmLWoj8PKw4NF/R0/DQnlLtMy2QDBjaQzc5buSYvNNm1VjLMxSMadrRSYuV
MRSBMhtL3f6lEuZ1p/GKGC13uRoBBDDJZrUib4s8El1Iuwo68tNcoElkFb8EtwRHnJ5keA1yo2Xm
G/Fqz/iQHrVGlvGgmVeucfMiOtOH39E8jF66JZGOJEtdBCGX/oFIEecQ1PCTc8a8G7EGaVjyHjZF
3h9zdzwGC/3TxBrR8vF6G5bctTUnA4nIcKIgHcxqT8qMQjVn7yvRDKBF1AMAolNuEsuQFdrWlxVW
c1krZolMIXq+7DpPfiQKRPwACMow+qPSGbeCQd/Xa21ezNl5tG8x74uZfmTCPLKDvnQ+a7uSrVLU
I5jYGY3Y2r1z709VVMxjFxWGdgcJcbv6w+NipHflOmj7TsjjZCCb9JHh6p4YN2VBpmqiotl0LkJT
wMtZFXtq2a9LczVW3kHXuufWRYVrZj8Z6IYpYuznYZyeLCQ2TrPcLVaVsfpOvlkUgrqd7DWb7ma8
JaGLNTkQFwUhRZNvfkV7Znp5tJrQ30HG3N4b+3qpqCAkw8d0boh0xgLQyHXA3Km5HPc1AVTcJxSI
RJ0MKdr+YLxOUDJCT2qwLHQ9CjJUGlrwgxQtEseD+c7LwalkjvgpZpMo1mWc2FGDpjfNaKhIeV0N
6oNSXDpWLi6BrhunD07KXM9g4+9bk0EoBtxwWvW7OWloJhdH8UKlva2bogmTrp23iUVZiHf6xeyC
KuLcZLiCRI0J6Mah2+WNnk2fXyWQ+leglXGvZ+39mme/hko8JjUAGCOYdiStnZpqfHMtOnMLE6yN
XpskCfGZDcEUjok1bkebI3hpEw2TsHXRoAJ7C7+0WdXBJunFJ14K0g6S9VDYuSCeql+jxS3uycmw
d6R33weseu6GgsilqV/3o9b6GwswBYaabY3N9sTK+rEzJHfi7CLidnAO2D05BuMw+Ez/17OdYtyt
zRbZmVX+SvOSVMUpeFnLJcRQ0Zy8sXtPgimJk8ahROp+tqyIqM7JVww0GgsbZchtnjLV+bwZfGr9
nIJTeOYVQTx/I3Pcsnq3yzV3a7FrChfPz8A1BFdbGCy7LUQA5Ukv2CGXoDzAWD+IcrTphblDTa9+
KJJiYNruqHBCWMMwz3lJfbQ+pjexP4bYDLbTzLZe735n/HSCguTfJ55JLluHBqpovee5d71D0at9
z/D+pt4HHdbvyVOJfdUflpVXs1DLhIj8ST8hze+x5JjetHZ9mYnB2JXEI7Nb9/YkIBzc2vvBRKdl
lbPstJt8YfLSkjzqEUkMkywm4PkXiraoa3wC94K5C5tylHHam1vMTvNZx84b2mSnHBq2b7O/8E4z
Kcjj60v9Ba95th+9cYtjOUaBg5qvSB4qL71z6+Grd7i+W2A6ZGA4ceD3cS0gtXg+kwp9yZ9rPYhM
obyNq2QWApRBsEMcsuj9mCxeL3brbL4NOpo7rvU2NnQ1GJe5gvtgKKFddYu+PhgzRPxVgZqn6/le
GShWrjh6gTYTbY91gnjLU9tXx76zBLwI75elSp4GRllyLqZmBSvDkH606v3Bb7RjXzT6yfGxHeR2
UhL5PWd7JH0PaTW826Z1aWvjGTcQBpbW2w0WaiKoLt4rDbr1UxQkRjQmHNhVVRevai8NGWObFid3
WDnL1hf9Z9Blz6Zq7Z9LfYt/d3u64nF5KPul2s1spjn8PlciJmXH3Ashw3IoNH2f4OKPnORG9kHq
UTSdHw+qPTQuXJXESz6XOd2r3vk1EeISmhMB7WwMu/uJPdjJcDsrLsld5Yhs6uc04cQcIcIjlags
Pii+pEafvxG0YGxG6DjBbRxTATQxncWK7Ny4oF37VTer2NJSdpt5se7ykhsKPw6T27zpMSnVcpM3
DsfsMF7HQKQEUi9DE6VoFxtqtbDrWHqRWkG9EIwvSZCgUy29atNkjsZaMlmO3tCdxjQYDjqFaxhg
wC24NjZNquuMiIr3RhIfSdzVG/uvgMyC9TvpMg8aj6cEAPZGDcFwMWvHJBC0tM+AU9fQnKE1TYgj
otou9mtWHv02f3Da4eJ7zZPj51bM2tu9nX2KMEPTflwDSNZWrVckk+vVEwL0d2ceTfRq9i5pWXO2
lo4RK9X6iKnFCPaxK06YvC6d6Jhiuvp7yh2xyQ19JOWvWHiaux4a+Fr7oazqa5znFmFB/ujkiCZo
cOsw8DXjBQnhtmETuLO7lhZpdd/XBkUKOmFvKzMTrhY5Dkh0FutqDXInGHNQsJQqnvQEnpUV+3V2
sM3xCmL9Q9nzhSvcPrtTPUVuUoHogYCiOcHdWC/cJ4tPArPkcCCam5IZsIIsYTzZ68kARkFu7PTj
NgPDGHmqcoeGLyg/CKW5rkNwLWT+3E0k8+gVehKIMmlHJnnQMw1jyJu2gF3yldyQ3LnHAP4Ak2a3
mPbbzHAEQMBwK+SQdfq9j/JK/6DJa8mocV74bYEv9PPnpMxvOuKvTe6pUz0YzwEXYm3qw9EeXaLd
KwWFakjza13jBJwDaA9w/aEnAKNBZGjetbyZ+VAMKUWZ3S3VuPOHucsecr+oOVZ8DWrm5KrmZ84w
pjxkWT+ZYblUNdG3OHovNQcPei48Blk0EFx/6vJad3eakTTAlliue3vb9fTmoxzW8lUBx5mYgcLt
xHwI6uYiRlunJMQEHxaD4B+xvaYRV32wkv+ImvwnlTptEHb+21oJ6yYk7T+r1NPG5OOrgGy1NQNe
4MhmG7VcdOcGdWUaLjmWwrBAY3r9657o1vz9qf+CE0CQKlhLdl6Ghevm92stBoPTiOdmDG1US+hH
Og1tnypkz77X90sLzBDc9BBjqEEwlFvzvTfUjKRTLYGILN0rnxCMAaZHK4Xhk+NQ2TediVfLNFpL
6VeRv2itTkG4OqcMMAlTnhI9jLY0Fna1wdGfx6FNoUFp03z/17/dP3+qN1MCtGD9RojxnZvd53c7
u77xMq+akFNKstpfBH6vFyaDe602OYW1RfPekLr7evzXr2r8yQBw+zLB4TjYDrD+Qp2/9by/e9lS
WyUJhEoPWcNUeWSjIP9m9YYttsM838D35oRppnUQ8G7qeqbLmBf/BiNzvQobTY84+a/f0T/vLgMg
sDTsWKDxXNwQkr9/Q1MaOJNmDno4cjWfarizp7kU2qWgAb3Xuk679K2XTKF2Syz965f+p/7+b0MH
JgmkFwCvdP7kLwCMguLfgtBaeSr9nFK/43FBhgdZjGbBtz54q+v/5rv7mv9H+rP9Nxr9P1/TDq8U
WJCBmIUCH/L+9JqKTannJXYajdV6rD3igcd4bN/++hf72zv/BzgAdPjNTeKD+XdczGrQh/74oTpE
PaDebpGvPyHRi9bDtXajndh8fp+OzbZ9A2b1wKFh9JFuhqG/56G//eu3wKv9eaLhMORgVY5THSqG
BQ30j2+CJK088XBZhzLrT0HZPmcJ5VdX0pkwyk+e5kwNUaU5xzkrr13tHDrJo5dIN7FfKkT0lHm3
cxmISy95zLVeII6zl/1ySYdM0rEqw1oWFFCtVT4wFs8iQ0A2sIiHlJ0Hk6y3ux2GS8Qu2NWEuxUM
DZylfSJ86+jl7n2H6pUx7438ficHc8/qjcxfbTi0PczFrpBh0iCIwRzAeW1Z+aagRDz7LuGrNPEZ
akMFLjF5A18bB0791IoW1UZ98ic/A16Y3JHI9Do4N30zn7KzTK+omd9NMb/rU/fKCuZYWM1J4+ka
FbKIvY6WcjZ6BEKoLNGIP6cwtmtGtHoCLI9NVWvPB93orwH2kpPw/S9ivrbsdSr2/kylWFtRhlTF
k5HVd53tbrFc74TnH2vLj1yYkXihvqukf8Ii/0EO7lmRRI9j4jFvg3Cc8Nw7rniv0UM31vDKp/Lc
TuO4gXSydQIDX0R+rDXnjQqNrjm9y7C+LCb/s5ZK9vTj6wQEDeBZs6Ef26Y26rNM+yo5X00jB0fU
TT9bu33mOQ1CUa47JvrHBOZJyN0ZaW3yDdMBCLeO7TdrDWz2j5llvt1m+PjAX9agPY41caCuXuqb
bkYvgzQUoNSGJcahHczoFk/XzM4BROupLvo7cykgBOa32nhfTmqbJ9NHrchqHa320crVU1UkMLkQ
dgvju0Ymso9cuTT4YqdqvbJfeM5S4r3tvorkJBCMTorjwSfJJV0bepmieXdzhjnIrzuuo4lQQz17
oqD8pqRg+cG3GFY6V5ELuQwBBBMFJa/Sap7TcVFszzAs5ii/v3BKettBN85JgcPYbE5uPcatjhi5
tvQax2J+tlfvOMOx3iREuzN1Cta4Z06xZv5OQ1i6aUq566CzQp+ywtESD9poyTs0slS+srizfHGi
Eb5qveCSX2pkcxmcR7c70Zoeg5X7bFw8hu0BBARjWj3MO5UVa6mZ77O6XK5l253hOO2SZFwZUAC3
3bDO3ROSsvVG3NyatS4He9CwlCntYPej9sBw5ldRTYgWJTTISn5vbemBOFhg3NS1PIzcbXHe5u8y
kM9uTTb2vLhzJPgsdG/d8TyQ0BKQRGU8NBrWvVrjkhpVXvlcMZciYMxw8JHdOyM3WCAeIm1ww3yg
7tPNRWckOMTogy+eSHCVrObLMgOaXZbxGaXBbX2RRJgViPTsOAx7xmznQQVELFImbhzW8FEllW+h
NxxPYu5/kRxwbMa0Z+jSZnFvoCL0BvsSZMGjEuOrJtQjG7cwFRkYqsRCq2YxIuu422nE7TeWsv1R
w/uw+nCyrYwYiToANbzEQJKfAcLHeCA8hPArYEXevTs5V92d7pw5fRelybq5J/F+3hukmXYJlTQ+
EXQC9uvaLnf5aFyTALIiV8rQ5h9tJ48VAd6mho2M+QRrpW3n4zpYyuu45J91Y8RZq+9RfN4DwwgH
FJliSaF4V9VWDxAG+wZWmg8DXOe4dsWR5ZDNUrqutOxVDPq0k8qD02nRHqiBRV2DmQwTLgLYzkx5
c3kfj16wM2r3p6spDL52AC20MgBa5kW+HhKnsUTsjp32Qew7ozkMfqE7FM1T5eXO46iKgZEwH3rA
szE1uxNWsQbzW97d6Vo+7xY2WoyFyxeb3pCLfylfAuIzbyJZzFamWTwbQdmDPfZ/SM04oOBLGKOw
L1baL23Eb5n4E+IY18qlOqxlksRqkPde1/qhMVv6r3llSHLMJOzNgkBpZDG+fmlLOgWfCJs2J5LQ
SW+esWxdL12uf3NMvCzEeAv2hLn3bcy1MS6ELRAEK/OeBGYU4Ca/5AlBFuWs5UmEqHZ/LArCjbVE
R6JapWWCHwtDSerLq1oqJBOVOLhBfmom3Q41mZAN7WNmXhO6K5aIl3ya+lhV2hl9+r1Uph0mtEcR
mVsixBeT3ZZsxwZ5BVDd1mD6QWlLiOOLFNYbZr1qIwd4DI4nzHBwe+2IShs/hXpYJnlGC6CNGw+R
9pe5yB9WLdXOSMCWTL3GELjuE6ZbBqqId9TXbTh7TaV9VuDraiQWzDynVa6bpe3fWZB2xym32S5n
Pu35Y22s+CWbusqvzKrsnwZbh60wRJ/FRW8beB7dxmGiWGb9elpsWViAdZHlRiQsVi/EtF8Hmgbt
wKM1Qy3VoYiJROUT4T41yZyzy7Pn73lmf43gAut9gDfkTgb1uJ39rIk8rU62KZ4EFRUTtNltrs9C
bMqyyy7MTzCM8udmza0HTDbDtk0S+q5BIZiOuZfzuJ1WZqeohtvrsorxLe2r/q4ejTSJel8TEUhH
nVl563+KsYYQOuEdn7s6ARFTnJ2EYgbHE4kSU64dJsea+pC6O3icqC+epZYOx8GsMNUHRIU8lOPC
hVwY0czcKvK7pDxzMcpNN8A2Ftk91kJvhxzrZWKgPftsnP2VvHMUGYh6ZmRA09Lt/EwrwzbX1Gvm
DI9GAPk2UzwA80m5Dyx4AWpPXvCmyYy8VCtP7F+NZdnPaz3YS7xY600Xdq3NJAwKL7a7Xo+HwuVf
7P2Xvu0QTnE5hjilurAf5mKPLxWh3yDb6olShN1rv/oH1tfVIzGk2Td9GZflOWhthC3+lB4cT58v
Ku/tV4C2fUgjmmzNGp1EwKRr1xRBiciDlbBvJvN9YShnV66B2iOYKeXewY+3o33oC8aBEw90w0Yp
b3E/76eg62GjMyPFnnpu/Fm9sRdzo3kdn7B6r6dBAuxpcRczHykD//nmOR081R99R+9wM1DghUPZ
K3tLiV3syIDeVpZ+Kp3ug4/mfc6Cu2I0t+y+ACR2+I3nnZFigOk9QiV6JIoQ07Gt7XO2mz8nJ2vO
6L+2xGp0TNUdfT4M45DsUq7L2+k5rfbWIlb4NJs8RBsNR9XKRuzEjqjfZCLh6yoATNoIUw6+7zwk
eF745Ct27J7T3bfessOQJh4askNghRp7bwriNge/zEpE3yi7ak+jWi/cIUsYGCMJI71ipD2UH5z+
SDF0FS8Z7Ie8LT9kypcj4Y9EvanuRd1FmY8Cu+bpnarxZ+o6j66pCVqX4Wg2BeJqpUIm3vclOqO+
CNZIK/ApMJuJJkdioVqHhdWSsS96rKwWo1+t5ALUUnXRG9bzxNQci5t/Vsvkpff9+7TUQkTt5d6e
YCmg4NvNdj4hxWKlxy6D0zAf9mmTdzCP8HmjEfpmp64ZsrYbITyr5ypp+thyWs7dBlgyawdqCJwJ
xA+J0fyuKMLKza2itNCk7VuWMDomDkPFXW/jRgUTld+PBIWxy0HX6HQIbErHvx+qxLp4o2bvtMnR
3xhXymOCQcVuam/TIRiKZU/9irAipYXuKwwCjIf70COD2zvwKQDmtOEkicbbq9lfMWyv+tcwZBnC
HHZHP3KolzuNccVVNtZDhf/kDpCp9aSjDMJe7d93MKe3Tm03310lLtMMKH4Jsp2ytPWhb6hU0bx8
64PiRRJ+tAHLOTIzta9eog9hY/RqU1rLMR2Y/6Zq+O67RCfXugQOPvueuLbjMv1qSryRPFne/w97
Z7IcN5Ju6Xe5e5Q5BsewuJtATGRwCI6itIGRlITJMToc09P3F5K1dabqdpb1vjdlVVkpRTAYcP+H
c75TFGNwXYTglLQY32qAWcdlLfOLmMsHddotR8k8YN/1SxsnmpJ1StlzaScvtsQQhfvKNej8x/S8
AL+NGYjdNaJR33VbzQ+Og/DIDlp0WJdpQ9JcgevB/V09UGWzhq6GfV1Yr2sdPDRjz8fd7tPIxH6K
MSCvNTDXyW4fc4Q1AMt2WiDhA4uSDYfZMuHHhTjHFDOJqOYuRQlesKtM4bbaSm69PFa+lz657qie
Fk9Or2hh6vaQMoc3Z5JHsAu2Q21t5wEC7FpTzpuFWeGF3csknYOePSmXpTMld/ZEyu0YHaiv2+Pq
5g+sL7HF6Xt/7e7nvtiVVvtIDC4Lmco5iIbNVh+wUul19LMvQS1shnr44k3WGE/zBQeZiVM/J3BJ
7LyNi6a1YiAIaq+LOomdBvFhtjo70H7VIR2s/OgXK5ni9fuIXgrrl3PbON7JNs01k6VPVhnejgNx
l6eBtwt97muoJpc8mBZN2dSRgDH3Z9dxT0bzDWjG4knVzY3LprOC572JGvxkvazRfbJHC9L+rhuc
/jx70SkK+vLRw5tFgiC1QxKoq7GbzspPNZaY7q5jFdGh056hg7fiS74MnJIpzOBRIJ1ManvbO857
p5wXIhXlI5t3CipvmL4GNkLbIMdAMdRlym+5+pJUAKymZfjaWBmcc0d5V3m+PlsL6YFRmlHoe264
myQel2Gpkz2Pz5XU+J9zAnj24IMLlGxZx+51FlvmjPZdwOEeF1n2JhrKxWisWRXJ4sZdkmpnJDX2
ZG65+BCeShK4EZn5J8cf3b3DLnwT5c5DqqPHxOJj74KfvWPrOCiiB9wg6S7vJLUQ8VuxZ9Giy/ou
Ap52UCGreCUmQALDOVujE6bM6iqnttlkEQ0RXLKVcIl82RUjHhae3RphwxD9cHPrXFGJm5WodSw0
7672T11V9OeyYTYwBq8DVzAthXvVs4W+QlZ5bdesl2w3DXl4+9cOdhvBA9hevLA4l+yZbse0Chki
T03sTvhZLCNJ7EZ+Tni848SQ0IJTR2wS+uT2mvy5Er1ou3IrL6Dy+1odU+Msx2RMn9huALMfmMNT
hOyT1h/SvSish7yXV8Yaqze0aVARimaMFwsrqlcn2z5jk9mifR/E+DR0PdqKFBiH0uHzKAuW4uWa
btFl5DvscDjbJlAcCKFfZ2S0R6yM/nVUZvRUeqmPvQQinNXJ0WnyD2+t5+/NxUg21TK6nsv1Q/RO
eA31K1ZZ8bXrPMZAQfu1cvvzKlpCPVPfugqqSe3KifSGqmyfUd38SHJw2Stn7K6u3HeZQxhqQ7Sw
M6txnU3BLixmVnq6iwmxus5052xAeJxVXhdQ+/g1DZYFl8S/CxZsF5fJg4OJOZzNPZ9Qvh396jiP
5qgN+x7s1qQcIDyWCQDqjuOYwfN9MaKyQ2cU3TOoBaq9Yi/zwpfF2D/ZNxL10jRXAKLOmT16R6fM
3xBS+gf6X2uXm75jG+bXMcYMtM2TOi9pwdZFreExqsjXIGIloAYlihx5ZjwMpbWh1L/TnndmUt3F
dVve6w5iQuHx+WMj+ZBBwUsEXna1+msagxB4LEc3jJEMqa1txKmuxkOpMrPJqACvswl8s1K1cxj4
I6NfvBmHhzOdgpuGR/UWruRTibVgg2+eYYxu75zZ453gBN5mTvvSdQK9enBOsezNOWq/wnPmbSKt
PiZO7NmW+b1peaAtoR5Ye3+TA7VQJDFeuDPGWhdLRQ8aAEwU8EG/VD0PDJ5KOduX0JPvqceTk0tr
m5VkUWc1JWLVCcRHucuQeYyQiPeXNgcRM8Qowj04kHfLyo2CZJdMFP7ZRiXLjV7al6xTT2uAPALO
wDMBvF8aLzvyKQJ+lPyXRZ3ntn6j+L2KOjpceg/Gif1MtAkyDr4j0bztcOEQH8FC2x6snezap3Hq
XxRQiI2lu4cCG/CmaftT0aW38BWPphj7Y6KgnmTCnJPEPkVOeBtG+rEGU7XptXz1NNjE3spIcRPV
l1pIJq3qvlizF7yUiECwiHgQy+eEzJpwfikKcfAjRFm5W735PQ5h4fk+SQZin/HB3LAt0Iz0qmbj
c2vjZi5uZgPGw2bMyG/cQ14tvU9MrkWMt3XvDvU5NwGvO75JClRdlLQYVSFAZyLFB1VL/prHDI2J
0ixJSR3v/RT9g9HIZ4groeh5H/vmuFhAKHXRNvtJRSP/k+Fs04qnsc1eu2z9wcPtnbwGrTRbKAAh
SbcrL5np6EweSjU+BXxzI5td8xTY4z4ch6Ntint/pqIkYQ+p6WzRB7JToP5in09jv8/6/ExjmNMR
rS4VS3hevAr7zKqaPRvTXTX45VtUEBTUuQAwJ44gb2HFqIbC37l+1e0WK+TrVBfvKtU3iPfGA20u
GlaRbasa2309j+fO7zBNaHnHCOFxCuVbF6HlI3IKEXK6HeoIQ3W1VzPzvYZ4im0RMaIj+JnS2Y+O
DbjH4+T1/Tc59zAHI3mgw1o5FWcrhlrISEa5Dhj+rJbD9cRRvHXcGddmL84hrffGTSRNW5LcL1Ld
LGK8YeV1m3aMp9ze4IQXc/gYyOVlmqGqucp8rfCUsydzIZok12j6io1YuQgbm4I+McFGVGF2l61j
hDjPfw8NMVgNVt5tlbTJLjTTgy0JUBoC1FfwI4cYvcJ1GU2vokmfG03TGnXVDfa7i9ujfIblnvCF
qI+q8vutKRIZs31lLDrdggS6a6fwrk3ck2gsF8BOrhDljZ+D5gjIjHrKanHAiMJ5OYYUTJieJ49w
JMjze52xAx4T7W1Uo+vt2ojXweNWzzCybQpcpPG0dIzKHbUdpxx8U1hiRW7pKJAZunTB6QZDWiwi
DM0WWhNUIA/O2sw7xQbpFtrI09LB5sQeEmKcpiFwc3yuYnXkLglnnikVk1L8Ds53eBMYuLipKg40
95xGGdE0uhaP2rtYfkont64h530fe8QPTrdWH3NlW7fBgB/XiGhnw0lAiUecgl8vj3aC3w0uwqnp
Ix+5U9PGsxbRKSMT4VC3VhtPfX6vsfhv2kQyd8w5Z4BpQPxilKCAMKAjbO29RT4N+932PuHbCujF
97eLDkZKzhBFH16l9hWlrH72k0afFyWS82TZza7tazPfJD4SCtsuDeQR32DhwI6TnVLBZcnJeRgY
iNKXY03DYuQhxkqa7kP6xotd9n03bhZF+75xoUf1cgUHMvb9zdJnj/kMaaOrvHdVhMtxXMPkSMlH
my/e6jn51LD8rjopX9YOwSlqrG5jh+p7WZEklqFG35T+9HUtUX6smX8mz2fZ2o55RdYAwtYfMX5g
zPv9yLQtenJdfa/S1t7ZprtvfYoRIEUOHkErPdjWDNxCz4wCF+ebSm0oYis/vj8MxwmFeo898goX
IimHrvMjKu0ixn5Ch52pkzWunN8hsiuBUgRXQPely0qKvqDZiTQ8LS5xR62Vvnj08Hskh+DG1nrH
phB1pE3Fbpy5OHS/JC7MxXSCADkJXLoI67Ze1bRffQz73og2RkXQcTJ+U2XA4egW+c4w0UGlRz3X
gz3eGuGhGwzkh8mSO88jQYmBbAAhoZN3gz20t0JGEx/MRS8vMz4z+7oNu+zOYgy2ddOeCbe7jKgy
y7p04kD23A2I8WLgGhq1Rtvdd1P94jcST8GklFVseW+q3Pdrp5m3piQs+Re+a2wPUPoPcsxJV+81
OuWN3V8WST5tOeYFT/rXWgY2/KsO1ddlgg3nio61bI+d097V2MHpb/E7rV2PeE+x9xh89wzTx2w4
cK7GOti3GQW4OyakYdVhF23GXFZ7FzcjXCGUgTatbUBDuIWFDDVkumb9+GW0/I+qNXxdcb7EbRO9
OFgbIOs8WUzPVfrC/OE+MpW6WxDZbs0SdUfO+Iv3yTvOtU1m1GRRxmZec/lhyqyHikMZWNgJwyfL
QYPbXQ1RyzSj+ool8cAonHGTVLe1BBqn8kBuAmu4qlZUalEyI/ieDn0TPfcufUq5Ol+taXyNpvp2
9GkqfNokBhYLFOiFzwtfxZJ+SbLxbZxW2rgLYLoKxd5eo5fA1U8T39ugJe2a0TvTW9KNap7OjHIy
1d+qjOjt1SP3KJlw/Q8ebbYXLoTXNK+IVXbDWF8tRXJrRvE5u85jP9s3rZs4jBh0soWJksbKHe9q
9EVRsG4nz92ZlrAT2ZSPqsIhUw6oK3nHPxHL3uEG0geVjA/lNDlx7ZcCANAMcQCucBe5RwieJ5zC
HfgRqrOyHN/dilCPC//IRTObdKSlAb6JZTue3exb5cKLYzZzTQTKLiTviXf2hX3zc6J/TAsNLz1T
ZgE56D/TYuDWipwltnJgOoH3RjrEYxPAbhOpu+V6PqUMT7Wjr2koj2buv9nrumuId2tXwwhpYOka
PpqLmTUYhtvSJ+ORABsQNJdvzRUty0G2+TfioME/oCUhzTA4DtJGpTlfZTY4uyDLDlEWPK2AJzba
aU5DstT7DvkV3eOKLCMvfihCGFtZ/bS69ZxI7556/EuZq5PdppcxtvuaCoWulGBtVGRkpNyvFqKV
oLSnG2zJiHclxZ7nTC/QXh+ov4YLlHtPs3GKgC15ALxQQzeNvy/wMPLBMPWNgZmRAJebWwjijNeq
cSTj0KchMKZ7lGmbPHFGsZ0up7zEJG5fl23PZn5AXp27bbX14G0xVrg4pK3AqJ2yBv+nVk76AhYQ
bMnaMaBzhiGujaimK+Jw4hVDz85Z6hcnJ7h2xJIeOax7e4MuYhJBu3WrAo4heaJbh0CXw+i3Ynvp
3nMQEHGSBJ9JOnVPTc2AFE61n8SukuAi8Z0Y6NNyh2+AH7do3djP1itckAi+pQwI1UMdM8dBykBG
Te14cD3xjUEpZieK95C79X4NXI6IFrgZNd2nVkF0H7owizy2OSLJ74ZM1wTuDRppWljsxWDg0ZO4
lKeO3LqLf7MiM0AFsVvY+uDoQmPd9u1T3vkFkvKKJw9YiiiRP7ut9d1p8xDWI8L0SCNTm7G+3WUt
9BZiyA5Iow9iXsdd4KwZklr52dMs3cHdfQ6S7CEJKOL69ZMhptzZDTb31SNgBOYgg79L++MG6XeD
jH1r6YAkiAxbQJG+BgupnxGJPq28nlrSpmVzOSYFybAV3XKpT84s1EFxPm3Q0oOh8Xp4Oir6pDbB
AKJzhkUi/J5iu/4oVs5ygqe6fdvB5N50UL+R0vm4axfciTumZA+eWngL6VCDbcqOADDKLYuqG8wP
HRD59mA1KGyLxC+PGTj4fUMzGJsifLMs62X123uxBFM8Ax2vKwPRpfdlLJsZF5gMdsHKAtYrIr1p
J3gi0qHDWKMHqoQtm5ULqNF9qlSEYnoeSeSrv6S1/uzKinKtYTUY3FSrt0lSSbxiyTPrDWfTGIfo
wsDaa2V2ikT1mMG72aSF32OzY9VJHXoqWlweLtSa2AmBkQmvv16tCQI5mPQhmXcDvKRNu0bgrDoA
M6ELe8CbyIXpuqu+YUBeJNZdPxbXlud+qWqEohoL6T7X6Xl1zXhrLcXXPh9ewH4tV4MOE+YRBdGH
Ri6bVg6PQVnvI5U1uLKzOTZ1yZMivH3fljjhmZaw8yNeb03QG5ixOwnbvK0FUBLUvbSRCT/eNrRV
H09etW7qpAhOxWDtWwM9Fdlq8mSHgbn4bN4Q05iYmvtcKHsPditB1ePN34Wxviza8I6NRELKmmWD
wTigN8xhudCqFNDJirfZEz+y3h2evLHGyFBrDuXSAa5JPg7ubmr7ms9XtNUJ0mmEOhZK4lKu5zxL
3UcHD8CwKbXktmF9Hfdo9uO5zyMiptpXlOc3EhoFCkjq7iZ81RWkpLanXS2jki16x83YMcFg57SY
LePOK9VkEN3q7tq3Vp9kFCoVY8rnYHIeysqvID4p52AGgZplKhmUoC266N3xMdPc6wz2gxlbgYzO
sj3ngBrTGS/wpTE98buHi5a3AYrm0O51cO9mHUaWaUmxkU6dvSynEb8n09WQ2JmTyi7TLmFKs3VR
vC9xWVa9c+8oIcvbxW94qXqdcc1YKZjutjMif54dBpS7ucR9cs22Pwp2tqyHOB+JEuGhcdmRl9ih
si3l0PIeOAHwsaGxW39n+3RNO4m1km/D4psd9NimvB9Lq/oBLN9BI9JyfHcDf+lNLoNFX6Cd6cVo
U/JA6ogygzaqKH74+VyQ4DnzlMMNRFu0HezcmB+V0lz6xMvL42J7a/+lZ9yqWAi+Mhzl00/NcPnP
dEB4WUMRW5g/S+qmurMt9zhXkdVA3hTfPeM6bHHgunL1sv5NxqaqSD8Oxx4wGgLiwU6X6Gva17yv
2R9X/lK07h+dPRTL5+RAtfqcEZ+8ZlMi8h1JvpA8aR3845pSpD6Ok914W2etylvXHoMltgvVHGas
FsutMJHytiHlen3wp9TtdiiCcTijxkKyEdIvlTHQyVI8SXscDk4SmH4/miwsjtyeMNHaVUzJvuz9
JThHBFNHp3IVoflK1Zc3sUbf2cSJ4ujcTFE4WWDNCIcAU8hukcd18AXDhowhnKXXBuzyyk54m6Ow
33noxkoUG21Cdda76yFdFJL+RE/2sxckUb7D4GGvh1GBi4dooU1+2/qBlV1FZgLeEmIDrL4zk8lm
iJ1Ficqo8A0lbjaZ1mUaW2Lfvma1Xhag4qeuh0No0upJW75PccW+eH5oKjbTMOlQ3W9VR7DMdeol
uXMLlhCDfudeXPFtwWCk7F3AXNYiZrmb7Wn8ZIpVT5RcYStusxEy2l6IsmBuLUpHPNr+It+GtJ8u
GaoGxYKrWQA/OL2lasR0xbQHEdWzEM00nNK+sx2SgtGOXgujsx49jFqggdqmbcwmhJ0X4POg13Du
bRTt46OvVt876jTnN8O6GLGracMmuAlo565W1Lh9zEfp0PrP7UK6Cwq4kB2XKqz7vKZ2vymdwOfv
6oPl1EA9cK4kwIXgbvWhNh051hFHR3YzTsdy1chHxagZrloZagB4YAnHBzLC7AlONWMYUfrtS92n
mWRlhrv+thNteCrQ93wn8sJwb0qACCwWphsU+7eA5GS44RZEdTJa4/BQtZXOSJioW/aJchleVqvx
KBdKBG2M+iwE/am+QFyYXWPKrkaMcUla7CsANKxBL2tL4PVcikB74GNmA7tZ9BE1BZFMixwbNViD
DxQj9kdecLEAnPklx6S2sraeO0jvtZWjgO2L1ri9dcoC/oFYRtUj1efTIaYV0DFjyPanC4K/PtQ5
Om9CN2akagWCXvcq1L7zxZI4GUCYBXg8sokYZCDZoSmuUJXSwBdOpVD2FcMoj22Y42wwPghtCbKv
zGfEubMzWQsQ0mRy2uvar6afKa9b3tWMTRi3ZYq+pfeaMaEtZl2FO9N71sw7OpRapRx2TrtYK+aI
vL8wU73sM5i7EH5Hwc1iajt8r0rVwmKJ9Fl6FlMdsKhs5ZhhMWOa0+UlKGYe5UiXg3M/F7ydmEWX
upIFyMhtUXjDZ+M4aM772SjndkTqd/RUhVFn9f0AA5yshmvKhpKNjBYcnmJOy2uTgaSgZINGDJw4
hY+ITp79q0eAFz4JMXN02uiq8Dn8Ur37OWL8pbLRKWhYqXPZX0TtSzIDNOum7g5vM0ckq5WXYdC4
XlxH+zu4Q2V3zBebX0vUzjla23AggwXTULotXNc9Jm6V3QwMfc8wGPQWLlZFbjcihG4/BJX97CyR
GXmzIsemYqkrnUzLk8ka+8xIg4E5UGhEur0gQihUOTFJje3yaI5MAT0mVYzZDr6pOdm6Kh3vEWY1
b4htOUKYLOmSqYWnl6Mr1mzYrlPK+UgflbRgbGCa4z5xs63b4xMc8tIet0WyWBEjCuTcJmedx9yn
7vet8JubPl9DopajpbmqbH9888cQGTv8eO6hfma43DQNF24T8nuaG3/6BlSyqGLfq8KGbkRKUtC1
rW+zxRcf6Jyo/sF1MMPwsvQefQ1/zOOUwO0yiwYxJvUxTJ5kFD8rdMdxlGMtj5PJxqkbFjkomnRl
prnjeIGNndfYx6A6OvRQykSjv2vJ2y6uRVhZSEh4GjZlpq130ovGr7qYkfKG03zG6hyGWyp99crK
UC27ydaoPYWFXJQ9b+rdQbzkDLfF7CXbVjfhT6Hb4W6MsIxRALdoojQXp2vDP8JUUYVfx2Zun5FA
mds8wLvcA/5NYxwKfJcqR2FWzVPtP2lwOxVFUYCNz1vC92TNCfIaLf7d2qGCOIf0W9lWcLCzeUms
7DHq2wYxgg7Uc5LpG7Kz9LCjF6da18P8fMkGeYt0x7RLBJWH0qTMVP2uhVM/zJYQHwA1cgLdTfWR
+3bH2E5i27ZKm3ZqWFumP8pUj2xPUNsJq3W3KJsEUPjWG6+06f2fedtSSC2CqgQHsrNnCqdekaZm
+JBkBul2WpHmVGIU7pYALPlkVKetIwi08Y4pzLhzJvi/W+Fm0yP97vOgpMNh5U0ImQe5FM9Ln9Q/
zKjeDcr8nc8kbt2t4yNlf3p2uI0eQvaG5akIesThcx5h484ijLg9/MCOzSgKk4tTF07bucsac+M2
TbQtVVAECKng+a+5Iu17yuzsEyhrgm7E081LrnIazBVtT8yqr8QAPOKwFfbaPyCTCL/zY6cPnpsg
MBrSxrqRrRYvvQnyzwbFiYWtjlTc/chamDUfU2lvi7/XXOUhY3OqASvfZymzXeSEgq82UdxcaY57
8eSqfvErVCwrNDDain63ooOeD0DAOHB+myZIMBjNAWBrxAizss+Ov/K9pNrje2/PC/ncJgDo6IaK
lcOio9S5toZa/mRBb93bqSoY6ouR8fevPzfmEctbDCHdFjXFekLdFX0z+WB/ihVL2pbxXPsIvTvq
Mci7kNvZ/vZXpSU4M/K54oRRtcvXOEElenATF7mNDhD066Lj8mm4odEcSf414CDqlcgICGfKWSRw
I7b7kx4ZHqJ3RHcFehgYDTykXaZTw9/OrADVe2MT3VnDef4gy2vYSruQJ9H5nLqjp6IL78bFeNFZ
IVUriq3PeRldvR+MVOQ44hn4QXuR3DY4j7dBPoM7S4NyW4BwiCkbWAUGKyNHUCcl5NDKmi+NODVz
x5wUsnsVOaPeaMy59Q5fpvogl4wPhb0CvqIl0cHebvCi7yKG3j8RKjsgvoHCvk48yBxltuqmQw1H
qo1pFLL5STuBwwrPrXv0pB0ekWgSgIiHXx/WMKzZ+so0Rb3yAEvEiLQi0PjUMDN8TTBl1attuDup
n/0+rDEpXljng81wi/8aJrdoxa3fLF1IgfO5F/lSFBt00bgQeG9gBsqqwVdWFWkdvfhhmh5wmXtP
TsPidCag7TXzobqSwlxWYlPQ0b15MJsxNnoAjxagcw8ZsNw7FFbOw7T65FGIob4o1nGP5g8+OlmC
/6ToPMIyUkqkfsmyh8BEtnvtDtW6N13fvil2Rq9ZFGAryPuXHp42Nu6u/G6vXcptjIqaCa9/yw6A
ih1MGTgka+kd/rSPVbfDT6/20MhYSZRi5OtSL4rnZ03o7TZNw0Zw06yNeQQk11+3PemwbDk/bcgf
BCqldkQU0wh14xUy6uLvMG3wC1VVyT1S9iTaHUWUWf3u9+0/5QatNZZMHq0cgfu29Zb5vJosa+Mw
6fmGj8xZxpOX8i0lGlrSUQa/fG/R5aq5rQEwuwCLE91vIA4wZv71FzAJ54locOciOSjACZ59ogfC
rQtfF4G6kVxSk9PwT7x55sEvy4jvJcZ5W8Tw1jNriNFliY/y8l1BZY/FUQqx7Ad/LZxbPwCWT05a
OCd7uEHyJM0Q+VhlRj6gMun4S7B9ckFNwzKXR7dXXbSDICKRZayGztgZprE8ttnMv//7FGApk/jX
ISSBlAap7OYYDWuJ3/PXAYbNIFgkk6gxD+NkmFDMGZDbjEhU7vBiSGQRxDQNL+kHslzJHVhZ4Zg4
rE3jiSMaTvT06BWsC512YrJWXq+ypJcYkdeBxGPQRQ417l+m+3H4qyDUHD7ipRrWsj0xIoBhjD4t
KuLBoEiM8cc64Jll4AEWzvyhP9j+RQ858aAe1uSSb7isPBconVX5alV5p2Nmvz7LXNQ9fKvRaf6I
eu7TzYyWA0LIOPhBbAYKqc3SJStM5Iy+ipiRnN/kIlpV37TLbBdHAwGUWB2rrLOtZTX9F75DPoPN
ZpbpblazYTKV9KhQoEOhPXe8KH0aNCEACJOH9JoEiRxrBDEj+KzJTBmuOsdZFCsjdNEbsreldSAp
Dy/6BmGgM7xIOpBwR1mEidB0PkqpwLqU70Uwqtffv8OeQbzeK52W5jjWkJTJY6DMBuvcRJ9sKUf3
wCSInbBwNUibXCrDqRIOoDQzIRCxmBljkMoSGe4LN5LbSeBff6BfSIKDP+cCc8JUVZ+uz5CTMx90
IZDrhZGrnAbxTEyQ1z3NqHOSazp7vn5eP7OHQRRVvmoiETjrmbyQ0BSUCaqhYnLu0Vkkij4xA8zB
cFFpNoQlPn4g9XV01LPtfqPKJ2u0S3ZgM9FQ5dhrLmpe8IOPsMCYw6T1a5o7M1eIuhuBehnbpe1h
FLGJlip9TAu22DjNBtRKw0+nj75iH+RElJLLej+I+csv297/pwM/L+2P//6vz8bUQ788/kiRgP6V
SeXjk/2/U6y2P+rqvS///AO/4cC2/BcLxQgzr01s4G9L52+GVfgvlIsO7mlPXCLPf2GD/3fEWPAv
lsH8fw6XKYF6l9xddOdD9t//Jb1/8df9csOSoeTZnv3/BAfGZPl/nKCYTEOXV+aVHO5/D+Lc302Y
TU0mJpYb0MANLS7+3XxLSg9Klbxrjn/5TP4Ha+sljfqPlwK+BXbrEnIMNusPRzOOvWT1jJ6pEtlo
8HLOPicH82ZGRXCTiZSwj75SLwWc9QMipOzqn1/evWSX/fn6ASRkh0BGxgPeH9lmZgIeXHGhx7lX
ptnZdrKQJTp8N86DkYAKKyccho9gydi+2H4XxFmW2k+BOwbsBIPkzDHXB9ByFoiDRSkp+la7D7o9
+VkVm7MVGsshsIvpJz016Ue1n7Fz7EI+UiZU7EvYQKENyvqu/jknzcVA7RQBVJipy+ALRCHXEhER
H2mAFXQcJQQCbdW30XgpzqZaZS///IH8Spb+90+EAYyLxZnfiH8xI//F7L20ImECiQVxyiNEHSz/
SbUa2X1tFjaLTBcL3/sCTtN+V8xi3G0Q2owBWmRWtCirS4Aq/RKOfw5VHIPqspnI0/ZT2/MvJDC2
lljWRcjaOmVtcgDI6n7CeJb2IZXl8JwMDpqnrFDqQ+LuUHumV/18DGGOvM0mdDk1/WR5lOCgUBqH
GeKI2bcKhRyhHz4Ls8zPugx0tbP4KSaiI0x2NyK8dJg9stsn0NgU5V5UQaWvYN+yzrcKqv1NFbW+
2c6+M7BzniIfQWDvsfoiEWoO4oiQ63ehRFVuan+xG5pE5nq3K6NAa6u1G35LbMiFTCmzCeLq2Nvr
HkVygGCd8Sq8zNUMT4DW0vTs1kx8IICG2XvQB46PENWRIO4DhPn42TBWsS2uV5RpKGDaS80Ox0vQ
MONc7VE7bQt5GQdAe5Y+CMfRQ7wAPxtdDAJ80W2HdSpdFLr0LSdNWBRhTexgHnNMYWIXzKDBto7B
k0Hgmrp4Tew5cj75gX15QnSPsw/uXpo/lEkYTLdJShrafs3DNt/jJrHVXvGtqNj5guK+SlxXKWbs
pXaYIENAu+cSwuTYVAWVhcwm5W5VYff3jl+vzdbFMk+5TvAL4RLJqJMPw8IRcc/AopEFm17WTWEh
dWNyQ++2DcrIXTZMgkK2m/C3GGQblCtWiWNrL5ZQjP/BZ/8/HUYhR64NIILkdfkHEl0XcilHYUA7
4hs/+GzdSaPR3T27HOCuZhpmWnRUy4DiLmE1Jvn5zw/f39kCv85d0mLZJhBk7PnBnz7/wbZSuh0Y
0y1tzO6Sdn5ymMVfO15lHxpcXTf//Hr238ECv19QsopzQt9hEven297vMhs7lgcGr2bBPXjERfSE
E5/yvgnfTTejGnVWbzuApWIoOIor1bXuBxr/ZtnPC1vmCqvjfpUEyblWwWrzP7y/y+n/99PZEw6b
DimAeoChuNAC/nIWOUCYZojBQ4wxA5BCtMiDcQtvNwk8cpt0zgGZkCZzrKH04rGcHTsmNHvdN5UF
iYZIsf9wW/37bcFdLQiWxLseBe4F3P/X91NbKO5s14hYY/F24rGYUljrC3O///CD/x30cfnFSOoD
j/soCjyQlX8cwnZbykmEpIZnzTSeM1XogrSuCUUc5tWA5KIGSvdcSFQkos9Ic6Eo5ar2fBR8Gxsv
LPj0fpneoFy5Nu1l35HfYXmAby1o5FvTXOKC/vk9//uXV9o+iQKB4/LJUIT8/bMJL4RN1mC85XFt
Pxja6kNCCv0+D+rsKV8xQP3z69l/oCKE8OgMaCUc6YiQZ+aPp9UKSjwTFq3KaCnvtUs8pIxYuSe6
L+z8SHKmOjtUxATcsxD6X5SdV3PkSnpt/4pC75hAAkiYCF09lGXRNb3pFwSbTcIDCW9+/V1gS6Gu
IsXSeZo5c6YbBSCR5vv2Xjt56Hu0sLRSa+0ItWJ/ULBvYecChlSQljUTOg6/2nCSUDdFXC4tV+uv
gcxAgemS8e7I7X51Gc7jUuqu7c5Qnf3nK/peYViMSAhn4s8XIsy926zM7JuoTcfX1lL+htPWdJ+R
uYxvEEfzEvQEEmoL62Wy0YRbiJNiKF8CmJPRkS91f+acn4FFN8FFS29gJXS9A2wHogCjtnDMLKse
2yroUI0ToQi3edLdB20Sr2mtiRVdo/CMfk99+/2z+erqMHGg4sz0EMc62ERGFWQ2i7Mopjn6u+sm
LXowoJGGmTgM6tU0FGSGdkYP2kTp7ZpqY//z+1+w/73+uX/DMHSGPhM33av9lwPnJGSTxxjoAB9O
y0b5ol9Q/BquCmWDl4pT7MsjZeHvLyv2J8j5uhJhPRt/ySwJy37+XX9NkGZZ2EaleoWExSwiIip0
/T4NSrZGpGMmF+zVnLVWF7gYMjsGcw8+ZdhE+FPSFfKcSW1sTAfD6vtftT8TfPwoh9WLhZQwZMv4
iOj960fNsehmShuKylWKFIqMnF2rD+2DlYLx6kCMP35/vXnk/88q8XE9l/2h43zs4c3DPbw5TMYE
LL0ldcukBq5pEiQHfGutcpvbTDku4qZwhPbn2Uee/+dvkikIHNSfKxvOwRQ0iZTGaGK2eDnYKhKZ
mqx9Bz3i9/d3sEz/uUGOSExyHs8VXcP+W+5x6qSyBCeWqhDlEQF2F2ZF371sRX7Xpk41r3W/2lo4
GyurCfSiF3PvkWBxYY3CO60zYtfjyspfZCfdI9+epe9vIj5+nSCqhgnAJhpbdw/G4Kx3qkfPLpdY
tK4CVFzXVPZRMeY6GDe239XKSTG4Eg7WsYEjgjVbe0m2krGGzzwZEqhScYISHWHwIuCIiAnaJKuC
9DnfRpydNvYrUM0Gh0VoIctSASJojDgifLJnsPEaW8QA30KlWwb+dAXp7DEO9OCcHoTwcVO6ockp
JnJYRqFeLtj2tu8y9MInjC1U5vMmjKa1TqeD8nGtVxSFaeW/aqEPXACch7HrW5nBl8+aDktRglm+
ym1o6y6wv2er7PUfmiKiHj2Lje2/ybn4WUJbZQ7HQiNCIdmPfhhaj/KzVsLY6YXy6h17ZvR6hmeg
unQTJW/7wuv9JQ5iWiuV5Ru0xsax0+hv2eQeczowK/rhokFgOg7NBkkIKc9sn933KXD1ifiaxru3
RevhNOHgNqxoVqPekvjl3khacDAOyExOK5Vq0Sk5IOym0bNNK5pkzd0gzeIpxQ3+Bk+nnDCCZblc
ybqK30Josf6OsYkT2qzHjnJoNfS/2LYB/5nYEd3piDqGDSLstDrhwyfCNtb9JNjEGPBpmRZi/JG3
qXhr3WH45YowvORw3Jl33Iz30NV5whGAoMmLVhMk2lI2h3oaRQWJXdVgoNjNqH9GC7/JiJtFWjgr
mJ0Ch7YKZolhryZ+GStD6V6myoyestT2xpUhRl5ooxMaipWxxeE2GCElUtvJQekqiIiDyLFR+kKa
OyqozkRNH+okOwQ3+T22yfRgEbOlL7pewuYta1qtGpZSBLkIPejByRmia6R1/OCiUHqJu8bDmhDr
+jMka4HArRnpPIlsegcmGTyFECvyVaIPYtihvpE4MbTcvKOcWj4XiFavC0N411raz0kPoxmfZgU4
sQX4a9Rdhtdj+8rh1lw2sCTqJS3L0dlxX86rgGJBNAAlRr4xzHKnUFttSKtitmRgkMC3byhsQ2co
wTgeanbtoj0bqCZuOk5Cc/oIqrxV1yCXXsACKjh4Eom3i91QkS1Gq5HbaF09OqUKWiV0ShOsqiSh
WQ0TfMixVNhF+WJnSVMvJb12wAsiwgs8IOnAE6cA4VjpEL64BUJWLHVziMwYJW6Hjbwt1CJA2AbU
mvCVBDdW0LqnmOloUJZJAu5iNEJtSXMXy3fDOv/L16xpoMxe2grsAr7Ay3aU5OsmIe3wRUuqGtUY
NcQoy3zhk04x0QBA0oIkp95aqkZYys5b0RNpaLWtWl8fc3KOGSeLRAPQvUmNgpbg1BTGEwf2Hn9m
5JuXCYMVBK/e4MTE2Ks3qwoDl1pTMMc3ZWG4v6Pbhi4Tgq13SZuG9HXO0boi1ltJmqBe1JyXWpHU
q8DOO3NRxvjoFlUWGE+kxZNQVUrwE5ylYppsqJ+hYzbtHGeOuPLJwjo2IvF3W22XSM/5qYpG83F5
FeJ1sBt1rXUlmTV4EhxwkJFGV8cY/fysmlAM4+UG/l3YVUTAiEsKFd4z03s2NNN9bzzPf8pkPt0V
WYo41mGvxGdnevXdOE4Gv3tSBEQLyGIQjuAxkGbkuNqzkAHbrcZMMAv4ocSQJAj+2rAMStIETWFc
NIEFCNam2eiupUrJFlFdSREBQOeNJ0nMWjmVW08rdqQYpo2k7W/VyPKC3EbU49oaYzqlhiErBsjU
ZedRJKRixKJwA5tb6GfYUaerbojSWx3sFarW1PRBLjSVpIyThgihIBDh0Gp1vGxrVyoSfGjphcsa
ldKlApdJKJaTBSdgmRj5eR0Hv6WwgpRG8KCf4qJDE5ullbAuxIhnEEJ1Bk4AFRJWXRe13T1edthi
QVJP11pv5G/6ZMaP/A3We03+DqyYocyf3azqPQwcSYRXzY/QhgYmGSyr0bWKlR7iWoPshJFtEdW5
vOktfGNns+WdyFfDzH+4hmoATJWoapY6Zq2bwS/HhxhPoEPn1R0euxQFxulYM1hOYN6OyVp2WJRI
nuXgv6qhjKYng5jmBrNlIaThHDG9M3OKSy/2OcGXNXmFaHznUK0pNqGbtuhfdi1sATZUFT6ObKEX
SAk3fV0kADdQ9CfGj7a32v48DO2aLFK/tolfKQDx1ci+iP+ohpI0Y9K3f+YAiDFup7iNnSU0LSSz
nYASs43KIDMvREk4FWkARSyJMrccbW0ahNYsx1C6w9LtlO9vCp0e1dJSImTeEGF9ypdjm2RS2/hA
CtluyHezH0pj1G6mgsii3UTTExZ8zUoYGqFOjdVs23arTfjpe0QNJOSo6ASCMgyYurqJfBuVZonD
fYnh6ILE8Bo9aqoeYV9cVR1nLfY0pyrICHA5srH7fHCxhe6auvA4QJocUPc3dmnB5xkR8owYIxEz
dq1QAZZCtC9LKavkFU1SO4eex9OP2BhohqNlYmOgwhFhc6YZLal7Yz5qeBj6WSoIOvsneb24XptS
s/KV9Og+LWt9jAER+vj2juz0vzh/cACffzpVXh3j4cEGuByEQtyJI8IrdUxdBJNv1ZgR5tcq0fzW
nfLWiiSJqaFIKnTrrv6qpDXcReZAtbjTc3M49kh189NpgCqERXEAZ6Ex7073nylIYpgHCTEzHgYu
8xS54fwF9IX5YrsIBZCtRZ5CIadFD47u4vpD8l3C8Oqj+CHTTfBdvSu6ay8v2FT1gU69lA/ZdgHh
U3j9QSBo+IZ2JsywNDREznihC6rGj40OSo6XY1VwNC383TfAUtd+2FvAMFqD7yEwVfqrrDxfnE6A
ivolSmntpKXDyiIhNIyVHTyi2zYTsLH6YgzufIY7miZ/MFdN0JrvVGn153QKLExdXom4IyHMqFjq
2EKxwU8WwBrLdz3oRD0j7mTqHZLxbJz992k0EBEe+mb1HNI9ujVFQupZlnclrpspyqFNBGQ9mE2D
o8miuK6dmUVMoCAhtvT/bRu4UDqMCfngcUkoX8ReYHZ7lxJdJ4w3xKG6fa7T6PqJ1Hp66eIxTtdV
UeEAd2pP11aGBTphgVExytbKdIj3xufF9o29T0GmFmmyi0wv/HUatOUjohwB7VQ6GHCyhprsMq+9
9GegtQEbQVmkRMTLTmwB0CTvNvs0MiTazto0bBqZiiYTn5LJtRVOxUT5wFvG5geMCuxJlIXSc5Yw
t16inlX1akhC3HAcY9UF+1MMV36hIcHtvRBby/ff++eDsW1b1pxcw+OXHI73h2YVCLfVa7i0Q+UW
GzFCSfJjFIljTmItgcD2ket9PplRi6B6CgWQZqEtDk5mGdsc2Vcu07KRyzMP+ssjOMlsI6yCOf/7
e/s8lUmaaFyDaqXhfCrVtoXmIQsuSBVAlrTmTsGxxJAfwKpqZ9S08aY2oHASyAGXdt4YR4pwnx+t
NLlZnqpFfxTf2f6jFSPWB5/i5rICjnI5hT62oLFCTtTiMcE9Gh+pBM+P7qDmYFLkYO52TMQpHxzb
v2ocapjcPiH0hpJKGTy5ChVHLuaceTYs90Rd9ewM/fT6nz9j/GWUAA3dk9Yh9pi2EI6fzgap4kXq
PPUG7TGu9e50ijDqgQBqd1pIvEjSEX+Xc/T/5/dsYZmDDUxbymOK3X/GGmpsSg/4cOsi1iiBNzb0
+L476SwJzS0ktFEfE333/T2bXwwsxrDxUUxycbofLDGJ1WGmyoGpopXofpMjLa2l6CrWmD5SebNB
7IhkVaNl4W9ze2gANXrh+BI2hm9Sl2mQX0zKqPL10EwBdkkZSVwUbXsBdc4ms9ypOJVYvds3m0QJ
7RmpCPtiQ6V306iSVRDGpBGQ4bFOChDqkOMKscobBwFsRhilvZR1B5LEBBenFiOwWfBPRh6sXFrW
JP6ADLVXmC71eush/6UNp+Ow7MGG+2vyJ33zyGf4RUXKMQ3dpvvo6nyHB1XiOOtQVhOhtmyr3H9k
3U+Id0jzcThynS9qbsRrIVWg7Iss1zyYWjSu3MTKb5cIKk3qrK7FOUIQCNwWxbVv9Uy9bOMrAOxV
f+weP3/rNjsJ13ZoAbgo3g9GxBQgr7YHIkdtzKmw/IZ+HVixu1SeO55quB+O7HK+uB4SUsOitG2h
XDrs+uiQRSargo/iB950yTJeRrTeB/9HwxcfLTN6MccA559fIw1Ajyds0vqybeNgpUA/zf+u8Lz2
tlktw8ZFisB4dsojr/Hzx0XZBranyaLvCD7u/U8a7FddY3UAsDHW0RXffLxpAw58Acb6pzajwgGb
fNhRl+zWmOviq+8/7i8WKAzqkL6pYNKCPNw+6iRWTjrUT5q/jbtpW9O7womDBk/Xj+HNv3iJkpo0
DRRWKWq287//a8LW3TpImZa5U2cab8M2MBDxEpG8dj3OPDJM6ofv7+2rC7p0Vbk5ulSoc/YvmDaa
rlWFIDEzkfHGpTFy4lM9uCuBuZ2Xdh8fuZ5x2A8Tuo2iyKAdRXuI7+/gkyzy0a5tnTFTZRyqlkmZ
k6pCFEW+KgGxb0UtvAmHH3xQZUutXiCOtB60JCZjSjqlTohaEodq48uuhejqIWxw4sCqMBUN7U3c
aJKEUTVSVx8LDzt1H9TiWD/ji+Eovbn3zUzheO7hsM/asBajSWGJJKXxtEKdR5ZGRB2glPj5MRkF
p0OvmQRix+YuNQaoq9+/tM/LOpOahfpFzg0Fuiv7Ly2glNbmls8oqX1Ynm5mYu4b1TsMaZvyQTCA
EkeO8f1Fv/jYmUkNGE9oaYiZPpizlecAMoIThUeZQTnRuTo1w3i6+OdXQWlFk5Zvfe4lHNxa4UDP
SLkK9rPpGqQaBEbPUWffX0V8cfxyPJJGaFKaTNPGweTMd+VQVMlwIhnmT0rJ1ZmqS4rgnDV2kWrK
pSk054r6LwXzpgReF4XGZQczf5PACgqoBqaVfuStfmoV82m4AnWwx4kOXdNhbkY3VV4ZzWTBJtD8
Hy4BFifuGBcPjVAjhEi9t9eYI1GGqziKnxkEOSeVtj12NjV4xPubRttlQpg3Mzp6GufgRedNYIYR
0TxLry0tiCK0U+/rJCPwdgwwIWvAWZ6dJHJ9Ki7D8OZWnTfCiAvFK3tnIIhF4rrB+vsX9sWIh05L
65oGosEjmn/zX/Ni3dUYtEyMdL3mv+RWMO7ABZqnejdMiP85GZLDrR95EJ83D7PWhFYR9TtaZ9bB
Zt1NNTcdghCodT7FhJYFIOEsINnUhgGfshas8S3p52HX1a//+G49wQJgmmzd+QUHk3IwMCfDxgKd
WST6VUh39YdmjGQFk5p9Msqq+UV4dfHy/UWNz8/YJZZUcKfuvM4dfnpFlAVzjYxPzy6gmWiyNZpL
9jWRWtWsr/4C4Xc7LcPSo2GD73gABK7XkzgvDVCfzmDEJAkpK8yXox4a2CcDy7XQb7XpACEp72PK
mUpcIjsbr9vEtd7CBmo0X5pPUSaQg9xMpYUzbGTHa2/DftYOF0E9XmSTXz99f7Ofl3QEDizqOkIY
PvXD8ouWpi5IdGqHWtvJLVr6dM3GasbSRMXuH17q47jpsDfzHBSv7sHnlPhxFofQzZeZ0dxNpTZs
/aonxz4M5T8dsKzilJLmzjVtE/fwI4ncDKNk/wH+0KNVL0p/hw8lX+qaIOsGbyhIPijlpkG45Pf3
KD4tDgxWl1xa+r6mhJ44//u/vk/qA6b0wUAvPTvVb3MRkts9Ug/HM1SQPTnZVyCDwTtOtPJopJiX
dVwX1yIskYU3gbNL4rK+rIt5+vj+l33xw2yT2jnf8Cw8nrN2//5hupeZBbcOiHSw/YvQbe0zGSTm
6fdXMT4OtXuTJjt85NCzHtmh/m8dbGtk0hpZWUDvwMA6ApsWnkZKF8EnUDZozz4RO108YRafVVng
7dAj5nFPq9Qsgp5ziT2Mi542ZboEmQbFv2rC6qc3JO6vIgYCsg7zPncvDE7r+bpPdP0WFmz3I3Pr
ptzISI9xFgLdmFa+ERc+ZcM5816U6Pd3Vl8aLWC4oKmWGjJmOk5UnsL1UGdltRFd6154cUmY3ORQ
5ca8HVJQHK1IBwfUVxxOcXxTLIyS9rkWAtmnAcIBC4GTtYBCinF6a8s2spdFSI7WWRW2VnEalAn1
+L5qa2I9OJjVO5Aanb2wvTQed8qDjLtImeu1lerNtj7BWFQ6N5mL23A1AVEI3k2Ac/fEkHW/od9O
OVEdWewtmL/gkhoVtqYF848yNxxcaZjBsSywL3Rd88tPfYNYO6p5mMkDuGHAVKjLyy4rrxpMDTQO
jMxH7OxowZt0gnEuPJcRDQO7tF6htePyGJuyfU7Itnin4WycTYOBWlSrEkLz7MLL8bURYXBBA0jE
p1OckEhO+JOOgscMmlsafxJHJac8SuJjWpEXgL6lBR43phixwXiUYIAhDoC+Nx2ubqnqNpdBpW9B
cnVqJbsGGWvf5NNDrnL9voBWFeNtmsUGE4PBXdDVgaKLyrT0V23dqx+BNfSvrpEP+jr3qvFnM8Es
AFKjsnutLW25xrnjasuQCDpMWxzpsgVfi+4jgush+fUofMMTZyLQcdsaAAp1BEjVCcUDN93AzBbQ
heMZ7IezBdsY0nAECWUyDgV7z8Z4t6Kmqpc+R/mWIxJTHDhBaJEsA4LYspy4g4WHneoCUR6+UpvN
DaF5WQKhLQR4QrsgKzS1KxtcnWsEbP2ITqhtMW3CPCTOyQ8cc4vdffil6Paa56Hhexu9tWtr3Y5V
GZ8Xmo2fMo6s6qlilrsq7JB8vjQs2wsER/ljDKTkrqU7X6zrdPBbqGhzpbjHc3LjQRC6i73Bs5c9
NdhfUA3Vr3oiRI86tGc/ZezVgL6QioJwHnEpep2ox/pZuqWUwGUG/AADvMFVJSj7ojTVjHtT0nKt
4MK9cgBod1limhluIeByq9nJ+UpFFTtZ3ZWgwGH70vmXFg+mwzIMQwrURLkJ6QbzirGypUswpx7Z
q7Aq8LEnfJKkYZfeb1nY5VM6Ue5eEHBgoWQxBHEiI2xlQK4Bc4EdQq7Evxcmq6LFcQn+KIdMRu1X
aSsTRRQkNFcCQ60D1NpnKZvPS7b/Pr5BDWv/ktpwYBxZoz7Px3Ozw0CgaiPGcbyDjTehjSDleoq9
VlB2q4SxvQXkOB1bjz7t3Si7YEGBe49Kmf84mI4bHxkVXUuaxG1P27RiuPxMBdiF0NfcU8YSPqvU
7c6UpcYtgKHyGa0BY6ZI3dlqjShsMsoT8uGyBbDCeEsn+VkVkJoKXkN1ZI36avV0HENgZ3HpCH06
hNfU3Tq6uzpxYpaTbwKCJu5zkARzgMBYndH4i6eFYw/DDROPf1PSXt7lZRJd9zmesrNZ90R6bSuq
R9ogYD2/X9w+7ZU4C7iG7kh+nSDX72ADwx6UTHMn7sn1ic1fUFxRplh5/VwU4ZEt6OcTEK+NDS+6
ZZTFc9Nxf7VGRVGA26p7Uib7YGWQUIIjMHHjN6oi9o8Wwu0Wkj+kvSALLgAtF2cYy9ojh8N5S7C/
lDuUz6hMzFsZQdtz/0fAJjNZNGl3ZpmhbfvRJwy9HJ5N2ViXHR3DI0ebLy9H+4NmhGDEHt7zALRN
uQ610C7szMuABKlfgzUlO8wIWJu8yD/ybXyqXvCM6bXwTtmu4fs56DwmrDKaHlG+MjT8d26SqWoB
eGq8yPUwWJMrC4TXn9ybmk7UunJ91r7vx9Onc8b8A6hvoUQ1cB4fFugLNxj7acBMpRdOsYrIkoHP
OzkvEvJSF2f90xBa8vH7a34ew1yTbRn1GiKGOTDtv1NdS8PMqIthCQI9poMWqd2ALAQpauAcmeHk
Fy9UCIP1XXJ4w1c+/5a/98LeSAQZTdclTa0oWkaIV0hWrSz7ue89pz1zwq5+pu6QBlsrllRpbT2K
ziffZ2nny7ZuVBi0j4AyjFvgbqiCcJxM7baTStzD5MJ3PUTyEvuTf63TaSdRV2b4l0wouTi1J6X/
mnKTYGsbjeE2pdR2nysvfPF1I0CdxTn5rO9y72ICqhBuDKuDFDs2cXZFpjo0SXsgw2OlRDltB+mR
oxmnWHLX0AHyl9ERYbTONFP9IoeAlS8deosDm4VCptFIfFpEWkYgYK9rodw6ZtC9U3vux4VRz9GT
Te9VwUWHgqe87rIQMiNVKsej8QUFYVFiJjxWNvjqVTDKiIwUYKTNw2MJrYfGliZ2aeSuz1lmG+dD
xt1pXY8UC4VHfmRof3E95gwKmxz0aEJ9dIn+evWu6UF6xPUwayphGwB81hBmOSpbasxsKwa2fmzK
/GJk41S2qGHxt+OQOZit8G1JTfA9obqdpsuBBQ1KkQleMYjqlwLY1SYsarFybDFuKIlhpOdMjWnJ
flKePp6gW3PXXQwfJCY5qjoyt33541jocblz2iYwc/9T0Mre9XIY98uSyOZHYMjJIm46hwqWbU9H
ztlfTCszGpoNCtsK5rWDtaNpsz7UTLKJCYnpyDEpy3NFCM0ZKtOSfyxC4qfD8cgNGl+9cU7aJj0/
9hmOezCxtEUcRprkDrvQwxJVjjbswDyxQ2ujAOfZbND9INo4fWo8hqWGfdLzcb8LKNLNKoyiDtw+
PHmwwzEFrUUVZMmrcn0zpREYl49ItJpbSQlugolsARWbstL9wd9pOWvqcmBAZZyUW6Xi4h1pMD1C
7OQYx7+fPT8LaDjYGwapug6bQyJeD473HR/u4FPhA3nZVg8RFakNBVwiepSASRtAYsCPZ2rLoEO5
BhEEoUCiNQR+D3Z9XpVedfL9D/piF8nvcR1B4q+l64dmlkoo30M8jW6TTIeIXSz9mQWto+DIuR5D
8uFeYHZ0sfeh64PX+bCJV+E/9VTd95ArxuikFXrRrEeEstejk8OBBmrAQtrbcfgyUQFqVoIwUhLs
oM2/xAMCBvIUzHAXVT6ZhkA1shudvYVzWlpsv2dauyiXLWEa11SOIHenml4tiaycg7fBkkcIruYY
ap8m41kSJBNReYTb/+bkK94SY3A4jOsyv8HCG587pCVdJSlSYoJem9rfuIT2zSkjfvkoJoVuK3HQ
sc3JX/Y7ZLR02hCLFfBpGDEY8e/fz0f9fG8PhaqPViRrPJ0sC6f4/ocfNI4b+5GCyR7CjSOHFl8s
cWpmjyRm6lAeOuKR4pxxQwAz0RMy6arsFD1xdhf7jk0Ih5UH12w9amsDgQJwkOYPkFtHnNAr4J8U
Kjx+fbt26tIrbh0nLp01K2pU/fEe/iNowEX0WhFw+978x/zHXgtFQzgIm//8j71/+qHe8tumentr
Ll7U4f9z7w/W//nxrwlVXr00L3v/sM7RelL9fJuN/HWb/rnIf/0//6//8t/ePv6WY1gA5sf/HQuw
q97Sl/z3HhaAP/AHC6DJf81HKg5WFMihPHgW8/4fLoAm9H/ZdPY4KZgfosF5Gv5vMID8F6uUpKY9
b8Nwh/Gn/hsMIP5Fz3q2888Nc/68/CdggP05WbKtndvShkDuR1eaQ9X+4BOBU9d09YntM4xnGzLM
xlOFATswI7g3d7LVX0/m6s+o/re8za6KKG/q//fvHwKl/xnsf67HL5+t+UjH2FTvXy8x3GnIQ66H
SQDau+ZjqiAt1Nh0iDc2jQ1GEzkdEjNT4tQObfnEts9iJbSKnarz8bTphxuYyMkpNCyx0lojWaNQ
zY+Fgu+vxh+/kzxeXhldDc6EHxvXv3YnnlfALyFKZRk51c+y6MPT0Cy9ZQSt98i8+fkNcFrkhK/z
onGgfqyaf11JtLXQQYRXy84Ly20/DPbWwEzPRsMtfjoDKu3vX8H+2j/fmUOjapYGMLpoHx68cdiB
EVXJoloasGGXY8xMSQUFGmCYjBdtn8MxMrVjeedf3CSlfa4miHZngTjY3BABmSGtjqBQm462BJMw
2+CTZFW1Y3liFtr79/c4czP+Opf+uUmGiMGHBTcHVcn+MMM2CX4xSnBwTjnekzrCtYhiFVUwUMr6
KebMx468Fdqt6SiY4v5U2bcl8aG/Hb3AfNGbio1RMFYiX9tABgB9aS3RNtzDhGUotuy7VHTma9jn
+s8ykjPa2Zjc2zgrRHny/c189ewYICbFoNnUfdjBrqJSpDJUcwSi7p7nVZVsM8hWJPAlxTpvjWMW
uM9Dn0IQa+o8QCgxfGxw/hqQksA5zI/0QiRExzMiuZ2dkcYEfpaQB76/tf29yfya8FGyCWXbi9SB
DcL+a/JEOrh42QgnGWNzwYk/PqEfmh+5itjfmXAZpli6PGzyZv81Srv9y9CQ0yBmchnseMM6Vh78
ndh3fw2dKRCB4XqSEAjghMoJDlTRbKH1TQvkZvbl9/f76dtDwcXQorPFkWdmlOz/kMCxK3LWMqIv
O0qTbscAVRR9z9KhonEYoQo2A7I7vr/o/EHvTblclJ4O2fTzERvn/f5Fnb7CpkGVcpmnBFKbfP0L
v9SMJfJdKkaGHWw7vXFXoDmPquG/ePDIH5hEJccl7LwH94se1pTwVhSYRBNKOuSMZRxD3PYJQjwn
6ENQtDGMy9iujLMW8CQaOydYuD5JX98/g68ePGNMZyY3DcGJc/8ZiBY8f1LEaplkEV6rqDjPkCmQ
qQo9Nwg87XTS3WMb78/Pfday0d5ibtdNrNT717RzTmB5iWXNwdS0HTuDqLhGJz88Dryl7+D5wj9F
j7gL8iNv/IsBL9lQsppL3j3yoYMB3/iaU/YhGVuF7cRLL6vUGbAxoId5ED0M5D2vUP0AIdSScB3Z
VbUOWguGQGUE2++f+6e5xOWH0B5BWUs3l57f/jMYYmpmFfxU3nMVzKGsA+0lAGZwcbMj69qnuYRL
mcKml2uZkAkOa4NAqjujkQ741RxsS5kS24k859gh9vNVGEV8Tui9EcSwYu/fEPL90KJMQ9abrldb
I8qimwHAyZHh+vmx4WQliRYBB8op/XBX1oh+gHhQEzmI15njcpZsQyuBnNIRH/T9G/r8ZbCmSI9C
AE17zMgHX4Yfl13YmlxKq0Kc9CAJtE0TufY6i3H/eFOLuJ0Ys+SIdunzx8GCNpvJBbIsqh3zovfX
IhOVFT5TA1tE7WjJZpx5IwN5veed6DnlN7g0MzhZcDyPzYbeh4hgbz4Ew6KjGpoNLvTgjfmn/XXp
SQIHLVOVwF936lNo2DCKXRq/VxF0uHCF2j2icq635P62Q7CzMcA+EQjrnRVl0PIOrMyML63RxTcb
TzHgBcvNVUeJ2I7Qqgb2uI4cm01HiXXkzcxKot1aoNG7wArCi7DOgpqen2HVWwXf+RR/ZGyuq1Hk
D3x/DQYnCQJpG7quOwe6SHlBH4vYcQeF/akyq+A69j1aeLVjYwSy3BAWKEZTdFbuWMQ3QzupH6ru
9JfSHS12JUQ6UHX0KpIWwXB5N80kGUP45sZpjQebnlmnDxhFBqspHzx29dW6UAntM1GQEEihUXJI
rpTX0FD1S3likRn06keDfGDHjt+ZrRStNTXVpIrWxJ6WTuScID60rifCxuJ1h+HmpGafIc/BIKZ0
QuAKLdxIL+k/V+69Vc0pQVkYoP42TZK1MscHQjsQwdquepj9r71ZGs9W1mvpVWmEs1N8rAda5kUy
amBuBvrsmT9BXAaqP8/pdqWTeU5FH7MsdOd+XWDALteCtEiozKoPL5zcMe4rOAIjHcqOmmvhpYIK
Qm4iCh/HHsPbmEr3QjPIT19MXUJgZpEGLlWNTmkOuZFJVK2tmCLwwqud9r43FIeDcCAeDY1GZD3X
sF6wQymdtNSxVp1cg4qofmY6brdlFBQ1x5cBp3vYOQU0JghCEFLJkCVtJSwVGRgupv+MWG1ryUze
k5qYT5a1qbHz9Ju4ASFEk9MJUozAJi10TdhRtizZrT70EQ1N1tE4zla28lp/keGU4r9bev7oKTX1
q8qrtOcUwBQssCHA3G3mLf0Tz4Ey1WQY6xauHg+PUChIuClcfEkIVPT+mdhxRlHlxcOLo3DyELHa
lFehrEebOPNGwR1uXfypG8sqp8sxpK+51huKpqu4HYjoa21y/0q/JQi2awhzWNnkipzY4zTamzbu
a7iWc0THEus4qODUC6J10jVoGch0HoN1G0b9RdSnyTs4GvCrpiBqM7Vlf2VPOvGZA8Zg0hDGJLg0
UNCQTMS47jcBfkd6+A1x2iozzHud0me7xlqsdmFmgv8KIK6TcdR73cajJBWv+saxf1G3m+4SZVHx
DxBnEF4j8+i307VQ+wNRN8+J2/o14YND0WxMsrQRr4PhsFEQlR7AL9pguzaYoMe54wCuNAL9OBAZ
E+rvPHK2Wk2j8O5PYy/eR4JQ9WVldhDgGtgvZD86U1WsZWLaSAul0M4QjIucMC0/yFZDrk9IpMJI
egujy/nKQxlZ5zaVIRQUbd7WK82ygVY05ElSNAt0rVllY6Nj8pZaH6xzDX7/om7U+Cs2JWr+Siuj
q0ZzMUQ3qCQarKsZSYG2W9hPhtYlEOZJUM1XOWQ7knDK0iJkhL56K1p+rE9ZF353Qr5Uz9Fh26k5
yrNX2QnRKP7N/D1bW3vMS3vJzNQ9a5byHmuoqdFCQGgUi3bMidsktoKcwVFl3ptHb2ficKj3ZxgS
SQ8O3dGwSHwo8Xv1PWkdyzoIituoaYkHjXAoAEkfjfqcop4cqQroKUIEu7Kv67xnNrCHPMFIVIfF
vQGGFXmCrsvfspmanw1n4WLbd7Vsdj6f9EoEOmqzxuw4JTTUG81lDJboxs6jnAzxJh/wzXZxToSb
63R4O/tB73bk//o/EisiuLFTMVpt6YR6ubDlPD2LsI+3Ic6QBhtzYD4aNLvu1OjrzVaORvuT5mGZ
7symL5O16DXraQwL6Mwhhr5qnRmCvDOklSWY3ApmXz7VyVvogA7nS1Q/w24sXm1gPT1whwL5khIU
0JE1ZR2uY2IRzjiFhf+fvTPZjhvZrui/eGzUQt8MPEEiM5nsSZESpQlWUQ36JoBA+/XewXpeT0zS
zCWPPS1JhQQQiObec/a50X1RFludIqwJ/yBxfoD46vJNprXmt6Ho4J+nfdDe5FJYaB9qpfUxKGBd
GQNOL8DVVV/sRtfpLXwF9uz/4nUSnjLJwgECBOlERkVlL4BeZWL+yNF/Al9g3ERgJ7zHXtPKb0Rr
6GuUagZ8ECJFBv2cABCE4aVUrQ4JSvWJsx/ZmsJbnZu17oB81K1XNYRMZyBEMhUrgRnM6gn7psZ+
2Rb+VG0obzvfRz/AnBgvfAwhNVv8+1lrkv05+TMn82qskM0RytQ5LGIachYU4NpBjA0mmknMK55p
o4FDmLYaoro4X+vL3J16fUt5DIu98FKbyZxgqTXsRa1pe9MmLEcUMzkjAhM+4aVLHD8u1F36DWlC
DVFHjlV+YdGSzLyT025bSiDYltt4fXaLuk+3jNDlUzXoJO7OVcfyvRhjmxDi2FhkIjcQOKJBlkHH
n7pkCI5VIdCXyQqW3lJ72aFCforQoSq8Z98DuM0aMLX4RO2Jad0g93INebfmJQIfE8J+qW6Bmkj3
Wdj0d6Ks9IqCLKwYYVKgLXyUCb2QUPbN+mS5K7mAlg0cEVmNZ/2qxrjqKU+3uCjx0DKdDmSxfMWz
pBGFVTb+d4NAzvQSe2r7bTQGUSFNW+x7G0ZiqSKVc8z+OuYpMx6N757w9J8uqIzI09lAoboZ41/J
CHgxlD4a7W0J+PtLx0maAFLLamH4VkV8mfmD9cNaJ7ktQQ9+q4BE3MQpModwLazutiw080pr5rxj
qSu/egSE3PqZhsLWyWIicAgRhX0OUnhH646FBY7/juZEc8ianMAWr0G0ISwFCIeSP/xs2mz96jip
/UCgynRheujeqJH2XbqtvaH/OvULdluRVgMJt4iYrmyrtvuzfHWmL9NqcNLkwelXDY0HFSnkD9j6
2/XveQh645CKtXhAhmcyr5o0vmkCE90Q0wgXl4Kc7SfbialWBALxqSkUGE/WRZmhpGefG+KY5cPS
i3I471oPe3kzUHuKfPV3oGUHyy9g/xWbIsNqoemNAhamzEfj09oQyEXKxrJ+gTIFeKefneU6bwSY
tQ6yTAKrpkW0nUtyKe5ne6pVVG7jPYipZWbGf+86QOhTpwG5QCRFsMvrWM7EFK7x34NpdT/6qS8e
3MDQWzSLg9mGOsTwRxULlZ/BFXeeGLTeQwre6px1DrogkJOZ5NnZx9PCdlAEka1nrheKsoHy700k
roe6KWS6i/OWIOEc+JuDQRsJ/bkOvfogen3O9lquwVswS9N8ApjBguhW8FQ2AkCAx4pippdQAyzl
NynMZwoELdQEndiwbRZU+bPw5x59WrdApkEBiOsxq0R2YRNYhOMZ0MG9jjIwAMZgNolqI/WfZMw/
xByeTo8GgA883yM4k97Oq69L45j3qr/7o6305cHw5IKON8/0GX5SVrD9avErcfjQ46/QtGDRshCU
IrRKzUzOMjI97/qsQZRcehVkj1xPrRuR9jY2ZlQH0AGnhPndH5PpMatdnPhzurBPk/kg+HFsBODJ
OYF220FvVOZosz6MTcKUZGla8cMudDZ8q1zau8WISTkqIWGeE0e46KE3kH8dsiMAPD57udqmVbTE
toVl+0FUB+16m2sxaPKs99ofsKNQLjeGGWcoRfoVXkcyGgeymdwztyn7PYpcEyLRUheb0Vjcs4YS
BG9mGMbbeUnZnQMMbSnIzr1dRLrZLzeaO40jMegUZO6wveBCjNd0qlhJVuMnQRz0VeDdY7OAIgj2
KRFUzecqruows/HugvBuUnKlimne9rbM5q1blrQavAGNakdek7Uh3UOBh5hMfwo/AetvD+QntDlJ
u5HvVZm2bSojc3cuKV5elNQxPQqnAAGwIQCnZixBQ8cKX5Rx2MUFR+PAYmbe1J1BtC4CVu8KcXZh
7bxxnpkH2BGGnacTSK8ZHbkF8apKcCRh6Xd2Fi9kvNJstzarP9DAIO19saNJCHnlWQsJAEnQsYwW
CIMLi/WeXTl/O4w7ZyLfXLPGn25CuC/HHvAI7IYrXuHcrd0ZwBdE04TsxVnojAj6w9Ed54fcr8gE
7RrCGZCmFofCwPtF5LnlHUQ9MuDisrXvh3GezgN6Il9GQ4fjMvBpQoyWYv4WmyYSP8paQG0E+0Ga
B6256x0hOw5wLNXbVrNnQijRTiO8LbwHOvwaGVKNbzQUu4Y1RlExcQJyEGW6G419AayDfJzv7aVm
ZgOJa9wm0BB/SkOyrRdxSt6CVVW/Akula6aJP1/n/dp+hTc8sB/EzqaSPNDUAlRp2upu6CvraUD+
6218O0Vv4yMuqTdZFwBGSfWeLyeBPlJsU9ZckqGgO4ko7tv1Sy87e74wu5leFPk61jUkOKfc6Bbl
8A3hiOJs7RZOczPD3g0JAbXjbc+e12B9q6rd5HcEsgXzms8Ehy3dZ20xgzHi5Rs3EGeWgrpXN0bl
0OcAu/TeOafd58LUz8eUG6+D9DLoYbhEKclD7Cp9JuSQaLr6gXAaEPmVnIvvojSCK+L25CXs5GkM
hejcdUNZs/yKLnm+m5JY+0leCGyQRQNdd26NxeRtpmpEqd2wc71aEzWnTHFOIBb7JHVQwV1Shhw6
/b0pvP5r4NVlf4ZoOjtIq59/kJdkLXvk5gPYZ1/LkogGOSWFwHKSZ8L5dF5Yg87bZXdkbWbhw3Yd
S2MqtgjoeaACcxhHZeVGtAtZ4xYbC5hMrIhEBVI41PKdhIV4lsLEbtgw28XfK1+xE5E3UV2WWsLT
TtMxu0Z9Zf/Ku8X+2Wdmd4FUyBvP2LxxgpuR/n02V895xKfNfOHGVUw8ZlrnN4hAVwIkl77sN7Wo
00MnswZ1PcjrXwTC50CTPTknXwE22JSfTcO0o7Hv9HNqE0StdU2yIoM3KraOM7aBQyPmguSmHsri
bswFioYGgEa5Z2UFnExIJPGz6QptfFt4nXYxo/fmrrCcM/dkhNaS4spyyRau/S7NNBeRg6nhurCK
9dsspbzss0X7JuZK+1ZSWSYObG5MVvUlqC2sAsJiV8DKKTfa1HbivMiHJdlxYmz/7moZe+r7X8xN
KxugR0NbJf61bdSYTLLcW7ajP0HRoP6v/5CzTxioDNQxubHS+L7s+4bgZqMk5LPojPzRkZP91PMR
zwdcffbPJZvWe4F8gdyT0oad3vUKGNXkhiNR1cU+9RfBCSQsKctcFEzC/Oei8R9RIVXBPrNttA1W
AwCL08RArhftQsWQspF6HyZr9C8DsHE88TFND1YH+2Jj2ykBL7IerGfPzWlbAEPr6wPMTGeMvLbL
z/uiHlpm3ybuw7opPdrY8awD55bQfhESUXIj3SenoVMGZBUNmAuqqKt0cU3zCwpZaVcAiIVc+8+x
13c3IrMoTutFS6bwUrq1vasEFRqVndv9yBY2muHKZg9m76wPd9WaaGnkJkXxRMeHk2kGsM86dHzM
rDENnv6tPrSFOE9zTGFsZjvOlyRgGY5gd1hlU8Sf+vJmyhvnOTNo04StXMjC1esh/2JClwtoxNvA
6ImjKKcwSdC4MyRhju0NCn2/6Jr5lytb+x7YeVY9s8TNl71RuWmkSpJEvOuTkzLu89iJ6Hg52wTg
ah3ZskFDz7QUe7DX7fhWdJheKE6YvjinfpJfcKBY+lAbOFBuRG+766VGeoAFkJyaQliMbS/B7kBA
I3RkDIzi08y91btp0BTKwesx5VguhyPLh2KeWGM6bd3FHJ9Zfwe5w9yQXs0FIbsHmHhefcgbaJgh
TYQG/wVxU8Umd6H8lk0+P/0n4EJDr6XGy6WKeAt0bL2f/ERe/2cdF9ilqok2bwm9PNJZtM86ErOr
3R8WyXG/GpZF6/xFi3tM0HdF18frRBJ8WkA9nqixXGqaRYRs7hXXotLiT3Hu9icaGm+7OFwV5JGj
08XGmOUd1chHl6S1ZIAPXI6ThW9/IRh3yssOD57It+h044NhQmArKQVHZFOaOzKvSU5sHPtP+xH8
ElqWCgth0ytwj1pZmuP3jZUAvVvnwTzPxGDsiUyZP7m6XE+0SN80WNSlFGYW+itd6OOOkTl0rtbZ
zHM21bwLW6W1inRoT3TI3r2KsqWjdqWJcwy76B1s6cJjp08E1rolllb7VDdFd0La8fYqbEQDzhOY
s5XoQrV5fus0UDukCqs6r4NYm11txeD3VNPB/OPXQ+9LPTHLs13TPzZDk2+JWiyVzQYVsnEm1I00
CTLIivj2E5d60y5SzRPDAlijoOnc2utbWoqYqgeJkZtWd5PzdcV/oJHTdmF4FfXUVQbbAYfUiQb+
m2YRF7UoUCNhVD03+6iNbKFWbUlZFFS4OcQNIxv0CWjVvnPqZxEbS9TTYt3EhVeeaI699wnyUFHM
WGj08GwevUFyFFVZEQq0NZpoGJNyKmmH+K1zge3LutRmkxKZi5i7a7vhoqEpo2/ESgDZqiXtiafw
EtJy3LgCxG3wBTokyhw3rhz4PA1nDLHRvaK9L/q5jMyRmto0Yywcp/EStTkoH2x2UFzleBjtrjwL
bNwDRaoOcGPW7tqkNSOv8cQtGhzzECcG3Q+rdk9MmG9GPry+l+8K6Skdd/eox2YAPY19ORDwbc7z
A1wjkFiWXpx9PC2/dxWls0VZ8GJYOBoXTgyU2G2rZmNXpn9VN97TnGvt3f/hIp6h7gKhlukdzX3j
wDelD0RQ+VZhn+EULm8BtvqnRpoaSa9eLk/MR6uEm1wlBByP8cGau7EC/kZDdLCvLVLNdiOTyyVb
bC3s6QSERtABvurt9A4AJmjAfihAyDi5SbZKXp9Vjpld+FizHhtn9P/++CEc2a6UhMZFfuPg2IWH
rpvHoAMTLCe0mpxM7sr5pWeJ+Dq04t6d1ubCAo51XvakX63OQBXEm7zhCvAOkFFvmK7dBAdqY89U
TQnN+fLx73ozM7z8LGQWqKMQ+ehH2pYuGBabUnuzqVqj2iVNRlFrBDQXVC65bGLEDFVDR1uCHx9f
9523ZashoTSalDn9o3mBAwgeA4NBAWiXkn/ss3eMKblOenVKC3Bk9Hp59FxLST0dQCY0zV5PuRR3
R20V5IWLoqKf2sJcq8rF2lYljWMJn2szJhmEWrwo106A97IM1lOJCC8i5KPhqUgmcJiQDqrd0Osf
QXolO21JV2C0TZjWZmFuS+Q9oafjeC557QdjmYNzSjrz360mzW9WMP/qpGsg86FiJEwtvSmIJd6m
Qni3aE5B/uICdz+lCyUsxPiaQb+nheYoltyhhJERiu4K/ZQA9Z0BA8sfg7vv6whFjl8ctdRFb40B
/YZhDz8dQL332EKqrSMRh69erCEAR+wwW5xtPh4y6jUdPUHHg6CgVhFGzbEmBzuLbHWKKZuKKz9P
fqzvcRmZ94h19HuxBKc+jXcmRyBFWDqxB/KVvEgkf9t81DRb4UWb1aZEQHiPlm24WWrbOnFX73wI
ePhNkAUOInZYga/HBTqOLDfgJJMxKMQn8J+CGSvJbgCgGzcfP8AjEM3Lh4C1AksFahVodcfcuBnr
LzMM/olOGunGsCoIANBeLgzc6xC1YD7KSTco6Ot8K5nZ7iE0fTay+JJdSnxhjuLE5PP2CXsGUw4b
g5dN1zH0pC0FjtKxggqvkblt94i5oFEnJ5bSt+MGZQ5iFfaPTAOIgl4/4UBliFp8Q5ukxBdETLQT
wcqbzshe1K6bmqLJx4/57RvlejhKmWgshOcvUKrfxo2tEbpom1zPNuts1+NehY1sxMoadYoa8+6l
yAFivcP6h1Tu9a1llENLMbflxhuG7uAoFdJaACeDypqfGKfvvCslRENOr6SQSOJeXyoo6GZ5JSNm
LDPopJVr71MQrSeu8u67gmvBMEVKRdvz9VUg4evFPHFDMc1FXpPTXdTUgjZytmnNucV4YgP07gP8
7Xrqz397V6TUgwbsBHfVDesn4fpjiJo83xGHekqq+96lLNY6FloLkJZ7tNfqAmLdYaMwDNvOJ/Pb
Mza9LLsLnPz2icPZe5dioXM4cgbYA485JIk5tbMx0szKW2kfwNjHoTVXxnWjSy36eLAfsUjUnIIG
nhMFYUaUlHAtvX6CgNLpGkv0BLVhGs/CbVDDQh68bWHb5bum6dzNQET2Y2GutLj7bsHMlbe3ZP7F
m9xpRRXWIvYjwufp0mWyFRFuCuPEJ/l28KofyaAyEK4FzjEKVZfsG9uBSdadC+g0BgjthPLyiYnm
7WPHuY7jAfQLm2oSq14/Cgr2CLRBc4LiaKt9GlflQQh3jWwyEE9c6s0p0lcGTPa7rMPqyHo0mJps
cEvsB0SWZ2tdEHIee59nn9bjApO/DvUSe9pm9JdTu9i336fiPXKLsLHQxR5Tf+IArZHNZnozLpMb
h3WSkBbvGfJsNOILHnxzz8vvzxnq67U52uMF/rVmnxLyvW2B0shN7o3Z42wUtzqNlQdDTOuJV/32
JSiur8uvVOZB4/jJJIGcW10iOuhMf/ik6UlzNajg9ZRkjz+erBS2jDGF1p+X4B29b1EVZHrMWbEp
tSD4ZpqFH440reeok0tzSz7mcuJjezuMsSBiK3AMJkiwAUeb9RykVSVaBMmNsPtHf7KWe79b3e7E
fanf/XqjxcbOerEgMsjeGItbB5y0X8xI3Sm1nq9zhXxtoOKJrgyEMTo1OogjdNgDSWNuGJS0xz+e
VN65T6ox7JRtD6YnmNHXHxLpAUZg4jPcsI0OtkEz5NsinZNPH1/lnZHCThI4szqDKIzu66swR3bo
EWROydsa7+Uy3uF/qJ6ckqXm4yu9dz8B5hMD3w6LtHs0Ry4igeOijUg9dKIj47Yanz09aB8+vorx
3g0F2BRQ6VPlMY8BzGvTYsgpgd7PWgcuzZR0TmDxzJEHuCjKiiDZun25RLYpaTSVy7Cd3em7dHqw
KKibdrTHkQrmi9wYuEn+D4OKYaUOYGD1ODy8ftoIWWI2Xb3CEqf9TY9ialMXdDTWfqa1xtfMUdyN
6x3ZYCjuMEScuP6bd8BzYdQwK7se9LDjeYHJsYsHeDNhno/FY6oFxRVAy5Mphe9cBiSaMisqvwYb
zte3WWhT2bMgk0yBimFBfp2me2yxaPTqkqo+sXM+IRw+IhkDedq2Ste/bSMd9wVKvK2WDXJLBq73
mNJ/iV6Gx/+7S/9DDfT/3V1KE7mpMxa6f5yqhx//9fIP/nGXmv5fLGOww3FPqQaBslv+Yy41jb88
VU1iq8uOQVWg/+0tDf5SXlRGMSUFNj3Kg/k/3lLvL2hD+LSpLjJT02H8E2/pUdGIvQqnNV9dn66J
Ig0cfzRma0p1PoxqKlYX3to/tYnb7zUkM5dyXYLzzKjqC7Vo7CmmeHsQsXRzPQSmLU1UL6A5Gg/n
dZ3kj789wtt/FoPfbaiv9wEvP8ynxMYPY3vJqeDoh3lxruVTaesRpw9xUcNDQDrTT/xQPrONA8zy
j6ZQdUGmNY9DFbRzzFDKBPz7Rt3Wpy6jXkvpVRG29c7vzjtLk58/vq3XxQ025sBquJbDmsD8+aZO
bg8EX/tsz6PMGvTLOV4tCRM407NQs8xH8iOTR7IYzNt2mdIT89PR4Vxdm2OPix+Bno2606M7jH2L
I483J1trdYtvRKuU533drpwUHCS6XWnVe/DyExLrnMTp3ofVsqaDua9s3b1mbnFvJMT1rx8/kKM1
5Z9fxb6NcgvVQXZV1uvn7rVwXaw4iSMSN7QdOCnvDKlnL8NaUwFDwZre5/N0Q0erv2gXrwhTHD5n
rjvqX4qatCDO43foEJCKdJZHB/rEz+NL+22r8q+fR933JWOVA4b689/Ob/7qoZeHBRfNSeDvJOnI
kZ7b3d9zM8xn3lIYSEi1Jgtdahp7wyDCO+gc4Byz2wDhTeQf0px4h6pWBJEFaw47w6On5a6gFVMl
cXTQCqEEQ924bTvy071W155SJ1j+rKTz8gAoijEJgQQxSdI4GjXIKkt8eHB9AtEQOzwPcBqKptM/
dWTdbtI6w55XT0St8wpC2ujymsjyYovhpT3X4lRDzT+f2r69Ppy8/CaGstoaO8wMlJtev5S5R9Fk
li7Zm57r3XUynreIUcfITuKZqgu5BV5XBSce/euFl4saugphILGJ/aJCPr2+qDm01gBQNd82Xpzs
fasf9ytW1BPP+52r2GregxdJ+ZOSy+ur1LRWg4wW3nYuoGGzvOfuphys6v7jcf3mCWLqAmpBq4Ae
ENb2ow1jnTFNEAviRgUgxyvS/+xD7ZLQEBZso/brkLl7CDru7cdXfYlk/ffGXz1DSoOA0Fi3aNZT
I3x9d9KuA4eCiB011arFZ3CVtF+2Maf1rllEuqsmA4nrQo8c1LnWLd2WqB10zd06mSTc+bDdI421
cVSdFvmp0ASbn8ZCQKWcVQ4sUnLsw85e2vsOBxFoSnLr7vPcSS7VFv0mn3LjTlDFcratpF0RAtzs
LwkuNuZNPjhLGSIIVVzVuJn3Azez7/XcbK55jI4TQoOZt7K22h3e3BGbzWyi2UyCnlAgcsvl57Sd
3Wtdq6Z6N6Zmc844AWU6e+xKN4UNnWBTZAUxuebglZ96Pyv10DdEYkb1NLQjbHVyr+5mpP1nLfJM
f28ZRANCLB3Lb9JxkOYF1lJ+Jjo+iwHca9qIYiQ1UAXqEl2spU3eM36orovAVuXIOMWhb4P405TF
4nNp5yhJqq7u/9n1QQMB1PHOQv3eSGI6stA/sFthcnr9SsliXKlcm0TLmZUWNeTR7HF+ultXIOSx
1nK8TkvCDT4eSOoDfzOOMF5CiuL/BQvr9UUn4LyDlaA7J6DT3a6AOLeibtvIhCgTfnypd+6PPQEu
TxK3VG/gaMj2fVKwdQq4FF8FQEo6fHGaFpvWau1zxvkC8Es7lT773kUNmCM6CCx2+m+cskkyxvNa
uJHRBPIKNik6eo/kUSNGVu6xP3Flp//5M6W8BtqKVh3eWetoUiXFMtWwBHCjWWbvaHLjBcr8emeJ
xDtRFFXP7Oj1se9kC+KqIgAbodevr89tIAzEbUS9O1cRq1Z30OssA8AdrFdGVc0nrqc22ccXJFbz
Je3CZl/tHI2X0nNEM+ARjCoXd15Q+cEvf53K5yxds4cBGvwTDtFh2utNZ2B17NAv6YQKt3u9cCxv
s7Z+s3eVcjDi+9JvRYJVkQDKfjn0NZ6sE5/UO6MbYj5IQ4euEGuvWiN+23PE2HwmTTaI5GAYXw6D
Mg62sb5x2/6U6/69S7EfRWNrUGdFxvT6UiO0dzwMyKyNFI32hHr0kGsa1FBm5RMv4b13gDiLL1aJ
NWhRv77Ukpq9n4+5F+Eriy9RGvfhyp61Df0+IyNeIlEh7O7P6u8vKw48BRWUTllESRBeX7UJggzP
5+pFg1fUFHkgCXYI2bFozOb+45ni7ajmBIG+h+oDIEgUUq8vlc6rV+IhddEsQ4rPSbTYinXowCLS
DzYKWZ4waKuf/vorouCAtgLt2QvZ82hQx6lVkMdINxt0rrPrtUVeBqywJwbje3eFrg4CoJrdaaO9
viuRIetDoeJEmbsEiOSzYU8u5nBtuUFDeok4xaHhf/n2vpgZXKY/3heYtqMxWRZBwDmsBu3tjhok
v2yuifwy7DHYUXuGClkrPSxV/LQ972exkqQ5SZxWcW9AfPT9NsfQ6BPH2kNRAVPoutUDTum8RrBs
xcVmQsm4aUhbGUMdGP8ZasrxM7t2UYfx0pbfs7hZ9mlmTb96Ap9vEhxS5k4QDzSFpUXm4468u0Hg
HyUaZesVIrtG4tx9I/6WbQshTaCX2i5Iwtrpy68iBxcU2noCTjnXu+Fn2iiaCUYy3EKTZU7PccP2
axPg4pEcqXNxwSFN/26DYps3vPrqsR8G8Vjwtn8VaR9fg95AID6Oa1yEfid1hQPU6orsGa9K+ZgM
Ow8dfW6encaW8XnglY56iPFy62gZiG4by0W864sMa8FSpd21rXUzbF5t8FDKFwR5hprMvAtrQCIM
qTuZf5pSYFRJE7f6222lqLYzfqYHDgvjF7TES4LDbDKSy6G0YL0FRGU/x2PnElDYErga0qFAkA2b
W37BTF23O7lanOOQTVcAuTPRrxsjRbm7z2bPYes0W9IK+VFMSKDlq+/r0mv3uJ7yPGpErEzNytwd
4iFw4anhUQJGF4zOd+UX+OWa48R9FVky7LpsSu7LpYyJ1MUgdYNusf3M1k1KqFYZEYvZuNY+LGtB
cjIa0R6KdqFZSZg12Mqx9mNfBiDQSy0c5QyZCHSx7l1CqY6Hw+D68rFsUPJusE3XpJGJpT6XJoaF
sFh9WNygRYK9oAJ6oeNUILoMgdyyaYMAaXWQ9T3xs7izLniDs7Fh9znBakcrj8E20TwCyjvJX4R9
lIH7j63hevDx52AF7LyHXK+1NspUNskVnI7moDl1+sNszKDY540VH1Y5QTkgh6A+ZFaNpn+09ORu
dFfzgQvp5O32XfN5muv1nnGd4VlJ2/GnALo67Itm5teaFYtcSFCGuCHF+KRu73ULQM3LbCBUydqn
euDjTno9rUAnMEpIVGYksHHvBSDAiCXYvBpcbdqy7ahCS5+myIunjtLEqf7l21oIlwcPAl8C1hBH
26MqKnBxIcyqMaO2xoAYkhguoq5UHr0FyWkliT0e7DZhg6LVUUtQ0E1gN96NyQuPfIcUXlLrlhM7
zbdrsVIRc6yFzqgYo0dLldQqfwJ+6EbC53SBGr+41Xzc6QIW593HS9Wbuh+PX9XvuXml4vWOtxhB
QUY5tgoLP4U7HeZmXCKyeepL1TG/WKDm/g1Rq8YUh/nN6DBdcQBpNgs+Vj5nYk48qGAXEBzq3cc/
7O0mgb4MIiaOvwiZ37QdsxJTr5EDtdW7Rl7qw0SeMEIfbdf4rQwJhKo/o5ucth9f9Q0RlG0o6w0X
Zc6CsXK8yK15q2dOSoxpFY/JdZsx4VMGbA81qAi8Ku6wWwkAAUVZeLdeJr0D2cx9pWJj+m/w3qun
j38P7frjNZCCMdhBulOWoWRl6jn9tgXEijZjH7MSdhDjcG6n5ersCpdjYSgsgpQ3GNYyc9+hyrhO
IBYUG7Nl+GDG0zGhMIZ/jAs1U+AwtXeYC9yem6qkHRBaK3kn4I/ZX25ip+jaA0dm5roaqvN50vrB
APof9MqmTSznczHo+pnpKgpdbQjw+1VvdGdmniY4KeKmbMIBaRGpGCaT5GZaHPdL6iQ1hIVlMTD7
FaYV8zEN2TW+zxQVngmuN6z8Qu8RhGru97aemWRkJab5YLlQ0fF/dtOjjwfOgjes1GytPSUHg/fw
ZLUWthprgs0RdYJ8Df4yFITvImlIgKyWQYeFv9B2wjWt+QaiWm9GAGjvrMwzbxyr7R/ddVrlzlgt
cTMw71ob0uGMZGfnCyLdbHa7h96jlLAdTNQMZ5NvaqCgHf0KY7pb38IiA7Iyz55lEBCil5/FkFgw
RYBM7WmKU/BK274n+g0HkRU2mQSBMS/KhWwNQt6CoXB+5I1fa3vWxbL6WY2LLh+yldnycQ1SxzwT
S5MSjLR0wNwsrPXDOQt3f1jxeF4rJe14Cbo+sDeFBU00WiBb2Id8kqLbL6ksAPNiYTPu6BMPO6jd
lgAY5esxhG2/A56CHhQ7UNmnNwoNQaKwzKcHPZlxUbkpDQfeZqLM60NHLnKTtYbA/gVoe9dZev89
jeOJjJsl+Y77nzRk0tWdZza9cH5VBLOJglRrnxCmsFDWGPm+cp4kSLvMuzjfpJiF44O/TBnEoH4a
qdXhGN9DS83yMCt6zd5OIpUPfe+qqX9eyj0tbr8n87HyHhoxedDXunLetRlu8E3jkS6OLT0uiq3U
ZuJm15phiu21aAmUQCNxk2N/MDfEAFYLRlCZkjZhyh6Cz9LrIYGViR82XVYt0crXZ+w6mIuPEs5h
tY2nyWF7p43tT7IxmvQMCvUAPx/9CdGbblGWcAk7TB6iTJ3LnJyzkvyWxDfxR6nreIvWn9WznQ6h
0yz06Gy7d/dtLEHfyBVrSsQgnNtLgjZ0kIc1A5A+iPZMPKHnhXVQ9V7UrWggzhrMFU8JWZtnWhWQ
QpbFwaxHngHuaCV58Osgh0WDBxIrm2JBMyFaekyvoZwx86tTq4aNadEXwZCq52+TRiExsuZyflq1
FdhZEjDSSNezm73oZrWzSfwnrdHmLMT/FdQRAk0VtNH2+uMANwIwDoPqfF7t/Kfj9dpd0uOqDtsy
G5/BNXb6ZvJK/WshAu0BOTIoDHaV2l0lLQgmGWWaT3zqsYwmdyy/FrnvPo1mMDw4Rl78mnDAXnVJ
i9Vf61uwDxUc9kcSopPnUpJvE8J7Ql+TF9KGUNalZhLynQ3VFswF2dSlMOh5UoETJIL7DvGSvjtD
TojjxXPCCWJ6EKpG09a0cYMRxqBwQtZQGjclm2oIEhh3qz0kSusbMPfC25SFWM79cQKFNDj4rg4q
o6jeDnj46UQhGfuONz+ZyC+SxXxBXK497lZOlrfxLKanuapdm35z7T8WQ4KVVAjDisxynMmaSdfk
yhhJmQoNKMbLhnQGv4zaqTexZhWVJ+jLLJZzxsJCE3tqJgziSAv17NAOntBA7lTZdVV3xJl3Urnm
LL/0jW3nJmsV1QYk/bZtms+A0FBPZAFuxq1pjv0PS9OYz/wk124Q2RYJJf16GDeSB4uHrMsxpWpz
oX+epBaAHOKr7PYBya+8dtNOP+sxTGKWFNxzm2YmaQQFcCOiSS9oXyV+UxQ3ni1rNyLdc172axCQ
fLQIQhynZtC+8KY7QV/Agiwq0olttpOUAMwQ+WXK5GwET7BNZQg4KIcY6+eUBkoQZ+k2KAb3cYxr
1qxkaMofmbHq2Kk1r/gi9UTcCUwgaYRkuL4US4bHFYaH7cAGs+d4A9kmzSLdllq3nawaynfnN/Nz
4pokCJvsm59i0gGeu1SLx7O0qVlF5WgVBBib/XA5g+Kgx4R5RQ+xIC0eGQtjhJUXmIEv1e5sIKnk
qerQrJylteUm+OSBcUTwoicA1+R/UAGuaB5sXrYI/99s/w+F3Pzfm+1h9/ealb/32tXf/xfJmWa7
0sWx3qILQgOr+g//Ijl71l/wHXUF0qPuCJqZP/ofkvNfiDYcUIw+mWeK9Mxm61/dds2y/qIfrDTE
yO1ICg3+qN3+eodPcACSDQjClFLY4lMmOjp1WORf5GbSLaFwZAlUIJWy2w9DrULGYFTIE5vpt5ez
0c+zr4VYbnOWOtpEwkGLBzVdMs30i/NjLgtjLcM6zjT7U2IH3fr9tzdx+0/p6fee/euClLo9nJBY
nrlD1Hv4IV5vWvWM3vyCXJiJWa/vJYaxB5G5+f7EVV5qdv8ufCkZKPk9JFPQgNGpEx2fHRXGWDNS
4+7icLO7OYt2uzDcXVz9N2nn1Rw3lmThX4QIePMKU45ONKJIviCklgTvPX79flBv7KpQtVXB2ZmY
aapFMuu6vHkzT56z2bju5s7hz3cu/++6jr3jK/fuZrO393zP3R1/PLguf7dzD/ydd+BLvnuz3z+4
O/72jh/e862Os+e3bbY2v5Jfv3zLpuDn9y+bh/2e32bz62xv+evNfuN88C18BNtZ/g1f8wfPtp2d
s8Mu38tv/LJ94NffuC6/6oN/s/dsz+M3vrl39n7/Yu89h5/xPM/xHMdZvs3j5/l9yy9zbvnijpHw
iZ4W89udc3j1Dsu3eoe97Tn3jsvXjHq3LRi8w6fbeLtbx9ns7zbLB+WzbfnJJ+c7v3XHtx7un3e7
52WamKjlp927u8xezD47/OvLS/bnOXlhxdYwE/h8GmSupce7zcPHfvPCoDznu7M7OM9XLK3Rwuu9
sT5i0Eqncsve2LiPbz8eAvvB9t7vHdG+YkdZstWXRrQkMf96oDVVU8LwhR2W6G3/9MQ6O8w3S7K7
uXNvHOdK9Xnd53gysHW2V2qreMbgnfvxwm5hnS6vEX7uypCW4/33kOTSgMcLC483m5tlQ2/u/vyX
fz58bDgbD+zVu4+7zcfdQ2VzcO4+PlhL+3bLxto/bffb7dbbbm/te3bYwbnZsZ3fb2//bMdb27nf
sd6cPI6F6zzeODbn0zs8Ojc37L7D7kq14epGWJzjX6NRxZ4Ii/ly39wXzg0zdm1Xayv/erIkq0Q1
uBA4KTBxs/l4CDyOJcf9YTnwTNsT/9nbW75aTnVgM8LD7x002vZvd7fb/R7sx+drW+RPVuDSplw5
4Kw1lThbNuXD/uVh4/ze7SN7s90sk363wce5z3eLm2RhWAjPxgc6yx/dh82L+7J/unPfCnzb1n67
+bHhFzCUh629ffnSM30uXuRpv2XfeQf2eWl7999j+/DMUruubLuPbIgPy/7q3eNJNq69c71H/NDh
bnEwl7eqtuz1S+Nc1SQSXiiKxE7FYd/Zb/jc3uZzv2839tO/npnh4URvHPdmw4fw8LuXP8G/vWCX
PsIqfzkb0wBEi6l+w73fMQt3i1+7e3YfXOdmv8db7z44LThrPD63xNbzKtzrZsOcc/XsllvAfWNx
Nh/u/uEBh82+eXgKbPsbu2jDmnBLeAdO4Rte+2D/8WX77f5h//RrH9i/npZf+uPl4SOyX2b7R2Dv
cXb4oYcn/vjrF7sRn79z7p/xsfzzcffsPe9+O7j83bP9wi0y2nZgbzmq327v77/dH3be1/1h9/P5
kZvCeeQ6cDzv2bW/33IR7R5v3GeOqO0dDrf47MOOqXeZ1T/TzMh/M91crljkbtndcS/f3Tg7756j
/ucbX5/514tTeHZvHt/e2IjOzysrctl7kT47Pu8mJKKCwRXDLXnD/9i72zuXK4+jbzvu4d9Lzrmy
D6Q/LRf/9z5AqvjYbNLDcQPDChO0bPS7B84/R22xutzelc0psn8sdz3uknOxt/lGvMPmabmVWWgW
nq+e+IG9fU9AsOGr5Wf3++09/9w9M2nuwXn8E9gwrZvl1uRE3XNy93/Chd3hwIFctvpm2YMPm8Wd
hvaOLcT04603Lv74ZllGd/d2R6Tj7h5cfubyAiy3w/9OBOCPBXRNqwKqzZBwAEw+noh+ntEw6vLG
JmnWu1ML3zJ9yq132crxKv+3FYXwD7oW2jDWiVpYZEpwjBmK3XmM3l0nwN6Vj+lHgFDrAkAXPsV1
sdhD9QNSDbCJ1HV5IByPCpFNGmRGc6k2WeomModxE6b957qH/rUCYcDStMvTRVvDPWDwjIAVoOYb
q6H8DQ6xbN+W43xls57OHdlkALWg02kfQt/leCw0oYlha1g1NElqaDihBYYRJiFN62BXnorGplkm
fLm8XsdX5J+RSQtWDggL7yhZXIVJcCJVNCNMtV1UuXyAeJfWyAbNQrEzr3VhnzHFy493DmjS5Wpe
XQoy0K0igygVHui+tHsrn0kW8u5u4iy9whpyZiYBZ1MqACYMhm55S/4dW2gleR1KrpRxYZbad1EM
nx7Pt1u1UKyHoS6u4WVOz9YCBv8fe+u+i6kt5kLvsVfniF/tMskvBS+GfeZK0HRuCkGiU32B1WUB
oByPy8/MeYoKkp9WWoU9QhBzPNE4180fiB9+TjTlz9YAd0gbA0TvNLWty/wWzGhmgwgxuUk5cbu+
lu9D5OYc9HAmVx9N9YqDOjs4qPKW3k/A9WuGHHgE4buI5Mqmg0W1NSuWvaiVDTuIQBB8etcvshJL
S7As8V5dXQqSALhSGKnMgxaDcgyoKgrxMxymWVBfOWBLSHfsdhnKX6ZWB6yfjbJu4Biytbl4CEMD
ZGoyVa+0uau3g5pUr7XZvV0e3bnd+LfJlU/s1UgYhwRSRnppadmi3XkTkRx2/wMrlOXoqgYyRBfi
8V4EAwVDrhDWdhlZ3ZekQNpHMHPlU3DbfzchKEIEwChs0qq1ihp8zVcpr4IULcB6UHco9E3UF/qV
lMU5fwFKkUo3HUIAbldWasuI0AjSK2TXoW5yTCtNDimMYb+zsglfUFos2//gJDN1uEOokyhqrizG
QpjWka5Udku+bJv23Tu45h9yJRve55dp6RRccDpwbax73BBWCYNBw2UgRb3wGDamq6ZSe+VArV6/
yzqR1EH/mvY2OF4keeVxYaiPulRD+apSasVucmVwtDmMvRKV9S0FAMUudW3rUw/aKvDiCTa5+g58
mXqti+J081MoVgFmLg34S9BzvC0houBhudCtS3mb6o85ZC/NPlS6rLmygiuIwr9DhseLOxMOjKVs
dmwJsl8zlMaitsMoTKDSldF6qErlpejruwDu5EPdlIVXJ3R+Kdin0piEDmsAMae1py5UXQmFTj0N
UiAI85AHXfDvyurzDBPxkdCPMOCJNIbaQwCDi40cRqBQAghgEo7qXn9qujYbr6z+6ZwvIiTU5sHU
AfZfh0eTTG95J3FTjEphOnURJ86sQBByeSefHd9fVlZbbOrpNQkqnDbPut7tghTl38oXaH+B+dt6
h326+rSLY1wsMBMHd8xJr7NpDCAFB2ZUmczaEaxRhbul/ZyK77KPsAI5HUBpcCW0Vh/vIwQB/KQx
2spOAkt/Ksyp8ijtxFsYk+IfbVRfU6s/N49sWZ2oGcKIE4/gJwUJfI0bSY8HtXT7yhRuZB9lA9PM
mju5n1DIHAOiwCu75Jrd1Th1EJ1VVdDlmVIau4mHAjnCsJvv4k6obzro2WCNjD8nd/7v5C7RJkBV
Anh1DZoeSzOrkF1gciNJe2uFbuw8WGXj7ZBb1K9CalbfLm/T0zAGNQmw4QBNiaytdSwI7H0AWBhU
UBoBNdAhmHWVLO5tIR8/H3YSShPB6ApccjTErk5Eos5zMuhIME9Dl3piMncbGF4+H0yjFg/IhdoL
7AYUbVb7c2qKQoXQwBaMctjC4JXZSWw8QruvQYApbi5P3xlfcmRt2UV/pQWHQNabUV94z+lUkNBa
Qzva8WVIWa9cjEt8chyYQQehAd1gdwA/XvdFcI6jNAxnapi92BxCU8i2FBeRVMg0E6oCvX8ZB+i+
7Yw00vD5o2ChqAhqgP4nIt3VII1kNOek5faHZM56TitNfgAI1yHjqVV7oCxQ+sOfql0Z8ZmdaZF3
4YagzZB9s7ogeJMg2yQNhKKSj8iFAiyipEEFWYj+GovLmbMOS8Gf6FpfcPLLR/lrFc2ymRo1KAmo
wqK/AY3b7TOl1Q4Rcl07WHZbpCOrprsyrWeWlBQHeQcCESgc16A5eP3kGU0Y/HWny4GdRpHpgp1s
DhpouvtRpRsoN6mWV1EfXTF9sm2XS1df2BxVmv7o3ToesOYPeVlVeJQgNksI7nNlQy6mv4IoP1lB
rHC9WsubjHBr7VtqWjDrYWbPzlGLwmvTwYTNEzfdKaWR/6tF/H/2DZ0bEd6F8HNpcqYp7HhEixJL
pJVtaYMzGUEEdML80SMCeY2Z8uyYYJtgycgMACk/thOB7TMHsQPKKiXQUJaTeiOmXbavxq654lvO
mYJ6U/3DBitSUT421Q50q6FkhKkKBTHSHoJbztN7WKBM/0kvxkIt/f8wPtANfsLpBfgtjEa5hNQS
MQYa+ol1wyGsvE9bWa4ZrkYmj66N1TO2CaC0ryJYk1MNLjhRb0JkT7JrcuxnZo2AesnnYcME+nk8
a5ME32XcQJI1aD3BJY7KK0YzfvSrYH6/PKCzpnAXKjcONeQ/dYW/3AYdahU9Tgl48arzaeZt6ctT
YM0gJXKlFnNmdy89+v9jafn7vyzltDP6M+T7tqX3r6aRK14u++WV/bbcjEdXjEXQwYsS/4ffpcR/
bIRmiIo+KginJb0Qb+k0qJ4zZSj2VgANm10gVLy9PH8rnCzhzmIRagsICGA6A6d7bHGmFxgVRyzS
tM0EVlKI1BXqEehCyVDUa34I8K0PvAnhq20uVvJvYRIOjQboP1SG5Onyxzk3ySwkxApL7ziQiuNP
E+Rp1pk+O8ew+tkVSiH2SBH8+rwR2nBlmGJ4fZKLODaiQyAUNaWGiEdUy5EzDbHeug3kKvqV98e5
1YQRgFwOzGRA0ZbN+9eW8dUkF5WJzZnHOe2ooaIjJCJsJK3fQa09XbF2bu5MkBJ/2J0MjvmxtQ6l
mDHri9I2Ws2/Sfqp2pd4Uffzk0ffODwHdPbz+Fhu1L/GBCquVqYAjxg3WX1bdCGtI5oSXUnHnhkL
08YjaiEfJpmzmrkkL4TEisIlTjXC+3QAICsB5/5sqgj8j0gGArfB28Zct8qZM9pvwrL3k0jJ7jKk
69zSz6+yzC6bdnWoYWeQeU1QS+Hltgz2rynL9LnQxMxAtrHzo1thMpUNgOxDMSAlp4v9vTloTyXK
NF4VGv4N+e6DbpXllfvlJL5irHR7LdTmZFtQgD7+EHMldlYbpAQCei9LXjuGTf5FHTWxv6X5AZZ5
9BzSaF/39M1e2ZhnjgGvAbBYKIPTA78O7YQi1JAKtOiFyWIlQS0JkvqhjG4VNVCdrvH5/0/vUS4f
mRy0AskDXOPHY+1kY8xmES+ihiEtWY1Sb4wMKO1lK6dXD5TcdNzL7CDoTdfPAXLOwVgbLCu6o6g4
mEaxn/LZ2Ku+FXqXTZ3OIKbMpVmZ98fCUnY8IHylLtYaM1gkWiS4U5Gi0SCCHflqNYr2E7mewb8y
umWOjjctcBJaO8k04r5gRz42GSaVNgYVDPhlThO4alUa2Phh/lHR6e5KUr5IOonjTRkqxQ5p++bj
8ohPtyvtLAQGvHSIJPFqx+azvBKDfoClVkzrwE1142daGx9aToIKiVe00NRrUeWpy1ks8milmkaW
dS2L3gxRHMnSolYqyDxaq67bcVSutbmfPDhorFfJ33IQIPai8HE8LjluQcGhAGvXsVDPjkmP9Fs1
T5nq1qWvfkF3bI7sxESGwjZS+J2vnIwze1YTIXVfYkCyR2v8YD2X9MxS3rbRMag2WpBA3GX5UvhS
NDUiSZfX8DTFS9kJ7KYFRxJ5FN4Ex4NVZCFRh1bk4OvNF/xi8oIYeeIuFOmSqzah9pzQeDrYoz80
7Ub2fcRUhKapvoa1mpdX3ltnZn6hUSYzR3i9gEaPP4ycNm09V3TkJRXCi+TP2x801AluLo7Ickx+
cteYr3A3hJ++ypgEyuhkzsBrUvU7titmFs2pJTtZm1S4q9vAV+atBUK6uTLd59aWhxcYVIXnJN1m
x4ayPI99kKcQOzed/xVpNMXwJsmiHTFSO2N7eW3PGYOanAc7SZ6FpfzYWAujSriou9szmfVDKRXd
/ZAbgotm8/By2dQZ56cvJqBYgoaNPMSxKclXtcnIGZcRG/7PuJWmr2ZrQH+Wp+mOgmb47bK9M0Mj
Rw/qGEon+MTXsJNUFSJ0Dgv8OlqZrhBSwKzrgIo6P/P5JYMTk9rlMjSyxau9EelZGcAmWNBhq9aB
rY4d0sHanCtojOTkAi8P7IxPhYCLgeHlUDpfMw3FY46+SycsvZHo6PlF2MS2UFH4Q+SukX+idNqL
24q75srL6Zxd0o2YpPMNMMlqr3TtIKVwR2B3yMngjF2k3ssThcYaqqGvQ6EWt2YfCleCuzPLCECB
EMAg+OKL1XHojV7NWiHA1SEY5vo5pxxZIMQRoL264lrO7FATP6cBzCZrDCj9eIfOytAZ/ZDRctug
EZx2s7yd9N7cdfRJuUMeCFcSLeeGxrN6KZ+QL+axeGyP1qmgGk3a5otG1fd0tMluFmjFExJY12hL
lh24CgOgjYWDmDlkYOuEgYqUYRtMPvSwQZTeqzXpo1jVws3lnXnWCvcuHO1UA2GuOB6QmJVJhpIy
rZBxWnmVL5o3oRAOn86F0ZsM8wshqLGQtsnHVpqQ0ps+IZ9epdpoOCDR02lHo6BAgxzNq9UVF3lu
V5ChWt4xBBXqmr1fFGFZ7SL8ltC2z9AdP2Y0vdk68ZRtVKibXJ7Cc9bI8S0QKtLEvOuOB1fmTawr
JYe7hjr0kEe1AiEACrziOJY39Eh2V0Z3ZsnwyGSirYVKhxzjsb3EkMthpCnAHvoSZc85XNi60NKj
M/DywM5sdkwsiTFytCgxLB/kr9fTWMJ12aLejuZVb2RQ2dDQaqBxRq995NfPl42dmUUmkdIklXb6
qNfG/FGCmSIw4QWgeRPNLtGq/slrlGHRfiSRS+ZfDT/vHbmxyZYSkxByr69tVE2yMRzl3I57SKAS
IXARe4jI1GqCp/r1SHeqNLiXh3luTgmqFzIOSI9POGLCFsWWTFCJMZv0IFNNRP5XCexERcr6/2dp
uRv+Wj29BBYGKii3S/p9+z2uuk29fELMzImSkqW8bO7MVWMtrI/05JDUIlg4Npe1tUnzn5TTLzm3
23nShC8ziotupTWVJ4zWdEBT2P/2HxjVF7fCceC1tDIKL90gRSY9ss3SAhcBBfmaTfrXEN3vjahX
ymZoQvWKzTPPs4UxHI8pLhwucIYezWtjzkUTKzUUFHmFRFKYH6xyTL9NiHf+U2RK9qFlYu1qgljv
5WG8Rll7GksvVSFcKBE1fVfrw093qTEqaZTbHf3Yj50MrWMa1sF3wa+QuzQFVDr9qrkTyubKzXfq
dZbtykkhjiahsL6O8lZF/m7hsvBh5XigpBF4sRLLj5cX9NQL8Oo0yEMCKyOPtr5fYTTpokhGBI2A
OvwI5rAP3bZoinyjIt390dI9+v2yxdMJXd65pNRQLJMpy66cXNhmQijWRBAZwqaDXUW59sXqZvpS
a8oqG03Jka3NA5HG/NJHwPLz1v9E8bAOQRirrd5pvYDyMRwzPLbLMkxdA3qgjtw9iqCONaSRZEc5
SnxuOYplsiNZLP26bP/UHcFZyEbmliTXQKb0eDPrVCQIk3ES8pgokBso3xM4ArZyaJqbT1siRUpm
iFLOnwT7sSXeDrI1p9ySuY/mqpvP5jDZVkJNf6P32hRemdjTU7rQ7aMFs8DdcAyriW3QvY/HtuE6
kdPqJxeImwxxAnOUTwauzYttkE3Ve0kr/DaeFPX18mBPDwvWSaUDeIYcloTYarCdricd7AVof9aI
xZW6aGtxLn/6SC5WTAr9VHuAmK4CAU6ICUp7IEIcBOsQT+p9b47C/j8YCoSOnHrQntZaQ6AB6yeA
SmMih7n8AijdnyhCi/01LNiZk7+QopKqNOCSOSknUT/V4HrscjsQoc2zKlodLSkL9uD9xoNptsKn
Q1LAPBCCUCejk/QEEdYE8lRUyxIJArpSaW+m9xp5Ly8LRvXL5Sk8txdBXlJlXBKW4NKPd0OGGDrv
rYk73xiavRhXqkMyIXPlaUj38OGIh4p6+6NWx+U7fXDllaNwxsMRxjGlZJ0WKYjVGddStDpqkeDb
HwNBtisyil9UMzXIY45G/SLTt93bkFBUL2oEW8aVwZ/GBURYtLBS7CEDrq8RU4Uwl9DAwm4izYX4
zmLAT5cjhhE7XRikDVDHJHkKBHgzPu9wMAy+gEXG7axz/20UNVXQ8wiYJERu0fTU9r05h2+S0SVX
YtfVcefkwfoKqpAHAD6cyO54gf0+zDNLRXxSHOB2k0zU4KWij68MaJ3U+28zaP+RReTQr99qOReU
GClK5MbUKFor7dw+mJFwF2PBqfRGvKeemB8SRYA2wR83FdXOR79rP7mdTz7GyrmppTi0BLdosNZ1
Zo+aUW8JDIdtYWSKm1izV+gQcXOaSbwBZvQuH6bVjfXHOgA/ECsSmdQTZb4azTvUnbsI6oWgO2gV
zFzwwfUbSOmulRnOLevfppZz/XcEDbPapGV95HYQH3qtkpquPDbFlWVdjt9f7/w/A0KalSUlmuPh
s/z9X1aEPkTyPIpD149qYziIoGB9p5nKpN4rU2yJz0bZQqx7eRbPDA0kPaeRHnNoq8xVEKtMalVr
hRW4gx8GdxrwJphQROnKA/LM0FBbWYilF14s9EGOh9bRLOILJJhca5zM7KaDayXZQa9ryDva9Rt6
gIwSj395aCuHs8wnb1Y4D5XFNo+RY6OFb/hhNKmRi2g1+tN5XHaQvsHGP0i1nYzGaDmtGfbDNugq
qu2XjZ/MK/V89j5oBcD2+NrVlVz3aBcJfq46WtUGO7H2J0cH+HrFysqjQ68FaBh5LyqoPHuQRDge
YpdGNLBACu4E0RT0C8dz8RBXo+UJ+ih4zcRtneUlbLPyHFxx5yfHD9MmxWfwcDLlFHXl6qy4QEUn
zhRHEotQ+iJr6FO/Rm0rC6oNxqVpr1SjztnjXHDnE8sBV1+dwXBWU9kXStmZErW302E2XWgfUFLq
5tq9vHZnTJG7t0jhA3DiHK6GhtBkWCdAahyfV4fnV/nsjtzLuLTqc5o9+rKAoCAWrWQdWnIup+MF
jBO9ksYOJjD4k4qb0M/LreCjyiULRvDU9tT4/QFlmDgbldtB0YYri3hyLhfzi5YOn2Spaa6CYxkB
JGLgEPFJMi5bYW5lW9VrEtOioBAfFOLj5Zk9PRUIFFGD5iKmpglO4ni4ZYD4eezj1uQUTdkkzXuv
isL2yqk4HdWRlbWSH2oCllBB5uVQ0TecwNQLJx1B3kmh9dj3inbFz5wzR3Z2AWfTSMH4jgel5eRO
IxOOGpyYmMebUq0n+PtDLVWgfjdzdZJzb2pT+J8/P5sAh0gDEPqT+F7NZkiqEQy/LMBUVOjvYUIZ
s2g+CQdikWA7ARRNRocKECf+eHRpMaUhXNqqgxpj+m6JRe5SxSivZOBONwYNEKJOBo6XDLH4ag5j
aAWCIbZiV5ap+mhmVKCqE0n7z04YVpYcESVRElPr1BRa7ghqm0LslqpMZEbL6yYSm2v74dR9wHgF
gAooHG2hJ4ogpOr9SanM2BX6qbChi+J6G6R4N/oU6y8P6OSKWxBNxFSLZhHNQusrri6WLtsoStyK
VrF/5qTLXjQtqDZVrI1uYxbCISCJemW/nxsfSAiF+u2iIrPGktRQu+lBxSwuChaUjIGyN3Ju2KMg
DVdO8jlTnCjuF94r5EVW20JLwz6i9YsKDpIuD2WImFkBp9W7CsDw04dp6d4Dg0RGfUnrrfa5iNLw
VHZmAmPYXGytJv1dK/o16MHperEfKEeA+1+uzbW/bRQIq1U6W9mAxvS1K+YZwXQ1vKXvtbkTwzK9
y2cBvsbLu+T0cB1bXfkJX58KWrb8yFWkft71ZdRui6aXd5etnMYiFDXJoHFt0oJOffPYUWhwZyaV
wKME/rjoS5Z0sz0ZI7K/ainfSGHsZ3Y0+MpODVv/+2XT5wbIJcbLVl7UDdc92OPclIIwjryHdH10
dVSab5NWvJZJOmuFpDbVfbK9NKytBhh3IJ58LUKToe83SlkkYMika3nd0y3PmwZHqCzMWdTi5GMr
sFRDidiGsStC5t5ti6Fs5M0c10m2qzK04a64xGVbHz06WCjGBHqAsNzkNXlsrg9ytapgHnT9uVK3
QVLNj7kWpW5cL7kqq+utK9vkzBEg67doW5A3JzxebcYQ5jihN4bYNQ2ijbaVqFkZQmHuiObbTQ+u
/LY3mibzLm+RM9OKPwZ0g1XEfsTV4rXCEnxVfewGXD4bLY/nvR91pHQLHvPXmubPTCrBPzy7i/vn
VbWaVCsXJ8MKqtht2jYoaD8j9HNAH5g6TJdWE+4StYiyK6f8zAh5xpHG4oKDJsxcxXKqMQwNpOZw
FVIMdcgt+S/60Cq7WSn6fy5P5pmTQOGKY74IGC0l8ONN03YGVYCwz1xw9IbTS73mpLP18z8xQiaa
PAetYOvnsCiVAXi+dlGy8AcvzEURRRdrvnKDnswa6ROuMep+5GwWoOvxUEYebxQX4wJaXaF6TEm7
u2JTD1v0sPRvlwd04iDZ79pSECNKpJ1njW7L67xewNWVGxea8uKDzPL30TzR5OoWfi1CiBhUgxk6
6lBWyUc8dJZyZYtQQj1ZOt5PQCUJkBckCM30x+PlOZfQ9JlU3qSJCX3gwqykcvqlT2ckWRwdelBk
QfUom2H2pH+yiWFhNTNRTxyJ0p1feVYkSpn0PGfKFH6PErAY6n5IzVJ4DREHKttv/pTEebwzhL4R
fuZZLPgm4pGiLyyUtH2exJ44BKIPxe+U9xV6BD3l3njbWnGtvPRjaaH6qofhsHx/OFfKe2WEWftb
asVy+DbLMOPe1xlKVD+rRIWMWe6mSPJi1MKq2I6lNs4OXRlHB9GI9ZjiWNxPb0ghtRTI8y6oY2Mj
q1HeOZOU9APspeCP6jsxXdgSYiVMzVfSO7J6o9NLKf60GnqfviY8COGfL2iLklDqTq3McPtUiLuc
D1+M/qGs46xFN7zLh2dpEnTaJYs29n03o0ieOEhzWvXXUVXq+KEuNEHZpZblkyBkLIX2XiHpqcyu
Al2zoe1QSUE6yWv7eISZMxVTSzV2ddgIw7bNgFrZDTH/GHoSTLw002ZWZWX2NKFk4hahj7Rs0c1S
/jMtc12Oti1Mgd+qhuds76Z1UQr34GUL/76NLJSPqk5qIh4qfcNH1UGWvEldINLUqsx5Pj+Xegmm
1QqgjvDGRqxap4OyM35sFh6aDM0oobO+aVDBNh8l1L1h55BkyrvnpohJutp9Hqd1yFPWt6RdqMjt
+KRHY5vwigjmrqJeGYsCsgqpjIj3N3000uBrpJl9JWxgEBj6dJ92fRc+GmFX9r1N24ypPg6DUaSD
3abBMMXOUpUlxo7gVi++1QYd+7y78tJqX+dJGfwRLQJtFh7NRgnSf1RubDlwMpRYgsadhzqWTSr+
otY9F3ooar/keYbGlqR0A30+ysO9EYdOZPa11DhTB41/6wZWMQSY5yBbL7E/ZWDWu1I35+0UaHn+
bmqJGCc2eIlw4m5JO2P4wFf2MkSnnZrMX6rOBAa5FRprahRbjvNaQ+ghaJWutiMT0adfTZ3LGlvZ
16FdtgU4v8U3U53mhp51dZzr3oFqtprey9CapcMgl+r8Vc3rLnhWLL/NX+huHVNXs3xhcGiLmA3b
FFsf1vkimuDchtKJhn+S8fNrKoAead2i0zFeD5VxO02xrr62sdnNG+S68EAOsLsmFF1aiaRAgEo7
pfKK9rc6Te+5ik4D+mLiBE2DbSTiDEQkj4W8Fm+UWs5Ky1lK4Jbohq0QNr0nogEmmPYsJ9QCbjqB
Tk7Lkfqsm39q0FqHpuuHDSggWyomEYpxIEK5ScecJMyThNDHnA/vICwF9L/oKvfzW5QdBVCq8PwA
S7ahtg6S7xqky3C5G4E4i096WEKeQNfO5FuxPbdAZDobB6t1/2TxFIehLciBVXfOgodomgMs0JXa
3ieFqKX1vm7TsOy29UhrcOP0PAoM3S0V3dduEaTQsw7uoijMwz2U37B8uylM5qUNHW6tObIqCGXi
RN1glvJ+VjLc11c/1aaue8oTpUosr8ktY5C+1n7B24foztSUeKlJCsbd2M7jeIOa0tzIXhnM6mAP
1tRJXtNM0AK5ljDE9ZcsrqZqV8HnAd+3lLVFEtvoAAzWTzOTqXls2njSf7dlNBg3kpg04ocRyU3x
AhmyWIH6A6wE8JBG0uKnrOCTbbknWnCGMer7G1GHufBl4oHcvYptUafbNA10+aYx4aNycF/iD6PN
IDiKuqnc1/6cbgfNlyCJGFBysvVgCO50Xw4fLDoPNnJqJQ/U1UrqPZlhNdqLGWlZ4pFuQvHNpuhd
hA962Q8075ZKpQpvskLu+x/GFClvrR43pAU6QbC2fCxKDsjwdpMDDiFVtsCtxfSmmXJfc6H77mBy
jy25elM62RSgJc9Q374VtMRKn+QkSqtbiRvY/1Kp0Tjd4u/Kt1mVpvA1yK3Kh4c9MrPHOBFM47Gt
xNl6AwtUFZumQOjFDaWyn7bEqlNr92MOaNSrhMz/VViNVH8BthplmzGIRusHW7Zgz/kScJfHWpfz
/Kflq7FOY2HNPHjF3NfKr0jtyU7bQlHL7Gr2iDg+akpGeQqhzlZ/zqe5mg+hEKu09sO8nCavfmC2
Yr5Th0ZvjI2o1cEo7UYeCv7ozIMZ179RkB/EX32iVvlgh62kdoKD3ooq/5DrcewUOujzEYV7OjT6
JnVgQgoCFMKtMNLo1SjQfY/tGmW9sXH0CbmsX0aXiWJqF2bV0C0bBnJrfa9UuKRfjUjNIiIGpO0R
CQQZNuvwwxcQbYNMkbqszXGk5lhvTbNHAyeh7lHdRYI2oETgh1AGQRuNPwd60HTvGbjQ2qaHKupw
jVIiOQk4EDCWUgF3vjYWEbAiMYlU83UMKJy++kh7/AzyMkZ0UE37hGxwKb1KAhkzR2EvKo5RBXX2
T9PN5hMAL25sKxPD8VHPh3EXcL78WzSAwtzB+1RvpkThlwu2T94bQD2o3BTxTz3S2mxXFqPyWA6D
/kjjadD+uRbeA1OqR/ocG/2QQ7TfPRMpmKSk0V7LttUMucUWQhMUq1CXg19dKdBD2s2NCKwFuG/2
WkgGizXNwh7ZT1FyyY2GInTrMB44APGgI9CqNI03sY62F6+bKUNKMZ2/R0gJWfuylSvVK8NmAILd
tplXV1Ky0dGpUDeqmAdbHh+whpRTUoqA2vwqdMssL0SnBzTu1lQvuu3A9faOMuQIV7vPHeNoSc+i
RFMKM1APqrV1pnrokn0T9Qac+70Jdgy2OCuAQWgcejeClh+NC2gvJiS6c2OXwNo9QlkzmJIrClxD
KJ1gyukKGRGeXOp81amlQhdcZZRHCZBdED7h7uRvjVIg+CNPVvMVWcXgqxaM/u+Qys6jVEN/wowI
grgJo4I6kmjUIuehiFEyscyGYBXimFK/Lf1sTB6LYs6braw2cYkKCz06m05p5fFrQqd55aqVIcCh
rzUDZaCCrak3VqZ6/mSKhRPzMw/LOpAJn5ICHnffl2WHGAXlOHUmFgGXOGVcIrEB67med/J3a9Cy
m0ApZiTbDSbKpiunVbaRMFd0lc9R/FGwNJETDamAbEaTanzaHEiRppU5sL8skVEGMbNNrKZ8SRqW
GDxIzDy0lVgKXms0Rf0dMqyDbBtEKkAwYhOdMEtKy4ck1c1wY8gxnDZW0+ntRikaRDgR/Ussu5ib
YoIMHmSvLWhSqHL0M1Hz5u6/ODqv5chxJYh+ESJoQPdKdre818jMC0PSauhBDwL8+nv6Pu9qJLpC
VWZWZjc8b9HcBS8dSV1utoWiXtLORMOcNuVozF0QFQOr1oWfFJkqtsg99DzP4X7cHe+yL+ouuOr9
1uT8kJB0l9Hq7sQ1JTzDJVooZvNeyfaEN7x48JBW9d9u39hUxNRM4m7MWhzKYuSf9ZsoaY460XR8
YVQFBUpxFd0kbR3JC3rcWKxpm6jmt9l9s/2GGK98dO3AeVKXVeUf1JwkE/FXhcO1uLPK6JYkjtwb
co/r3EzBmxfYOb5WOXsAWenr4nmPCuWkA8r7G6Nzmku9EZKa6X1IvEPYy8JkGE8l2C6Wpnq0o+f9
nWVS3lYkFcl0cfyCKI84qatM5ZrCuO2u/DN5jv0r+iZPUoGdl/vsrQuWBQESh+6jmUYNNtbMy6ru
+SwtyWrKcPKFeeWIx5K+9nVfBdYuTu9VN70brOQB4PxNw09iWHEoijL2L3lUAYkIa7nNvKoqedas
m9TH3FRLnhZw1OVltYkxPDVIdfD/Z40pOuVLDhxMNCxJZmVv3A+5ibMgim3O+gQIOROBqlGD5qYk
pdbTDj5EpLB1F4J+engva39LhzhqqmwuVmoXzEZE6s3GimR3ObHv+gj25rUH+CPtXo3R4rIhJphZ
+L7CSugLDM5NfalkPA039CpMbQ2PpcbeL+Hfceo1mA+zkazDs8BSvkPrd7+euxf/lUO//Yf9S/m1
FU17qwK0eSefKf1xr9fmVeWiNQeHF+pjJURsJljSV69TIxxqZkcgzSkyYUtT4OSJOAQ0FP5F6Bq3
ufLbbn6FZw+KPWPeZ3rbyaB9ntixs0c2kIZDmdchZ4Hg1MqQ8eKPlbcyrmgGFQOqbv3wEVYec4qd
ZabkhEbfmU4imiLzp1ZJ3FwtsqEdXrQTHclr5RxK50r5y3HAr474IyHKz7pgcz5FtOZ0r/Vqt/mg
SfLwLyjF/R0iipwVX2LFWbtZCZaRe41XAEKK5J8zeeafQ6DEv1kGTLa6zknoWJ01gLSMZ84zBHZE
4Um38455wHiO7uVsGGncbvzato1Nl6L0ybqek93/gSxhBloSt6FFFtOfOI/6704R7Hfts51+4Tph
XGXA2dOIFwco8InNlWbI6oBw40NZju6b7nPN59Lvxd9QDdt9uMv8K1mseFp9b31KRLI1FwMdD/LJ
JWCrOOognY5VXY+nTXYzSdiuifO0XCt7t43kcpxauZnvCEvSJg2IYfypfXwScHohD4JYcy+6aJ1J
OwA3xf41O5JUOcgdZS51M/vf2ybX6Jya138NFI/9GK1xfefVnvPPW7vtXhNEw6s0zuGXLtr6lcxk
du1X2c7Xa0gMLp/tSn23aHz0JUmnkT2MW9X9M6MjvtVsao/6Zu1L1S/Yssz93pYPdTVKaNNOq1+3
nSdLdlNClI4VsiWIxLTrjejMMDEg2PFfEcr8r/WH4mnlCH8M23L5LJcg7lLNXfuJxmW6Md3o0usr
nnmKBwuBdm0j6APbtjyv7coZ2QJZuS1ZBCXhkcnEGJ7WplmYqmx5HhPioHp0vc6o0zmLC0TexdHo
pGer17QeqyC6gLl0P8OlCUL8SWbxIKeAz91j7TICqGKGPxjW2qdURiZiKkVJEMM2CZuQ+0FoE1+y
6a93OF952jwG+6M3LtCei1yWi6jmXqfJ0i1h1q8eYY3rHPGS5VrKh3yMyzeUF+3r5q3gQAx+65z6
QzI6aY4DQ5h2YWyem7YIfnWftHfbXM3FNbmjvjwmMU3MaTJdvGQNWa7A5blLotUYtcvJmCR55Uzv
q4MOKnVTs+G9XE19G/7ttS/uTC0I/nLjsnwvaFjX66iYkucyycnH4fayYwDGEuSZLcfxGLsmai5H
V6qa7MJB/hePvkEEpPL2Ru7T/iaJmV6yKSBjCcsjK7bU8mQuOqjI7US69f6RF8aaW6pF0J0Sr/GO
nYyXLRuRTNDODgXDXc7Fc3dsYj8Yuv3XoPGLl2Zi0Tcl8Crw0kLQAxy8xjr/2qrublj3O5dw0Kvw
NOlqiDK2aJbHaLEa8168HbgB+xZmO2tZD/i6+SYrhz1UqY5FOB4L2vaAIBXpXAV64zITliDwguw2
wpL4nuUPDF/+xxnk/C6R0/+FJrA3RbuSaraUbfIeb7r/DySwfZzWofuug92/6rnMKYMlZ/w1sES4
ZaD5Rwe3JfmVr+Y25veuljdK5Mt2zB1fe6kr85E7S80AB/GC+bnF3INh30MVQfWMxkfNlLqlGPnW
7s1gRfBX2zm4i8J6+mqrRr77ERRaOst2+W5mnKdS04J/ZnPXE+Ijgrr10mmd4y8YZprktUyK2z0Y
zZRabuIdYR4E7ZDXtd4Oa0GT4rire7B51PasdY0iTC1zx6dAmvUZV6Hk7/YGVkIQbvQXcqgJhrJ6
MoxArJUy/O9VP17kndju8vgcDBJCxS5E83hRkc1lH69HuiYS2Mhhqj+Q6eeP3hpumvw2MNisK85d
2yh1f0l4oz5HmoZRnxU+C/vXMdntX5628jXcE0ntFrt66tUSvweF79qrpCmaV+LH+p8FifUd9hG9
PVVhlZi0xwXjwzEAqanHCczyfzW6z61WHAF5iXUmJTaMngxJnO+rPzDKoSKWb6XWHB1bb9n6CafG
tNeLU/s37cyQTO/r9+vBV674qOIeazpmhpyBNJaYOc10LbfdrpY5HWQ76pRPPPwWYmuLYzlumB/V
TMRZS2zUg/KZJ8CB4JQv2jGvb6cdo4SLXCTuVTw30W/RSXWNfp0uptW0GO4Sm1eQ5YgoNkWAWmZi
EZdESA4I6FsAMewy2Zu/qyCbfraWNKfTsvTeKQg1Hb1a6r3KvGmaP51xSx5DxH1o7RWWJGkTdO2U
Jfg/3kBl9kEK8Va9FF2zEN63KK/FlFXTe8UYR/np4hfdy5qQK5p12+Dv2ULA862MC5twFC7Vc4wT
b5R2A8mvJz9e3RPPeCB4lIi1u86bxSfiItbdWXr3CPZrg/m2ZTtuu2xgiV4jsU3lNc6RHI4lbTUx
tK4Rl0npGH3hFENEoFkQs6UeFBQZCVh2nbvt/jAv7Zgcd1M2N1bZKWAACyxxcsLOD9UWcqqpqIDG
JG5NXVYRRNFxR3n4EeTD/jWShTYeeIbN7WoWzz0k28zL3TZ5976IZvhOulYWWUiH8gPJYO/qaFvK
AzOzuiefSrSPDlYMS/GcDIDAB9P7C8k8+VpNn65vO9qOapXrvcy9gkgrFY/2u9mFM6eqWfgKiP3m
KTi06kyGs9/4F2cBACvO1ZT8hEE1qeM4zfv2ueWr+xJDHF5a7ZR8OLteP/puS346wqzKU+wq9YZ5
unxfe1FP2eaL7pM8OfLDHCbuPzthdRgvEbd8cqeQtzQJ1609inlNYoJ4SYO8nMC659RT0t1vizah
Z9kZi19COQMvusbDGcAHwG4P1dDEJsWutDfHOK7J90WC1L00BuME7NN3JYjcLc3nImvaUC9yVXTs
Wv6YQ69HfrWJx2g+OLs1dzTPpF8p29ox60D0qiPb+V0HpjaMX8LqMC5+2v0MKVhnHJ/iWsTx0cOu
h2ZjG+2W7VVA2peOCGLMhDU7YZJ2mAgohNP+59nIwfqX51B5l0GyDX/HfMXpNI9WUhvBmBlrLCGA
ID0i7MmBlp5osen0fdAhzPVAiaeh7DK178HjWm/NrXbEpg5m2RiFih3ZHsGNE0by5bQM28nz6DFQ
wBTIgLuhmxoIGqOe62n1HP533d+7fk3fZuvd6U47qK/MQlWFT12LaiA1dh1A3Mhuu8eWzo/SZQjX
/1iIN2QAOtYZDiGPeSBZXpQAVkNSPGpyk5kobNc4FxrV7nYIDA6d4NBJPPHqePKuzfP5GVKlY7a3
vXLP5bv9qoxcKdNYNfHjFd00YcaufvV2mTwMnVnMBXL9+nFWBem6AR4RT0uCgSOe3guu7yrcPOgq
t1zpBJzZc8VpTYCM3rqyLtB41IUm3LJX1X7XyIZRLeAY7Mg6WwNzHHaBeado9629qabYvZyGYdHp
AP//WvJWEY4p2rgEq5B9QTGu+KAqtDJEoCH3YhANg+KCzMyYsM0QWcIhyOulSGOMx/MsXHPzJVW7
OBclU+oVmKr/0Edb+K/0E7lSt4rFZvM50C8N2nZ3Ts1eNPthIpHtdQtEJ1LXrSzZoJTxCBKmirps
6AYE3/acwh0juvD3DZgXPWxzv+GhFmTwtNtIt7/Fd5BE058ciZwD4Q8Ugp/ttoP6uQtEQLWNu8gs
EeOPnltxNrWubL9FWe2AkjJpXnMY+uHYRSKxhKSb+DExNZ0T20VTmTrOvIMz27a5yn2Pvd7FQMuk
Ac4M6hDRuU7ZCsdH8Ha+9wwARgZTFtSDfEkml7naZenyGcrHBcIY3ZVGaF1JeWxiOCkbLcPjSnR2
fcCTu7nqyLgvU10IPR70VupvL7fkPefeNtzWTde6V96Si9dpl/4T2t+9S4MlT0BYHTVNxw62727v
AwCwsgiWP/8nGdJEJ8Ovt07mQah8eRN5P7bHZBpJgfQbjtNBm/17s2J68K0qiZHGwoPhwM8fBqtC
SlDee2+6lXj2atCny4ik6p98peRxqbxj8KL7eliNmv5GSgDM77vGcWuNy5aVZKxc8GurgyPnnHyA
QZufGVX3IfOLwH4gkhZ/FcwEB1lSmplsTlfUdziWwicVy6hfBhuXFr3/TvTB4EXT7+Tg2UK3Hv4S
UMr3zTAa33vk4IL0Tmb+Iwh/BX5aVueurc+VxpRl/qQ4Pgm5XVx9AznC9i1CZmIp82p2wzsT7DKE
munaJ+Na+l1+pXrwjAixNtScd3GkKVZTFDrPY6xIeZ/zyDMQTJ0ODkXUAlNiox17l+soscoKcFgJ
Dour7D/u0LlY0Wo22QCc+uZuJWBpszJtpYEE9iiwJgkuOQRdcO0uhwj39q5/as5OA6dEefaWsucr
xg/a+zSMRf8vF52UmTLlyCis/f65Nsm8ZfDl1XxKpML0xTOV+zTRgjhZiMrncab9nygHcQn5xPrI
yma8cSaa7MLgAJ93g04bah3rSbqK7JVkI/A3Dupakny+yi7jJbEfeq3Fa+HWUwUVPE1fqslBazVh
ck26Gj08htiT/kycPA8gze4jnr299ziihc+B7LqG+I0zQ2xq5U7vOcifc1H7dn3sHHfubvJw2Yly
5/MKTywjwv/V4mx6fPYbPnbzTC/vx1VSoeaZRZUhsS2/VQM2yxLlxEArpqaBJhqa8tFjG3Y9Toue
jkU+Q/EbpHzcX0uAaDa1TvjUuE0zcqsLeoUeNei300BMH9VMKc5sbXhj496J/i2+Y5+lXfV8M8Qh
R45l58bNIh2YL3DwSGYzIuSLEOvb8qqSyOPPxxyemMPQ+7R/fQFuhw2Nl2fAuvtHbbT7aRsiPwlU
bsQNS+/9bxhtAM8YPWO4WkMBv69tpKO0dTo4/KCIxqtuFvzL3aRHWloZtUE2NnHwD94jgO1ARXAm
izt2rpScGbMwjnd+wE6AxRVFTWcN9KF3a6fO+dMKOXpHQWZhlW1VG59x5BwyPirBfw94yfXPzebb
b4OS65MLIqWFYaNVx4jtkDCTo56Xiw3/9GsAH2dLe16hF7ol1R4KPxdO1se78C+su/ifTqCqN1Sq
5d8VbPYTO0+3vICn7t7Gugp+p70vTUrT44D5w819D/0o70wSj9t0DHTi/iAcH/bUy2tMAEijkM2V
07TbuyK+K7j2SpVPhwU1CC8yi53/+B7NCHo4whNXpKTS4qG8GY9hI8rhOE+VvJlxm4BuMkr+5n4H
EuD2cX4opy3cTlG1oyas1sARTAy9mIu7gghirhlmQGSG99We+nUlSLXj2V0rt3fgklnI/G2GbXka
1E5TK/I5DzILXO0fAxWYOhuc1ndu9ryd8hRjouBTeAZGSJE6vJxqBtjnqBEk1yeBEPaqIh73FTks
zgCOW9IbRD0eLv3igs4U5z4gLfJ8eGiVP7QU9029iAl6jFOaxI90d4foyZlDXZyICe/+RgPdUVYp
wOq0FUXAeea1w+symuA/di7AZ1Sz9lE6LYrliw+Jk6F751vr7bfNRFgESbI5aJMugugBre7QHGLO
4R2qPR4pSiJYWa/TuEOcCgJc2ou8JeT6xqN8gDyX4+IeyaqsXuumsMA9wSaqY48uSQLnecDKwxLu
mWdX1MNuszdv7HWFHUnlTVHw49N+CJW3LylHJBzHyknzO2OiKw8wPu51uHV5g4dlEl6HTSwMgP5m
Xkpu5duw7ywZmzqp+kw01L5Ml16J5bDqx+EEJFQ8zuXZn6PdQvdNOOX6zr4Hn59acwQothvMfChl
PMusEANSDJnH3tVc8/19oROgQMpIQXR5PsW2oc3i41TeNKRuBcSAuQniSHwTZ4bYKhwXsoE6179o
F3zfOA2i/CgNQ0QqG5uclF5EfRvYLQ/T2DiGPF6NM1HWKgDVy9iGwe8QjOW7oqSU3IRovepdWqJD
jAZKPu9Nu95a6fTVLd1ZeLsNTqQuAq00qeEBSetHOgfQGtfV7nTotCcAYPaCl6cMgv5T25ULGf2q
eOoYut6JYB9Z8RE9Bgd7POR/mrgYLNuUexRlAP/QAFC9080w0KacOjD1JmsHO62sz/rTvbtu/Q/J
uUF1Y7wwuGT7ev0hMTo4Ol65jvdA93BeC0uRlqI0hv8S3VX/WbjV3xb09U0OIdKJfMDRJ/Obgu5t
GWnND5Ue5MOC3AOFGBwsPkraGigHLZuMmO4ZSq3cpq+o7imCawlazkmyRBOZ09XMo9giXv0lHpQk
33yWbwnSo6+ydc2bM0bxmnaeMl8Kk2j3UJdaPNFP7ChURv74KO7+SLlOb43pnSSlVrs1O1DoTlCO
yYmmxRZDheVRqHZmt31e0goDGKAGHOSBuYZoilN3NfIrcBf5x3ei9UkKBtR0jvX84zmFoh9hCBoO
ObTmVccF0tLlq39T0ZKSwl7puUezgm81Zp8+xrSaUO+/fPrdcMFZWH5HcgsW7KXt7uPzNFbhQYog
qg45N9DNkOVGfKs57wFh0H6FbBnPMPjzAcFWeq7JLK3wgGU6ESt1q2LgThi5ZnjDYKr9rzF66lHh
7+2Dauk8j1YXA7QW9G53SGotzcnU0NqjCTsiy6NGcmU5W6LHPeeAgRuPzd+hcZovBgL2uKtO7K+e
ax22VsS4vcrC1s+e1S6gkUvMOcbnfj9k6DVgptt46R/0ko/3nfT8P5Ni0n8CdvJlNqK8+mvZrPss
etu9zGFDi40CvEYTVuX+WxnYng18W/n3Apq7vOxVMX6Vuj8rEJlBmnTDxm25WB3ViFSvCeeFsGsN
nQSZ+BqGiFrqEpvLdBvV8qtZuPgbMoKSXV75fJ8+TQLdBBxXcuzDrVqycd6LP+7iIiYaYHTOqRol
dEXQb9znqsN+Ol1Xz30y/maeOsLJBqBLWX+hqGMIsYv+z6As7tJyPr/F8yyr/nIfGvXRQwjzQiet
qTIBMOCkcAdlkgI6AUXtYVPelcugomyS3sQ5vPFDp7GUa0m8Rwk43jrCtpeyyxEOzYVZCH/PkVjU
Z6F9KuVWWvRoq/hgNm8f/AComztP1PgwLcUj6zSY5+aukleeu4ABT2eJEh9cEGAQ2fRrfIgA1d4A
FYdPp9i84Bg5Lbisnir3Hs2kCjP2SgCumNdCWOnajWxGnUW8QeulnuxKRMxBjD4PvFygkg98Amx5
FCj2PkTpD+bgl9a53AT0OzW8MF/xEOSvAV0M9ykU67fr77D8LMRXxMy4gWVQF1v55uZVkF9jybo9
qBHHmBOfAoUNaR5nZR+QhQwDq8eCzt2fwJu6IeSosP10KyS1JY2WYmkOSyvHPRWhzR/Yt9DP2ouX
by0XOV26eIbcqBYqns6tz6ElZfAFjrdR/qKpuOx9NuzBYqv+wtlGlD1GiuGGS52RNkReWWaWlavf
iveH34CH+2l2uvDfIMs2PIpJq69zeWBKg/PAy5tO4irKTYetIXzp5xhvLvsOpV8oTigRA8+AUdy3
E8sFyGPC/H6PWhL9doA4tAjl3utDkvfFQEskq+s9UCDYQ45OHQAD9cdpFLa5b5Kew7Mbu83j9Zn8
6yaAc8LzxulbZqiweXYWU/9s/R79LdGDI8gsfed93keGoqDFdUeaErVN4TnsGBark9OWh9p/5y2s
b5Hi/5h8bsfMVwPdXlTRn0d77OEIqVrnsvYG9Exmh+SkYNdjSZw8LXuqBZNoWkPXITZKNu8KUU4Z
H3G6I5spVML/UojhqFY+x3CttHNZziOfBMB/8jh7g/84gECrQ7752+focWry8snt21PEDaV1U4c3
ekb7laqkr942C10GJrUFd+xgb7zhiCvL44qwb8IbapBM81EDixFOrnPNg5vQajRGvDaJKRCynQWI
fUDi0IUedUXBzdXnxBLpx+bP/b1yKuNf1u3gnJQwi7yguI5NFi39UkpUE0CCxAGBJ7T6ulHwn+6Z
SURTF6cRG6X60iRBB9/QVeFMBfIAewlKYdEBr3zobe03fE88hHxCx7QEIcSHju+arSLRbPaBx+9Y
KgM9UKYJI7JlJvS5wBKgFZwb5XLUQ9T6J5KCgLTr1Z8++trbfjfFGYQjF4zzoV7s+BIlrmhvEfpW
NzXVosui7TxVwTHzRyCXqYo0ovf6wIdU3LC1CI0d7Vv9JUu5/cLx8VunZm6SA7hVGz9MsgMQJuFw
Zx7A/xbWVcXB9M4e3BDclEFf/UF0sCw0XHpYkcxUAs2IYZWlyaYBBdZlAaQ237JOO99phOZrFgN3
7ZckJA5V+QDXarxXFBb7N42XRg9vIpnPb0vRsApynLDgiq4EVP4XLt/bhyl8s17Aycf9IWEqRmOx
Ctwhma8Bt4toF58JlmjYdsVhcl+uTVKiBitjmuu+f5mh8RFWOZXzLZBHqMNeNUF+RBySII1iNO0O
ckYjBNN9/gDkajEr9FSsxyzmTAnpsCOUZjB9yevSj/HTvvqbA1m5c5lsKI8XKG23u13PO/DbTmU4
QIyszwWi6RV+yG1GMM24eauwR/APa99PuP6gAqTJbDoLVjwHlJzJbRj6Y4QhLpKxZVnQpYiygWIQ
vDbwt9g4NsMe5Zcj2HKFSRENbtY7HpQhFJwKT9iODXgzYaUWn0DuG84m34Oak8jI8YybdsZlNWkP
0soXxQvN46aPJQ6q15jJuCAsjhKC4Xjm9d2Mg6vCWHc2TxtLeYdHBPC5whWcYRrBSYS2a6/dr6Dx
GvaHFTaauK3qxhw6X8v/yl1RA0VFGk0q/A6MNqnRAKcrxfp5asf2D8JEfzgy1Zs3XZRdeSVovOE2
qsF/igoPhy3jDryRS6gWF9bQde82mpuvsdbxC3bBCeIj0oryY5vsrHTuvrfcT3Hl/S17LwoOdW2c
qz0o+uFhSvrpabMqcNBuxCjY+3Nr3+V+M2XSWVGF0ZELNq9VOL+rsmXOrbEFpcgj4swPIOPyiXIA
h8SOGZJcX7VCIH4T6yNlateZXzdoHIcaR6Nt/P85IJdEp73TL3eURnhidET5B5sY7aXFWdUcEDxA
DyLzGT8t+3HzYUTwNl6Tm+L8K4yK/QtHgPFlwAQuR4kTkiBJcRHx0d18xk+Mx5f/usKbNxrqpnjD
Y1c/2XLSnDBDWHyNi7X/igiZ3amZkuY74ZCejiEfFkzEWMcjFjR1hC7U0nJmvPGQ3bIUfDdsMdD4
MXo3P2D06qsfompLXazh32BxwWi2ebF3fb8lX3i/oOaBMQ5GWIC9RrLsi/i/tu7274rZiqtyWzRt
axdpmdVVHSxnOi/QmVNF7d8Kb1eCe9yddXsJUgfrWZ13OmadIBZV/d4hPnEcHn4BbXc9b9ZbUify
toDvQIoSlVFdTMd4SJBdc7YQqRQXci8yCNnxnuQxxx4iJ3Rug0IRNlC5W9tf0D8272NPVaaJQ3q0
egOlH8Fj94PctH5kr3VBZ1h5nTiiCM8fF+pTmdHmu4xpVb++eGjF/wxwN69BCI8gOR1vu771n+vW
l+pprLcVq52k0vbSi7V5mct5xgZ1n3xsgIZ2yS9s79fP6+DPIE+bZWnFOjtoI70Lpqm7FzfxkSlJ
hMdK9oyLZh7D6eAtfDXHYqkM9THZJnWlpPFW1nE3GSdgqwH1IfAX/nPJOs/PUO2DyPBa63E0qF1b
f8c9wokLLDJ0fqeZcRB0kVT/bNDN/UpGAx61ezZzUQVYey5L5GQWBQzyhsVpv7fJ5K85nf5/mEKd
YVZrNkkhoAc8sorjf7IPgtKjYz3oc6wMB/m0uMnF2G4NLCsbQt2lQd/5zKwyEGxcezPy+YDloM3d
RzebWzYR08bz2haFCSDJIc9Zk6GPjKJHsGm6zYCtgJt6Qn53qIiYjCEPVo4nxDX+m2fH6tvEKHuz
to3octn+m8ZsdOL8UdUSnRGdP00utGvZnHq/C19E5yHkWTENeZyFu+zZGOfrlrL+hpppiJz+tYkq
+zdeQ/clhNByjm6+O+JQJgnkBNlQRZU1U0dr2gpfPbnxEj+T3th/OmIOECz1feFl1EPgQ9Lh1C0r
aUKx1zz5X/jJI/hEjttdTSxe6aOL7/uS8fc4rzk7z9f7vvVoRABQ/5ubqvj0QNNQ1I6mq2BiecVS
z++ERSmoz7pLBG6IA5DAv+fKlvKAImmHho/i4QKFPT/po63rOfdg32iOkeSnq49P2rGYluh+qQNh
KNWtG4D91fXHNDTVa5I3ySO0IYjLlue7OANcpk/jULDaYipJu2+pbF80DYwaHirLdOlZdkhZrMq/
wxKo4jQnYy0PFi1Egs5rsddyDzu8LpzzCVM7Y1sdpS6BZVsUHf7R7eLo4Tx3BhSVdb+a+7mYsnzV
YHv4N3m3s97ln6KhiqUYXFYkEDGWnOJpoJ3BvHn6t7Hwd1uN3eId9OTAl1cxWwXcaV7ILFjGok31
bsUHC4g8Y2OxRI+r3X31TYRVy4ju0gMao0VLt6b3WLxpVPK0NPkepAzrJU1D7rp8EI4n/myVv//J
K726CMLPODNmcOuXrGd/zPYNHCbbSaDIz76CFsINzOixs0MhkM8yVqfWj9w71sWm+zgpEBxHbkdn
X8hoISwqGTZDpYee92YL1bubZstPCEVlcdm6c/IkVImLRpLA2N/4eoPNgA6fDzllf2bFgrP+yqtl
ItJ5IUt5UZNgFl2g3Y8Mq6pmDbHu+yfPusgC0IzNLNHkDnwXO3LrcTSlHQ6TY1yZxTsr0Jlx1vVL
+5vYjts6ufUpKZOGb6pMQjotBKg78rmiqA8ukGD1nykAZo7rLlyddT0L8DRmtkFykYxedY3/WNLd
bbqKH4OqaceDr/eWNa0ejd0DKz+Q2it7CtyM0e/+cxvlzidb7rk5WANkdSpKGuODy12cDjtFnN6i
hqXixraDcEGFvPy5GiN6iZHoC4HQU9OEWL7V31YZAtUr9j6e+8Xi8HKOAbgjEGH5QDMrISH7Obwb
A3jnzN/tgLQ4Hmq8GGXuorylcqUCIuXezV0kLwYkFSXehiz70LI/9F+fD/ZP37r1g0SV7pwFg2DH
oLERg2g//ItzzfAHrgtWCHpIx1UHEDZL1Dp/6fi2JWNEUf/j7Mya20iSbP1X2uo9e3Jfrk33A4AE
QIoUSe3SS5qkknLf9/z19wtWzR0iAENetlV3datYkmdsHh7ux88hBB0a90GrjFo7BKa7fAuVUb2n
xXRQ39BMZvw5WpohkjMZ8Ey0hMIbEsPRQn1ULR5oLjA0MPxGH1FmR+BgCwiIE+VMifoUIXqQbktT
ZcEGVbU+9G1DWbnubcq7qdp6N7MSduNhZL3fL9zg09Ekm3GTkD156oyBHBIcZ/0dgAhuyRL0yVui
A66LTG3LYbO0JDEOblw3JLB0ugnek5PMCEHKQQcvVaTuk52XgGG5bsKHOgNJvBmY5c8g1IcH8dAD
iqNm9IMpStk+0icZ/EwrMsjbwZh4YZiTmwETQVLlqxfNHOawimYHfFZGuiJPINb1YcMzf2Yk22CG
1avoQ2QWHS9f1au/wjNkZyTZiuxnqNUNKIggJaVEN3dWgUkvqg9aCQIAJwv+wrTgPN7ELaLkO07x
/M2b7WUgjjfAgoykai1QOISN4KTN7J0Z08uwpQpl/7DcxnniDmqNfRmE1LnZuo2vdmFDiN9URrUV
3nne6wnJHT+ZOtLYlrsAjIzc/EFgUOddNNXTPZFL0drHkIr27Eem5tZQy9XKfTtwax7TsjRuXHIi
+saFYJ4nfDlV2kNLM+CfTaAuDzbdot1mBFjRH7uF/NsjvWcB3KaKUzI3kWmVPipenXO3dHZWfeJd
oHxSPBKjlIEqFXy+nRDldmOlfc2KxVSJAXke/fTCZFA2PL/AKAYaTVOHqgY1/tlBNdSj5OIVFk7C
IDUGzjYkCQ8AKJ4/gi4d0NvwaF3aGxW9PJuyn9Givd5xLbgEXpIbIB4A9Sd0Darn6GQhpebuTJst
rwb4Q0HY1L8pfRls+rTuD046To+KkkH2qgQhS9f1uyzttcN183LDtzCPVivt+C40tlTBTnut6WFt
OmAr+YbWK55DGVDm/qiCEjTo7qweqFF4m8UywzfNlAELvm5cVhVDYA7ruqpSdTRswZ9yah2dMNui
dFds0oAr12+0gIOUIwvop7wqYmBNZNFCOrOpn8e8qOgR9dMCtAlBDAnv2u6+rHyR3Hsuf5FEsQLg
OaibnOUISxM/TAlzl4SeviVU+lQTCuN4qIU3dKP5WTda8Hu586EoyADoYwg0fCblAJ7EW5kpmQLg
+bMQMRSst5pxxixWT3jo3uRJXOQh6VZ650KAHRnZyLQt7XJ3fRZkbghhTTB8OILdFEyMRJNSjWaB
zDtIEODA7g8zdgzgcbRLERZO1vQDoV99hUTn0jaEck+zLbEHNUuivgAg2ZZpSx2edkD90QZmQpir
gcXt1OkG9Jx3qAp6t0vDfp38g5A4tEEa22IHYl+TdqBb0oEI/oVyH0R4tFyR/o2rj7nJXXBDJojS
9vWpPR/oqT1pf822QmNKVdF4WKgjL9pxvp+x+wY8hgFWvO52tVvX7zwrC/fXLZ/vbCxDPmNBauyg
RyW+7AV1YztbpRab7GwUktTbEGwrF29VvpKr5Xk+EQlk29CRQRLn1AqmY8OrOdHGqHW3loC+ubl2
S1F+fO+At17ZN+fnAvZt3AfVYwqCrOapOdf0Ai9X2KlNx23WkRreknH8THONdrw+fednwoRnw0GN
nHIP/L5iel9MH61cTTPF3A1Brdc3RDD0YtE+HG8BeNKV3JDOXZFdv2jRgIiJDnhaE2T2Qo0Xdp33
nPkqUsafwUyiy+sSkUlsovQRtkZ3hWfk0g5BOsGlEcKF/klmFx9RhDCp3OKNm573irdUbbWrnHYo
/oOtiAQRnPCaabJq0lzGgMmJKJjLpXZqsM6dB+ZoqlesXJo/6Mo1wFOooICJP12x0QGnm0ZY6UAI
2LQWessxifTGn8ixUsEnF3Z9i1zajJ7qgR4gLMObSSfMLhsrnF2xRbTBexoLiEG2Uxg6it9nBDUr
nkQmKRInzTMclVk0YY2QZUpKr8+Igek8brQw/x5T0AMfmgJdWao7ty2EJLHSDZ+uD/GC++JigIRM
w1ci/KafzukSuIthARLdwClAR6fmBId2Jt9q5Mm+zgKXLIRhHkwDwOPKcC+sJiSwVJvhZMK5mFKg
MuhxGbk1J70NeverTuN1wl2sDUfEyvp9SH+0f32oF06DCMiQZjE0riTZtbSj14Gxy6hlAQ/dWTBb
7nvFWFMlv7CKjg6jm63BUgT1szQs6GrCpBBnLtBTbQL1nrbJwWhbTd1rhQoaOU7U+UED/xutOLSL
lrkIaGFDLBC+9NOlDMD9Tx1qYJvE7XlH0wwT7IKWs0GSpNV+4NsBu460cgYrhi8cE+ypRBeQXYNv
Ex/2wpM2tLw7dJgysWk13baFOvgwwSpPHhmUFY92YYzQ/xkImHBUhFz4qak6U/VltHK68+n92ykN
0LLJami8jSkgPVXAlL+kmrfGV3xhgJ7ghkc/yCKDokprSsM0HMwDhyTWINBRG+BItLYEh1ClS+HV
m9QD8+GhsoHsDSSYpwNMaDonn8QAAwiBdl4HjmmsrTW+t/OjIBQXVERWLRjfbJkSUB1cVDxqdGAU
CAQe0jEFzxclw0oodsGK4MbjL7wnFPqS++zpV8kLy6MY7YARrbTCAq0T2a8+1kTRHDkdDkVdhf3s
dMYmNRomwndAFoBG8ocGcp1yVzZKt3a+LgwHx6zBZq9yybETTg1RUTLDgvzpZhlhJo1zvdkCWFxh
HD73is+SovBlIRFP+CONRidgGaeCJCfDTW9xnvHsxy34j2qi69+nw7qav752y0HGi1gjEHVLSKtI
fiMG1k3+gIjZMCqebJFb7at5mnbXrVwYmOPiF02Vy83mnXc6eyP8rWGT1jzFvZqSYRY5d4jJtHvX
6aNtNYVr4jyX7fEEQMiU+E5mxR90tXcc8jpAEJSW+h9yolRXg5BOm0RNyqd+aoyf14d4YYMwRGTM
uGXg/D97esOPT9cKEzlHRUznbkl1oeyW1+93OHlIjFmG8LqeRL/ttTY97jQdbPpMDR7diYanNknn
FfXK87iAVJTFVeJwV9ISL53dwI6gmxL0mQbSdiC1YWWha2Z8D2TfO3ijSw9uGk6U8NouP1yfxgsr
R7gFX6CFVqFGLuV0pwyxGtc1giWb0jbDL7QAWV9ozTPbfVZC27GxUyBF++smz68VhCmYSlHJ4faU
L+1o1AtvREV7ExjFcrBAZX3LFCqSd4rO8/wxoINX25R1RD73uuELW8aF1tPlALqcP5lrFt1LAlj4
BjcDbFVvE8vMN21Vja+OYxmeB++lTsMVlN/S/VVWE738LsAvL3OLA32NASRvSuFwFLIst1Y26KWt
w9VMNlDMKKC50/XrDSSxwKnyLnWn+AC3F9i6LFZgpQ+c5B4+wvneIml3MAiuP7x+Oh2mEbURl+1j
ia31IhJxYnLXoW2B/gfM9KjB+eSXcCquvFEvbVBH501MDGnxVJViZjifKgPGeZDJdupsWgAL34wJ
Vk/wt/WRPpH2+B+Miqc0RLc8e3DVp6NaoFMpaRFkd5plFe/ocq9sYF6QZK3sxosD45Uvgg/+7kpv
fZipgIXC0ACDS0APAcrAFEza0puyY5pbavtuofNnLRN2wagQSeHdw2RyhUsXw6IDU64W+mxmFNuo
UdHCNYODL+G1CfN8d30qzyM5NgcvVIt3KreCIfmWfEzpsoVWh5aojuaibbxMdfaF3i+nnugQn0d9
7VX3rItymg8Wkim8rFzmlehBWr0p96LQpjSx8Th2uR8PnXo/TjCIeXFXHAOX0pEW1+0hAhmJBqBC
eWoTzg4FwRyOvJWte8HfeBCf4NING98uh5fRCDITdagSbE0T+gjpAuELYYq/PsuXx/zCjFiGF+cw
sbtsUAPUb4JlmexN0wtyLaQiTWubG173YOWRcqOO1NfcDMbaKqMUDXG5iypPoq6IjVzaX6z4X8IK
eAbptJaQyQWOyZBDsONbE7TqL6OpUyBhang7tLzRrg/+0hST/OYu4eYUom6nYzftBW0KaBk3jmXU
8K7RQeTM+bgyqksb2UFIXIMc32AtxahfzDDIYDObet4JUOjVX4MkpI5Y6+F3hLfXQoGLA+LNJRjK
wfaq0gTCjgxAQCPgaBAR3wUNiEAKNdFKwHHRCk0lOB5yH/jv0wHR1xRUOrKpyASHsbuHpsjsd7y0
6IC+vj6XZg75Hq5WEu8kH6QwviG4d2lqxZDSqXsFZPrOKQfnqaJj+P1/YgriZ08E1miAn44pb6e2
8xQWqZq66sENuogKpwuMFzTRmHz8D4yhdkUKjhBbk1/h0NlEsEMT8A4UYPZ93yF8CUJ8N3RZvr9u
6tJaEaJxAULHzA0vjQsMk2m3Oakbw7DyJ6gs3Le2O7grvkr8KbLjhCTZEekhbgiZi7nIBnuOF/Zd
0YKb3PRgRW9wjuOniAzVvurp9rk+rEs7g2QfEEXQStSwpOvP6Ggaz21KZ/BpFdtkoT2uSRAJI66P
VhbrfGxkS0w2BRcfmQx5bKOpeVkLplp0UzeHKKifSre5BSpnH9UmHlYGdsGaC+8y8glovgi42ek+
HHtDQW2c8ro1KvZtmHvKB6SdaN3R+uURir5gJd483x9k1jWEc4gjdDpdpbMcqzaAfaWkqZ0a+9dK
W2Zybvr47vpyXbSCyiHHmFQGNc/TUSnKYE8L7Ewg2mBgNYeweQuEc01T6cLciViIQguPA5LO4ucv
HC3perqjXHD1xTAPj5oWCMgEXb+3Zj7an/U6yH6/elhsQZJMOmz1VHikYRl21sRhxJMAhjGC9Vz/
My6cV2pUk1jgPWDilnDoXB5ySKkrkE0Uy8DzrjRg0W3hjiG7bBZboBg0qKms2cppPl8t/LqF/CZv
SkJMuSBYDxUdOIMHni+r+ztnSYJ7tR+N8dXenZYK1UG53MG7667k3d0cvA8AkBRmjK708zT/tQio
WWMnazJYZwOyDY0XuKPyRNZRL5cOFUy/jdKrNCJq9Rx/zUul8tMuenV+His8TQknhFgCAzrdfgBB
QXs70A03tOHWm7RwocIZ5zE17oe+AraXtB4gOvrkOfwwXdardbJL4xRugxc5HoSK4+kXZLx0RMMv
6KUmAysTN0Z0Z8ZW/tr7n+tEaGxxMXMz4xpPzajQw/emSOPRFubuPGP8VQAyPl4/WyLWPrlSyHgK
uRBRC/fEf06NNHHRNl1rf+vpEa5K5cmOj7nq7EtN36B4Q4BD0xd6DSt78iy7IKzSbERa1xSEQdIa
giWErXeyv039rRe5d/ng62Wwzexktyxfrg9QNkXuWKX6gEgOGVc6oCXnEcMrsQANpSvYnsK3sJ0E
237MhzcKfOu+atOnRmYv8q8blXfIs1Fq/NQ0dUIMObWXwDpkjeUUbeDvSJ/oD8j8xZ3d3XUr8u38
lxWXmNcwhLCedN4oQofQATO0iDanEVCJIlKxsCht6StfA0xcMCbEQuhDo+KNRIbk9ZuyRKbMEmjE
KMDWWLnvuNC4MacueOXGZ1wnpqSNb9lB4Cw1puhNHGliyIMD5CqvDdmEFTI/aGOQV8OTSH6x77UI
5D3sjDgZ6zBSNabYtjj762t0vhOoztIFgZ8i20R+5PR80XGwJJZNc2IQVxWv2DaCYTF7reel8nNi
RTrFPEjgBJh4PEIIGmzgzfqqptrX6yM53wCkI6BmRZxDVJscaVWmTOn0cIFKDdEi+09tgs8ho0FX
8Eo4a1JJz1v3pVsiwMAYKQKqJdSXZIW6EY4Ecx6oYlFFh0WGmFGhWdtp7xolr98Cvi33nd33R8hf
9e0UJ/oNLLnZim88WzveyGieaKC3XNHDKY04r2FYzyPnixfTAVBDs7id7HQtmrpoBIQHc0rFxlZl
I9C+QCMcfk3nOvd8ozas2wKtOu/wqtUTiBiThxAlFAyhfyL5ij7LJi+yp3GDGF4EcrlyP8KbQgup
mUQrbzxpRH+ZIspFqpUaNnKGp1veCJw4LQhuN3ZO83fLAHd9pmivcxLPVij9PA8GCUwZibCUJTRS
RUSnTaTDwEZH9J2hLmsFOxm+95cZqgtCfI/nqiXNG7w5A/UzBRj9YDXHZKrnO1jk+rdWH1qHiAcz
nV2TRSMm/VtjiogKjdJ9eGPB27JlSdcOunQInz/HphQgjiAB8Vk+0i10KPSgiijnKdu0Zpq9maAz
2Mf0tq0Icj/jwl6cwWdbwOR0Ng7Fe2Lj03U0zRzq55l1jJLmQ09zD9RZxmEJ0iOUxUerbL718fit
15DPMYP3hdV/mahAz0R9dZfewEu/lqcQvlL6IC5ylwvdE1q5MlqIFgu6cl0o8lWt8YxfOfyv6W3R
UuV8hDuzSPdpvOT6Ozjh4p9LDBv1ClrpwuQLGVsVqBKACcj3TickaBa9h/5z2AANg8PXLssd+OFq
V0dJtrt+XC+coRNT4lNevLFqbdajWWy7qLOVm5QNcUcw2r/+pGLF44yCZBN34amVhrbWoMg4Q/0S
Rnvdm5R9pcM19R+MhWeVRgmQIoQt7SMPlYUM6jX2UZkk3+iKbt8qg2K/u27l0uYA6sGRID9C7Vby
OgAuwmrI6apOYy05INkaOXSEaKEfmmF3p1awOuh9Vd0aQzJ8fL1p7ihQZWA9zg8KrdWFNua0Fhok
5+4nzRq/o4ug3NDqbT3msMpBnWbbj/j+NWzg+TYBOM97C7gSwTQu4XQBlZHSjtIk8He4Zn2fpEV5
jLx2rdpyPrUuFUCWTnVVHnhyvj5S68FWq3ze0Jb3TrWt74PpfggW+3aAwQXO1u7omM3rYC04HzKS
OmwBpFl1ILrStUj/0cizu5jpPIWs4ItXQQx+rDQjtrdQzFYRnI1tSBEGis7k0/XlFDvl1M24GvcW
eAbKL0BqJNOAZ2gmSzHt2gCyjSlI/LKKah+tI5odumYt8yD+vHN7JqUQMMmAV6WdO2tLYIY6fDjt
CN2BPuXJ5ywMgz0464TmRqc6wkW8pv937stEORCIErBSdo6cLY/QGqQxGn5FCI2UbaqWyi41W29f
wa+14ssumuLNThMoXIbc2KebFKK2Bb1GSGZgDhx1LhA1Vf3Ai4t8ryWLZr8uakNlxuWuBlDBlhW1
eunGViZ6p12LDgxrgrtDaeC3qlKE0165SQRSHRN4T1CKvCxPB+UFAM4WOKggysvd1p/HKCl2mR1Z
f9Ib5sKFViVrOsNn8yiZlOcxowHQRdFgS6tntdPM9FfiaN0ur7NhZXBnbuUZhg/EgeiKurUt3QvR
MkcqlEhwic51fwNXSb6lN6hY2RfnVshrUIWn0MmVCnf76RTCKjokTk2Xspe2ll9HwwJjk70cri+U
fLqIXThVnCt2ue7CRHpqhc4sDc0nkC59EKjvJm9ANCnsb2bDGTYIEE3vhnKtPHRmkhnj4SJg2wK1
Lb/5Ms0xJqOlkSJuG203wV9ubb2yUx41mJUePLcTfHVz518fqFj+l26EpJhOmCZghxgFbHk60Gwa
+0FNEYLq9vGm345+eTDu9d1aakOuZOI0Tu1Idw7RYm/XGXaq3bdPxQ7tjc2ft4/frw/m+T1ybTTG
6Wgmu43o/MOKfgBQsEHLw9feQvOyQ/9ka/mU3jZvms0t9Pmb+fN12/Lj82yEYuO+CL54PmdmIyS1
lKO5HbeA4Dc/nXvn9rX3qjyT4sC/sDNlBXwQBXbMp+BQ01b/CUDzbbCyL+TbW7YiXS+04yeZIkaz
7NEG2UIcuC221cpZPnsnyVbEmXgxFiNuNDMR63Vf+z/S7Ydf1uH7p/drypnP4r7XtoXkdgEyZ7MW
Y6b2gZ1u4R/YfIJs82HZOh/h77xZ2QliL18zJ7lcD8VK3Afmxu0PSF83P4vN7e/t+5WAQ7vgMF4e
XflxnrdF60AFKkYFA9aWZNEWzaCtu7N33w9f291HuILWFmzFXcgNUJ1rVF4kbA47HnYcsNj/vGx+
fnwbbR7b3XfeBBvINlculrX1k8H1BiQdeibWb97+WPbqAUUsv91Hb+ObYJMd+s3K+om7/sr66ZIX
SU16KGkvFIOMtjl/mRsYP7eQs61Mp3w3S9tfhuyYClJEEZXLjUC0b4aAVoiy6W+H1Fkb09pekZyG
6yStW4iD5lpf+uAYw5Vc6YidFSlUJGsF5+c827UJlJxH4iq6BeHYXxOYPaDTsHP2aMBtP8a7ePeb
pnscsbr5vTbK5/jzmmHJn4xhjpZAjWHjvX7bfirf1rfGj+CRdCO029X3+UNxGz8Yj9aHlR2zNr2S
gwm7KbZLsWMM9gzMC+zP4UiUtw02zrbyCz/cuVt3uwbZPku2yBtI8jSzXqRZKw4GBch9fNR2H/Lt
svkVbCqmt9zrm9V7/JIDoCAIiF90y4HjPvXYbermhSq2LCLEvsb5MHYekYO59d7kWyT8ntpHGK0P
zcG8825WZvmSX31pW5pl+GTmjAIJscpu9O1P2T7aj/t5l+7bG/24ljO7tKTUEyhaAKqjKC49CBKI
qpO5qdpNA/u7qtF9Cz2VOf/qi2aXLE/XhyY7AsJ+8p4kOwwDkD+ghdNZtbtYD6LMXLaK0Rl7+JFg
VdaaGI21eVnxOabk3DAFspNCPz1IrgMv1qmpzNXtSR9QzgroUn9TekUBHtjIVnyoPHvCikkFi9eA
6JaV8yomKtXoQUJ31NGV+wDppHPbDFm7VWc9f0iqPP9IK5P2+OpZJIPDs4qgnSKoLfbPi2iihCih
aSu0GhGcrHx4WfGpZpc/QVefre1F4cJeehoGyBuOxA1AfIv2K+kcoMbTLJ6jzFunGApvC/dF+xHy
NziUGqs00g+ZNnQQvuZONW7IbLfKBm7E/DFL5uCT1RVdCYHAMAw3dW7rT6BJajSGmrhyN5WKbtL1
eTkLvqm5UhuzNVJN4MKoXZ1OjImIRtE5DiKW2jCgOaJk4Yw3hLM22k0tOq/QQFvDlOxROB2+N1Qe
f4atF7o7jergsk8qw17rcJfjS/FJBvuD8hZUr+gYnX6SAklTjEr8tEViIYVo2NA3iFHkX0n8Q0Yw
VoN7O1c61248TCuh7flhM1g04Gnkg8nQG9LtBJOrMs50h2ybzv1WA9742EE+9ADj5hpK9IIl0Ulj
U4YnqwCW53SQYSsk7zx9gU4vsYFS0Ou0K+cEtlDqVL+uL/L5uSaFSc4L2gB6NVS5JB866pSXUFlt
Hahw/K6ZEHiqw5Xyydkjh2Wjq9IAkkkBmStAjPjFEQspThjJ0g/bQImCzYSi6CbJQ2PDhspv434p
fScLMl9XE/Oean72y8pnbcWDnR89vgHcjehWAmYmZ9rmZRjDsuZ0uXA5235YBsp7M1XBBHodXDg3
0BdD5fLq2RV+jAYfoD4amfrTcedWlBtlFtBo35Yw4Mxmus9zxzi+3grgZlEsAHNAp+yplXAcqE3N
yQDNC3qeMCHBMoyY9qvnz1QNBqKRWaNW+bzGL9YwnY3U6QCGbOOxKu4zs9V2sQL7zAh76C7vp2D/
2lEJzAaISiog7BxT2jP6rLYZWrTwwy9xeJuUynIToMmy8kg4dyiubtGzyaAouZ2BDun6paQ3u+0W
fdhip6rw32SQtB9V11J8N7dGmGGndrgJlPZvSNZ//Zz+T/irfPzL7bf//m9+/bOE7EnAxqRf/vs+
/tmw9r+7/xa/7f/9a6e/6d8Pw6+m65tf/7j/XrX/2PfFn9+7uCzk33PyR2Dp7y/Zfe++n/zCL7q4
m5/6X8387lfbZ92zOb5Z/Jv/vz/8x6/nP+XDXP361x8/y77oxJ8W8ll//P2jmz//9Yco3P/Xyz/+
75+9/Z7z2/ZxkX0v/pR/w6/vbfevPwztn7TNUADgcgYvpIt+rvGX+Imu/hM8IDGWSjbPBejAhi/K
pouwp/6Teh0Ec0QRpPsAGv3xD46W+JHl/ZNeJW5fwBVsKK6RP/7nw07W6n/X7h9Fnz+WMXpl/G7O
1P9e5CQRibzgY+AeEnk3Tt3pmTOMhA7xwopotY0hoUV9Ybzt7DD66MGJvRI1nO5RYQsSDwoT4t5j
Hp7fuS9OHsTWWdp1cYyktGv+6PscctIst80d5OdOt6UnstzCCI+IllVk6Upl9qJxCncW0yyw7pJz
USloJQggRX4taDVEEumAYqqxM4cAQWm0pbcdqkPQ/ydrzlNK8/w9bp4MhISuyRdIwZLRDnALwtns
V7RhbhNFi/25mZUDtPLj22msSKrak1m8QWMiOqDPDOwqdfQbvUztbZ9Dv7DizaWA6O8PAo1CyM10
8GWni65oCFBroQsJMhLAdxm6LLcAbrojW3LZB4Bhf+eeDr88wo7w2cZputdRoH/ijtdW+g+eQV2n
+w8QkUDFIkbKlSqXVJZAoyugLBGlnNHoSYrCJpqMau/Ghp8UUVMlyh+VsUUmGoWR8quX9QvyKWih
bfomRAXNUefmzo7Azu8SD9nptakSgZj8fVxGf8WPnDgpUKMaorWzPSc+rNjxO1MlHFtywgy7cS2/
gfX/kLVz88ag8XXf1gr9mmHZrpTQL60XmGHwUEAnuX8d6SNcYHdRQGM+3FkoLtVxZe6Mpcnexn2r
3DiIY+xmK0Rld6Y1Fk34FKL1yS6G746dvQ4+97x1HEG1YHJLs3NkfANlcVSGYEFG1CbR/2wyIoEp
ge8eUrDg8MKH/u2qXrqm00DnzJQcI1dBFIQ1tHqEU3WLnK2j9LcIewbfCKrmx56Kwatu6meDYnZx
1TZoeqpgp8ci1rxEyao2EcSC6hbyw+KNaRbGihcUp13aURwUUJygi20R/Z9aQVsHISGkKH108YJd
BwsbTs+aN0iUmejBW9/hwnZWYh4pU/L30KC0JujHBWmGtIMSZVZiOEsT34ZwZN/n6fyYtDjDHIDa
N7Puo71FZ/ieA+Bte3cRxHBwLwPOUZ3HNC/1g9YldrjRe8/6uAwTbWjX1/r8GsIB8CQnHCHFwVvh
dFLwU1kdI37ot2WnH4q6cndTFo8HA4XHFVPn24ryP2kGMA/8jypjMksc3diUplhl6HuVChrDgA/7
EFIS3KFHEq7QF1wamiBiETkHxii/GfIJ7AbhfOKnZhftC5jNDpCjTjd2pXr+62eR8rsp2v7FREqz
2KcNXrQMM98dPMc3myrb0Ric7acRsePrpqT0u9hR4Btc0wDDQdaG1uPTFaPu7cRqVHM6IaenH89U
5tuSl4dFd3DgbpOxEpS3iMe81cpmvutTs7oPYVOASyTwftcIgH1GTdN7rON5/JK1euWTtphs38x7
Y+XZdn7iOHA0kVCCA5CI8zr9VGcEKqnCkOgHiObuxw52eg1OZTgDTGOn2rRvoY46rkzQZaNMEEhj
sCYOAdzLpyKpkEArizmFdgHuV4hwYIwkCnePtPIVv6vZid6mcJf/uL4slzYbIP//sSrX8WtXX6jt
9imiq535hsr3U4bmw1FZJnflGIl46dSNMak87tllGnQEci3ftWeUUfibb5SJySXomfcJ4rUriJYL
juvUjDSNo1VRJHOb1E+DOruNagUuVSMk1xuqmu8aCaKVtVP2CF70yufKCtAJj6cp7zf0aka3apTW
T8oE83mJ0vWdNc7O4/UJv+RNqB9zJ4KgIK8oFZAHJ3Yh1S5JeBPcHo1+Cv2qc+33SDWXn0f4W4/X
7V0ImJgQMJVgfcmq0O1/uq9KVahbFVrqL1bt/Ojonf81QwoLP/MkNBnGFpGBDkWlx2K03Ce3M/vp
JoLgDaUuL0XtI9ID9fs4LLa6sWPTaldumkvzQWaDLmXhGohXTj9vDD22WjTkvtV30Dwso6IgVVMr
COcM6ZvCnteI5S6cM8JY0j6CLlMwRp4a7MfOcEZnyoGUagnVKo37I9ad9HPn8P+6xEPWOyFHuZKy
FvtO2v5Qc4r3PEhr/ivtyzSCPHnOacRO2XRIDs0BXMN6uVcRdniwtNiFt1ODYtYAeVmGzhrr3IVz
jnneEs9u7YxSTK8BPrd5mfu6i9AWcu2IcFVwx2fGvJZZuGSKBIZgQzTop5XzhbADutCvoi/cOuCd
4MZt3yRdK5ShR5Rar+/uS4tJHo/rBGieANKcLqbTB3bZ2ylSoshmbNxCc/fACqzdwsthp8XBdOj7
0Vrx1BcGCFUHV7RFV4NoaDs1OkBNEgxVjLZ300fvUOEMdvG4zG8QV29WIkyx+6VdQ88Bc+nRRkle
VPIWqQvR7qiHoR/0iXEzaSbM6Jne7ywosDc0BkS7GO6tmyVKf1+f2EuGRSJWxD3gA2U4GdsVITjN
QMHZDqcvGZiaL2g3RgeDIGjT9lACJa6bfhTR79oT6oJHIFKAlsEgYgA2J01vZpqNWcaoeSimFz1k
dfh7aWN738+05CalMfrXR3rJHNZIauANCOWlKeaZzRsl0JSdkL2+D7XZ+ZwuS/UJ7snsnRYE+srM
XrTnUSCDY4ZrQH6l1DayS7oyKjuas9u7gssKhDnRZTgskQ9V2spb8HwhgZlxPMAFAn8lk3G6WRPH
CoeoHyJk0MpMvH672y6FLBqtlv6gRM1jGqnvi8iqV6b1uUPwdOtiGLQzzYPwEtFIfWo4pk976j3U
ilotQW7Vhoz5IZ0qezo4KMU+lVCXFP4UcqrRHVBQSKToM6dvKseebhDQa+CNpxHqDZpWYb9pIrX5
Ex0RJOBGI/E+OQnU7n24VDN0B+YIOCWE/n0T1YWKaERqqY/z6LXT1kSEQ9nFoaF+0yr0O7d1NKMj
go6VueKJLgQeJNfp2sLFgjA9a61uzN7Si2WMweUjlpxVU+XTG13tsmlCV9nVgu2wdIOPqke2Q/jO
4J/BoaqUZrbXM1QgFPRw3iAbieCWrjQrLutCRoBvY49Te6MNlYrH6WrQvp7EoxfFCHBH+razFv1d
SRVnm1KrO6LwaW+o3SWbLvPMrY6Y1mHuJ2VbAPxdSaudO09B1ilamwDDe9BVnX5IbmiIvsRW6Nva
6GzDKS+2XbmEN/Awm8frJ/vSktBGJZ7MBJwWOZlTW63XoXU5gE5vQfmDGpmN5nYwkFmP09jSNp7e
JR+tdkJOsa7D4aeCyBtMhRN9oLa9uLdIZtbbjHb8/UClY5+EeRmv7Jrz+0uUZajBCiQtz1npkECx
mUUVNV8fqS19WyIIthuiuLmrrAqpewXaqTRv1mKBi0bFrIjuIbJoktGQfjLVhA/d7yfOJimzKjqm
Kv1X6MIW6ZfR5TAucBitrLzw25JDIIn7v2Ylv24r6jgpUYqTS2BUyFyjISVXzPvri35pcKBBie0o
O9EUKsVZoYnqa9XidmI4nm+oMAthdLSe3ACt9iYpLH+a1LWeGanOJx63MNvQrUw9kRcONfzTnaYv
0ZJppRn5GqghNFMRdzTCPtvROLC8Q7aLt6MI7dPCxBeU0OyR0XDWtrtYN3mC8TukiSgW0z4qfYRX
BTxcxEeUcW48mOYUHp0wa97aWdc9sbTDZ6cZo1sLT3PTxWF+U2ZWeQcJo3JrG7p+b1lzsUbtdB72
Uv/UaJ8g4IZmSb5dNZsXZuOQOCIQR/x4aoo3CmT8+3hynU2VVN1dl+T5oYtH1+9Jy+6u74YLqXRR
fyWbC1hX0FqK6/FFCaHX0O1WAuy3dt3u4dKc97nnWXdeE43bRdGnN/R5Teo21LLkR+vaxn2xtA7i
GgESePTWGyvX8SX3R785cQaUpeT0JJekecjJ100T+V0Yz0dt6Mf9FLqfXKQRV1zLxZlnVz5nJqmQ
SruBF15uzCpN16TjrePcmObXgUzaofLmdoKlPw1QrR+No1Zo0dtgmPSv16f+QuBBlUhgPuiEBKkt
j9SIKzvKCDyomKKXUwe/jKLoP0zN2B+dKkpudDtOtmPThN+vG77kZ2i9pHbiiEYoWyzBiyXPl2hy
kBrCsFqNUOp72Rs4fsyVnSWmTz5s1OJg0RNVOtA3p1bsknKVq9Fo3FeF6sdqMW6j1mp2XumEHyBj
zFcSG5f8GkgnAmKYGQBYiZ+/GJWCgF08wLXjL7E+31pLo6ITFtRqsqlqT/lIbJPt1TzJ1oAnl+zS
0QpvF+gF0s/SbE5psqhJhGC2BqPVYdCdH5Eyqw8ohf5GflY71rbx+/r6Xdo43BJgQEgXYlfy4JHi
QE5GyO83popCz1J3xKiz0+8GqkGfNTseKHJlqGnmzeqhuXQ8bREwkxOFpFa+j2PHLVLHS2PfRbRr
1+elsUOyMDpCr2CueIJLG+ilKek6LIpsyoc+j33FBSnn2ogVDobmbaFS7vYt9D0rG/biQvKU8WBn
cCgvywvpsoieVsd+kBEHN4vr3leBbmx7tALAY0E9n8/ZeLi+lpfmE1PURgT1ConG011rtm07BjqD
XNBX3iYNRBAhEKM9b/Q1BpZLxx63ik810JWlXejUVNonqHGR/fM7Umx7PaQyieRU4l8f0HNNRz73
Dl1dhG2iKUmm7Ey7tO5MptB38ri5nfUm2FO5poCmxHV1zNzwblCT5itgwuqdY5baHtrZ7ndXL/1B
b+v6SBA47oyhMvxU0ahP6QEaqUY++qAQqxUXfGnJqQNSqYfxnDy2FOg5S56mHUR30GKoQriysHZV
Yxl+A3PWdqjK5WDm9hr52KVYCGiADuCI5kLOkRThz/+Xs/PYkRtpuvYVEaA32yqW6VbLzIw0Gs2G
kPRq6F2SSXf1/5P9AT+62EQRrYW0EaCoNIwMc+KcCZEdNA7SU2kG1ZNpyq8WOKO/50gDrzlzww3Z
FldhQJnkL/3D4Jp7JHUb66ZVDWgAKmMFpFk9PZBOFXFf0T8300qebNiyQ3sS6TWwNJuRLi+96Es9
7Wz2VopFkQZZDKCDis9A/aoXHhoVJCdO4NA/AcaDW6uhDRYOXuKB46l6ulNDfl4Mu3xv9P3wQTOq
cUa2IM3OKa3avRGOje+O36LYNG0LX7bOfKRtlsgz21AturF+tvHdH70htkLLmveG95U7Xn0QzywS
FMJoEzIafLvsOC7MoJjz+GT0iHs9Iu6dfENjsDROLT2WSxUnjNBZHkSTcRCUx7ES4uH+N7l13JQA
OThCPAa0157NbgCUS7QeaT3Z7yqJOtToyvShiI3/Ws0BY54M8nzf5ob3pioGLIWAGyqrNUTDmEiP
sySnW2Ok+cXK4uFBS6XPGJ9bXCXihX/ft7fxKCoGK8UUzMsIxvp2l73JhjiL8QMijVmA4Uurs9tD
JJqE3U8JhvcJueK90cGNS6RI6QgK+dWALVYXOkAaEfZsWik8xvOxtUfnUlh6erYmJ//j/vJebScJ
C7yvahIYpDBp1O3yWvpsC1l8fspQj1IZWnfRUTK9IqWjIayltzuP4euPlavKw6RoLBU50jp8M/TC
ZKQzR9LSlt0DtQjnFGkBIg3If7V/pbkxP/TwKp1idzDOuazqz0kWlKe2LIuddu/G0mlkgw2FfQr6
tfWn2o1OO+g9VapaX5qjrXfVqS3OI82qWryNjYc0Va0aqnpYCFQpaC1jkLV4rRil47DUowFVM7ec
kVduGivZST42FwV+6dkQLFTq31/4QuTqKfTovRZmqKRRnIvao1Y5w7OgCdpWu4PCr59lRRgBvI2+
KYgMyo23Bmvd6OVMzza0pWgujvARcRxF+h5kXPKr7ejgZohCQuMxTd/AjfUf7WSyvzGz6pzjbjDP
XhVMhyZO42vb+tU3JNvFU15r9a9hEHLnsr/6ltVvVSP+lNYpsK/9FTpwRRA1qRZG6VQ9mpqV/FgG
XX4zkJFcjo0jxLcarueTj37Y8f539uqTVqaZ0VA8fAzCr7kLnbIdxsqnYaH3/fwwZK35uYNw6iyC
bO89fBWPYUqxPgaAjtHN8VdXYFqC3B1tTXVS5/hRFtl0pMqe/n1/QVtW6GY99/IQ9F1znC3RWIO4
yTSGms36gWRBvoN/Yq83v2GFJhMNGBOpGm6XegNfXOfMiKyaAnMUTqVtvYMFBZ2hwdkr4GxZea5a
kbWDOF7XKlImCDibMQqDuPevFZTJZ3+o3sav8uwDSK3IjyFmpwm9ZvbTpCapYfWqZ5WWD0B3rfPg
+EUoGmnseIFXt41yOPhF1eVwQDSsuXVdVHhLakJOGM8Takmop3/NEUenDFfGP+/fg1ffFIMl1Pxw
o6QatMxWUchoN6CmY3T0YpEZj8Kwo5PInYSAHBp2ZKiTj3PkfC5H1HHvG95YI/IVJDik+3zU6wEv
0cu8R2I+Ckd0tT8WKD2EdiNhuEfMeifO2TDFYBUUdGwrpcY13KyJ9diPOyMIHX0CMNMPdUMjcPbe
yQAhhtP9dW1sKP09Gn9A93zw4av6xuC6bewkYxD6EwjoI7rp0zsRgeE5aF3nfYe0q/nqxHl2lHYR
F291UzBPUjaCAA/2OAKQ1WnmyCE0pZFHoRo5SSOKlmVcznzj4FPevkyl90aBkxDyVey4WJmN3PQM
GHQyXUjn+2kOKdIlfyLCHPvHckpsGFeD6itKltm3+7a3zhNmCzVcxpDRK9upM2hZMLhBWJQkAKXw
vJM1IMxrGckenu+Va2FDAZNBFwrlClWEVfgYATxlKDgKQtSojIdJX4ZHiWDAzoJevfqqxQTsFD5G
8g6Imm/dpD8ZMQw9FjSaQVk9usUcH6fZqj6A1jKvMZNTb78mqKOxNDTZwImvkXkOiAJRC9MPy7QB
2ZuAxKRbrl2DunF23pmtpYG4ByVHl/g1Ui4fUzPRNemHGrXmx77OymtGsxaePpOYPbTHfkiv96/H
aowbT812Pou6wBiK2TUiTFYUxxRIMPR6ykGoBdfQ1RcIdyMuEQ9/loY7Osg/M/LIlJEvDpDp+o9a
sBjH3MrtU+DW1smFw/rL/d+1cW35WYrYkaRAUQjdnvKgCatj/T4Pe1L9q/PED2EcD/Nl9qdlBy21
YQsMgNp3aslIX6zCOqe2oxkBn4COXQ3uoLa8sISpEpbd0jzfX9aGw3tG/RERgiplKuZ2WSLxorjs
Iz8U3VCek8yA9QJIDgQBepUfE0sMf/ty+aMLyvrXfcubi+Qs1Sjrs6+9tSxrM2v8mUUuWW/AAxu1
1wbQL7LiQ7t3p9SG3WTr1OCg0AIJgD3igNUqcyisHDN2+URLQJYtw0wPAkbpSz7axoPrt+V5tgZ4
MmzAmKaXzec4sKu3v2NMw+GJyHYo9K4BrrARJTQ9DT+cZ2BPwzLaj0VlGKFTDfY/97d261AVVxE+
T9Wj1slVPAZjP6etHzIEqH0c0meph9Q5R3YWh3qWOeS2JkJhWY5Qw33TW6cKWyzjO4pm9RVBozB7
gGaB8MOobH6VizdeYmY1zzRalp2ZiE1LRD7AhQEfUAK9vT+tHbRzLHufwCMoDotLo3HI6x/uOO6N
lL/2gqAA4HMl1qH38WpAcwSYN9Eo88OsBEBYp14VOiOC535Ru0/9POyNDb9emaJ6Y3YeV0PAs4a+
S7fO5wbV7rAfu18i8ovrINOPU2tPl7ceFpkv3QaGk1Ujdz3lXZPvOX3juKEBEgbZanxqBVIjbL29
h2RrSbhPOmJ87EjHqS1+kUpUc2BNY2G4AGIM+AZSx7nGbTmpupj2G4vizSLlR2MtCNa918yAZswo
hBsmQ0GyB4gfeONQHtM+eNvkrnqqaPORIHHTeY8p4tyuiqEsVRdt3NBCyCfMOzs5osTYAWYw90gc
NjaQoQKyMWbJyWLWWVKjtZSdl8INnZZ+wkEi73xtzKr+KGdn/HH/Wmzc92daTqILlgUk7XZZUodR
jRkhN2wG7x+gs9PHITZkuGhDRUPbcna88+soDXQoWD/WpVqXa466wqviFpJDNwxgxkcubghOmVek
by044fg5qv9DZvFlrRYVkMLOlKBdyg80LcsOPYshEd1DlPX1FTggvYz7u6iKd7dvzq3B1ZVnJKbj
HLmHRg6NtmFr/okiR3vQ+sX+kI5WeuqCqtnZy2DDKBAIuBS4nGr2+vbolimKJoG4Wiir0n0fwLp5
6u25uPpTkp4LiqnHdpm8B6aQ7Ieymse/76956+YoMgxkX6m3wFB+a540ULYZpMOhNi3RcTTy4ljD
rXAuOVWkNnxjB1yz9VUwBA3uFhwjQyqrdG1EKS6CDZcPUBfOtyzqNYSK29F59Eu/3qvubRqDNBII
l2q0r8uILQlqbnUsbqoKejpjPD0UXj1fgVFmb217c1n5JlAcBOOrBlxX++hBI58srRuOegrDZwHv
AQFDF+qFL/7kAc8+FW39G8+cGr9RDw/vDuXSW6N9rA2dn/GFtHOXX+kV9WEwxR1/CeM49Jn+5jyG
RWJGcQFSlllHubaPbzZTFtn0ZXMeXLSsO8fWHgIUnXby3deFb7WhanCKAjDVmbWPqay2oC7KRXFt
LZiOgyEL+yiGJXq0gTR/8LxW+zIJAiMd2MZ1MgSqS6lrX2YyjJ1lb7k7Lg8/B/AbXBurdJF8NY+G
wWLZzZzRsXXGsPYSayc62vI+8BA84x5JW16xt7ZdAlpicMLCg6GDjCo/5IkFN001D2c3coawQ+hk
5+l9HXcqjCPdYVo1BJ9rDIPd+gKYv0su30zlxc5MEOrj5J6XjJ5NPzdjGOewmQRJvudstxyPyiRg
kFf8C+ue71zyNgr4zUPHT8qPeVa1NpljSt2GLvPQH1yqjHuS2lsHSYpK05dcDSmNlbOr7VkrO2t2
QhBH8Xk2a+3oFb2+M5W15XVeWlm9WxHI7FSkCyW+SpenWesUXXiwHNN42AP3bJmiPA+QgEADksnV
i4Xiie4vqQH5XW+BBdOj5ZjQGzhVjZOe7j8Ur9vl7BcTzWSd+DfYf9X9fREQLlNRxH6vO6FwE6mH
05Sb/iF2Iv+f3Eqr7CHLE/NSSoSbjpFNNThyR5AbIwzd4f1fsnWKihmXFi6vCCHC7Q9JK0vWhkEJ
1bEYmRj63nuflP7y9b6VrXdZhYg0TxUR71rgQJQRWrh67IZ135j2AbGt6B1jdmNyGPtRQygPZegf
U9UWSgkr6h6nAPLGnQhoyyUQF6ihfsXotJ7R5l2E5XXJ3bAItCqs+mk5u94wihDgVXPpTCP9z3Er
9CjvL33r0wQn9H+UBuCRVxtsZU7dx0iMcMaLjs8V8mgkQUvlarAmOMEjbY9JYMuiIoYCD8r7CQTk
9kir2oRoLZVuWNW6+6nTNf2A6INAj0BGpz5l9HNniVt3SMGKmSJDKOKVWAraWJEUae+GpLnZcbbj
+sMYTNG/9zdy6/NE6APtI6gIeD5W/qYtYtubLd5LQI3WsbBj/zQUZXn06zz4fN/U1g5SsUTXBnER
EJureoll1qU1jDhyN4GhOnc0kzlcLTvAPGyFYirnnTfxNWAVd/DS4CqQq83EmJk+c8K+zYd3ht8G
oSXt8uhKvzi2bRsc7WDMz7rR+e/bJv/XH4V7coMoPrq9THeesa1fw/tMIR4kDdVId+WcXKGJKnBJ
tpa2av9NQcmKoyYaDTIczSl/1aOF6E7ixjkjV7lRKmb7tHyCtkKjEFFpzXSdl757M7pF6bA8y4ao
GNRYqw3VnSUNfyK2nxltPE09tdBeuE/zVHs73nnjPt9YWn1AbWabkSuwZGjG10bk1WVatD0u7Y3r
jBFCFNUOZkGr18aYo0W3iomETDjF1RYz4WYRjWEXp3sh16Yp8I1whDMPQbpw6xBQJ65RztA5zwrG
pJwuy2OTt58Xa2p2wq6NDwcHT2sFug48wjr/GrOgZnKeioAn7P5cjKZ31oG9XX2/sk8WdLk79jZ8
OnAcWhz4OVrr9uqkZKb5jVXieUaPoZu086zjDE3oNcl85FeLOs+/eDrkoTsOb3OZTI75Ssae13tl
1hiD3psqwmmnXvwn4C3zJ8oTJJf5En2whbNHtL3xfNJuVJpXik+PHtntAWbtLCo7Xki9jGykxlIv
J0dIiHj4IqqjD7HPBaFr//2Y2t0xgf1kxyNsbvML++qCvYhWskH2DYRibLNtL1czRwOuK0z/sReA
+i2w5EeEBPaGCDaiadq6TFUQndB2WMcMvh5PlT0VXgiTbnNNEKg45rUOnqANkmsXdcWDZeTNEa4m
c+f731ouMRFxPEEgD4D69xfLnbNGFB5uJWQ4PLnwEkUHS6YWfPS1+LDksr3KcpeyfesjJTyhYEb/
k8NePQEAOHIeaT7SzKcwSLJQhn1RZU840j0Gk21TzIXBt0dBzVodZ4m2njXM1D0XN2YCeXD64wx/
z3mgi7CzlVtfCtWY/29q5eXmwTUGp/AI/Ba20leCgYURGYe5sa2DQyB0vv9yv57+UjAANuv5OaUK
uqoAeXGiQeLrkl5GkfarHV37MchFcPLaiGpMtCRlc9RF58ljNg/Du9rSmPvK5zQOh2wUJy21xdc8
dpyjJbPlL2vUvH/u/8KNx4VrpSMFrAo2zCneXi7fmtsC+gUvjMtIPhEZ/0SNo324b2TjhHlWeMKf
q1DU7G+N2HorG2+UXhiNzPdFjpZdprwZDk3q7Q0rv6YaYPTppa1V3SSd+ymQEexC7iy8+hiIxTNC
za3mnyaCKb/SduqNjwwNeOUJjH3+zR07Oz42cavEMRIXpJhHe8E7lZP0D32jueL61s1QPEQ0g6hT
8wCuHYkXaLqMQMWEbqb1j6MmpiOqp8YJfXJ/J1t9fbhkF7xIjDxR1SHmv913TS657meFEw6aY34Y
M3d5aIKl33l+XntGqsxEDSrbV4HKKjzV3N5KFi0jUSVIO/tTUz8QjVHXyYtpZuyxqT5342iF6DO4
O/MLry+WMq3CL1qztBJXn5fomVOhk+eEUc9L0BlmAzdRO53nvnibQPJzAZdDU4PEtGaJ+lf3KkLs
1sqK1gm9oCre52i1X5dIlkcymL/fekFYFBmFGllCtnhdPVF47An+FU4tQHSscqUiXOoIayfD2on0
Xz8t/P/ER8QMRCyvBgn0GjFrs4js0Iuq7Bp36Tf8WX/2piwj4s/HQ9Hme9MLr33wjU17dWbtrMHp
0WFzdLQh1P04PQK/b4/phHR3mo/lzhq3PoIXa1xfz2UK+pFeDvbgszstntme42RXZWdzVbzSqtKu
FIVW7+UivMWqIgdo/zDmxzFofcavB/dQ58t01Vw/vty/JJv2qNUw20Zcy4Td7ac9joU7QMtkh4me
QREwd/7ZN+ExamHNDGOn26sbbH7ktCWpyRBjgsa+tSf7skipk3JTYBM/604HAVUyTx+ZMUfJyJT+
UdPc4mIKK9t5PLZWqsY3ibnogL3KTFzRZWOXBXbo5H18FdlEHqohESUmXTwYs/bt/sZu1MKYXaVl
zpONRyEZul1pKwazBWLuhGaiRQ/AberHyOmXQ5aNMFM5hTxFcB4eeLu1H75V/WPk+l7pb2vJgFbV
wIyr2M9WfpuXdBaGN5F/N15+ap3Miw+przkPHQQUD7OW78F8tvwotW8osemokyCs1iybYEzoaDuh
7PjyF5+Z795t5pOI6u/3t3dzaWww1SBFP7ROkdoidWXbUMuAWKw56UOKjKIH0Zd0p+IdWsTxzu3Z
6DVgjTzdp7JpOvBd3B6nZYpprKFRwW8raFY86LAAuxm1VGkezCBtHgotdo/GPNofITzrLmWQ6EfL
zYPw/sqVodsOJD+E+pcqGOkAtFaRlgk4tKfb6BBRexEpaMxfvW6EQ6sAPi1T3Vemd7R+x+z2fVbF
XV+1/IEn325Akcsij03J2Yo+oJAsOvPP0bGKh54yyU9Latr/nBmehcJL7U+mF8nLNGrDXlFu84aB
blCjcTAurCdx3bSzJsTkqTsGubyWdZ58iwr5V1wsxvn+Pm9aUuUFoGs+0wyrA2dClWpARDhS9r71
ZzTL4EnaWvewUODY2dstUwT16gul3Ei3/HZrW92NZ03HlDnb8zWFTuDoyUyc57TYe6k3TSnvC0iU
QH09V4/mrd2NKV4pIws7JkxW/7PkeRZG7pD+vL+B6iKuL6oCoBB7AHyB6vd2VUXR+2JxDDtkVkp8
N2XK+2Ine6OgG44AWh3QrsBBof1bo6LEYvSGpCcfZmMiTq4U3jd/EsOT5pp/9jKedxa1sX/QQSkk
LwNpVGxXR2UW4zQYmm2HxdwwEJa7Xshn6H/Xaglzy/0N3LTFEAiAXky+IoRi4HS0yyrlWkgBAUuN
kELv2D+sYMm/3Le08SrzHpO+kaArZOLqqPqK/qHnEUsVsrHss3Ss+A/XiHMgmnIRFhzFPuoteaA9
Mts77tz+Lc9iK4JwqrIcI83c24vSObnZdDMxwah72XnMbPG+S3s71Hyt/1zkBZQKaNhkhxi/9Fhl
Q3NiMD3/en8LtjZbfRTcIniTIFm5/REI0c6+mIiWe83u9WNrps1j5jNkAgqh6XZ8y9alVVyr/1fd
o056a4zGtDnqUUmqkweEWRm9hcPojP1ZyGHIQ2dptfk3LtNLk+oKvKj+TIjD+v3cOWFgD/1DZ5TT
qTcS/2NkpHv0mJu3iQk/qHKVSPUal2lNtZ4ULeniVFeQqZJutZeJOaWTk/uedqDQnX+JJk/8rbnj
nub4lm0lGqsaROrBXi2TDsdYtziMsC5T4ykIYEuJTaM8Bq6wTtQ2x5OMy+9p3BQ7R7p1f7g8PE30
WamurfK6aemXgfqsHVbC0y9emhSHobDsSz3Ny+ntV5XBckbDnkeS12KLlQ3ryeJSjnbr/n+VlyMZ
6xbdhcEXZ2dRW/cUZUwdyDbT9gTPt5dGo7YNA17thiXONRy6wf40TIIpxllXjDvej/sL2wqyQMjQ
6GfOm9btusAzAR3OCoWQ8dso+V7g9h6SNnPeTZFZ/UDRdfg8M6UXajUDZ6k2On+UM63jvE67na7q
RvmH6VvcoSr5q8Wv3EEaDKZ0BfGlT7aAJqg2PzU18PVFGN+aBgnn0XPTd60t4ocqAtQZ6KXOJXMb
apw5DGFxQUPUsfawicoxrN5UXCTTCAwhAa5bD6JFtePIaOT5zjXYVhB59ZA7QIOji4kZhonhNCgo
9yi4Nx7yG6Mrb9UU0B5G1HjVrM5wrD2zu0Qgz3eega27plA8qCBx+lS0bu9aGQVROo6pG6aN+bf0
Uuey9OAEHD17MiK9+uP+VVOf43ojqVeoSjgGKe/cWps1c2REznBDPaqNg57G5kGU7vghNYbyGuvN
dIqzUT9YCbW/MSrTT/fNb3kLx+ECgBli1mMNBnaCbPDAz4DKSqGwjLq0O0hhxkcnTarL75gCBgFk
nLhlnS8sMH2hf4yppk6mK2Tq1YmMv/2YGfZecL55hEyVUHEKnucybzfVifKmhHOUXvaY0tCpYvNj
K0cjhKgP+qim3sPqbO7iC3uriwl9Y9ONMNSHQaMV5wXqviMp3HIKNH+vbbO5NDrninaJjuM6+/H9
OZ06CnphDAnIO+oUxXTI2qaID0XVDu8dO30z9ShcBxTTmMTDDTEyoxb/4sF2Swp2aLnje9vCO5Yy
NQ8tYreHIIvePEq9MqUW/8JU2wWpZEkgHZbRPaSGlGHXVsNOFXnrk6PARPedKjJVkdUH3nWDITI+
qNDSgk7RzPvykEdG8FiYsX5xEgLAogmid3W6NN+Rlu+WnRBo8wcoMKSq88JEunrNuiiaO8jt3RAi
EX88ZDmAC2sYgl9lbWvIQfC9u9agnTUtLkLDT/eIAbauKxIcNMN4SuHkWb0ptQ0vMgGe8nASsfCg
acrx4Ce+9de0pNmeiN3matWkEbsNm8UaHMnoaFE5EdbMzpgOXjTKjwvUmmHSQ1rlpmkJVaMWP3mN
4b5fnGmvV7MViNEpoNRN34qC0OpO0Q40Kungzo0gKbODPlbfpJ5pfxlO1J/NkcPNh6Y/irLrdhze
Zj6h6P6pfJE8gT+/vc6T10ldTCCFAkMuPwd76s8U4uurXw/BtYVF7cnTanFQpQ6wqYx8UE1p9roZ
W4+mEjngpDlzdz0YZGkdg/EzzWVqWB/bIoIfM4725Uy2/BJ9SDhfFakF46W3ay0yuEIyHTy6o3f/
2UVnnJOmyQ5TYfcnKhV7M/ebq3p+SIBH0qtZX+Gq8NOoBx3Z2SI7LhOdJ3eZ90ovW1dXRQDU2hjs
Jhi8XZQWd0E+SRLf1own66j1Yn4vCnguzzNkaOmh68y4OfGhw7dKimzEofSK6TfQjDzP4N1p0kAB
BKXH7c+AFBjZE4NKW2Qs8T86L81hGMfqUau9IqzjyUNoRDZn3a+tg10W9dVqZLSDhd8635e/Ye00
9axFQRD0ZjrTadaWRDwZXWlec2nkBx1A/PV+tLB1wHgoj5E25pReTSu7ckKbLKZkbNf1eK2d3rwG
iBT8dd/Kliek1ACXL2M22Fl9oWNC1ZKGoxOOqG38jPrWLg9+WQzpIRiiYQ/XsuWKfFvV4pmygdVo
tYeG9Pq5WohfNSsTTJk6gfnYpGORHP3EQoapRx86OVRun8WHHgLpvYrt5mqJG6AnxRnAYXh7j2wx
DoXWCUoLzuifG5TcrwuYJcYZpnEnb1Ebtw5ruZZqnAheDBBlt6bycXarhd5NuDh6GR+MvA8QRZur
sAfLeUphZg3zudybodi0+twZNumvvLo0bQVpUak6t7lb1A+1m3+umTq76JAyvFPKju+qmC/17VeI
IhyFYB4X5f9uV1rbJKPPxbGknuR7EevLF2NI+ysTp7uaUVsfhQpoKbtbBnW49QGajLnFHoxjhcjq
cw2tzvvRqOOdT2/rmqqMDSwU6CB/vaKhELaEUNgJk9q0/nOqrhpDAfn8ZU4rO2SuMH3s4V4DLlSM
O5MpWzcUVwvInj98eKvH2paxmTgMvoWTTIaHLinMQ8RuPMYi3qMf2TbFCAMREBxba7KpwGjB7cWU
geGSK0+z13/vpmg4QYzQH998Q8gnkY2Cu5+XeO1kxDihKZWD9/Rkah/hiokeh9F3ioPtSuvyG7Z4
fhUnAcXDtYvpYmOY0AJxw36O07C3DQ2SVn9+n+Rkl/dNbbwIULyDceKK0Gdbi9a5NgNRVkaNJK6l
9itD7eFgmWbyrxStB6i23AOobjzGtLuU/4TzlrBKXdsXyYFnjHmqu7gUo/Yr7eNYavrnJoIm7VCM
XTM+ZmlT+OfJFzZTi4tXHLRpnP+5v+aND/BZGolKOOgQMrDb3+AXsUWwTOVH2m72ZQjkcuoY0/x1
38rG1XQo7DPeSWGFlsLqvRcL2SsciAQ3RoRKXj+mP1up1YeIMGQnF9oyxZwQdQdyZXzYalOLOugQ
H5zs0A8ScbX81v1UxUQ2rr7L7rZpihfBp2tIF2tdyZqRYyWIoiLqDc1yioMoecglo9zSi9OdYGXj
mFSfIoAyng8B9NTtMbmukIyTois0WOl0TtLCu6QeVY37x7TxARCM4frpYCnWn1UaZ0sfSIl6bUiR
+5NhyuarP4zlz0Drfvhm2u8UJTf2T3Fy4PfhwmdRq6MSPqq2NaVVmE265iNaSfDwBnI8mca4F6hs
7R+UI6qVhWaWsYYh8fj0jrHQXEqFaVz9dpCnNs7tnf3btmIzmRsQk5CP3p5S1OZ9QwvXJhKoqysh
ifnkMzl3vX9Km9tG1w+IByMHpIG3VvKgR22tpZ8So7J21tJhIbsf9PeDl31/uyUGX3DyPM+Q46/W
U+mi7mGdofLe2fYHvZrN6zQn6TF36XDeN7XhC+HyAcRFX5ixw7UWYVlV9HI6IsnKKIyDFTfWwUAN
+aol3j+WViT2AT0V/SrkBL2w0xHP3re/tamwCzJgiS9WrenbTSXGYvCqIjpnDli/MML5pbZrSpeJ
tcx/3ze1dUuwgQQrg0JUD1cFUj2q8rKEMiC0W9EpsvkZaok2MPfU4re29KUd83ZJeWOOLYNwfM1z
J795yFs+LLPfMuGYFefWW/rLUDbOKdFqNKfHbk/aY3NHVa4DQpm689qZ9Fnjjn2Hz1/Gqngy0bH4
y9OX+eBExuf7G7plCQlNFUYye/KKrm5aFromqUkDTub5FSnc4M+kI0uHNNfduSYb8TjrgSaEWFJB
/9TZvniyp2Dy66Kj1wfjRPG/QNr6o9Pr+fcYQMMj7GblB2eyht/44GlK0L9VCt08pLdGO2ASRQad
ZjhnuXVIepoiQxX11wCkQXh/K5XLXWU56n1RlRWIH7mit6Ymy2jEYjEp2fYTyUweyf6S1nXxLrG8
6Cx6p/kEY7z2X6Dne2WdrceH143GEKAqRo9XpoVpNoOWJPQ2c5NRxpqGT+Ut+YE3wjp1eiV2Asut
pRLmUctQQ2hMF98uVUvdfnYJzgHtm87DALPPwZwiEVZW3Kneonmo+0qc0qSXp/ubvOUAGG6kC6J4
2uDfvbU8MI/QLnx6IfbaYzBNiKzrQdXueO8tM8SyqlZHwe0Vm1db2llaNqrvnpf29xp9hUtTGPNO
ZLL1RRAyKE5Wpa6+5ooUCYMkcQQf2WK3n+oydy5NV2oXr9Eq0NpOc8wird75IDZXxnPEPYWs55W0
Vt9YnWmnrIyuYBGOJtPnwxL87/4pbS2Mxwi+NzjeqcetT6nWkoBOEqwypk7LpR77AySd3ZH4vDuk
RdkcZJ3KHf+ysTL1+Cm0L4P3rwh8Ib7Wa33WGH9wpBwOXqY378SUTjuo7G0zCk5MyA+icLW2NImR
ji6o16NNoP1qZqf4YjTeXjd90wpdY3DfuBMwC7f3PCktmhI5k/te42pXN9bm7NBKae/cQPVjVz4L
Hm+l1kdVDTjZajF2OdR6JmnDOV5mf6gM7UcEly+09dZjASLrYy+Gf/UJfQdz8PfqMxtPD5yO9JIU
bT1UhKslGg2giDKKFflaHLyruhZGWTt3p4MwJtvbuRybxqDjVXNdvEHrzmoLW7WwU9XmKefgkx71
3sl0StrFumzq6XT/+m8aYzc5PSZ1iQBvD2/o4ngGY+mFddv8wjm2f6E9itjBku5NF21dE6ZZWQ8B
LUChlSW70yqoESL6GWUrznCSjMthRrNrr6e5wZRn4QlhzlDFb8W4cLukYtSp3bUcli5grGxmM3ka
mqo7pbM3XIua+b2wGBcrbN0UjcVpiM1PAwT955TafHwUY9EyDOnC4h3e3+rNCwyWmEIKUi+UFG5/
lwHjv7ZIJnxMntZ/c5HIR1LkRh7aSUZn9sMPoKaBi+7QWnqeHt28bNqd+HvruCkxgrJRlVzG3W9/
Q521jLvnArgFicB7RvvlUybc6SxGczfW3vCs4PDhTQGXSV1sHWsbqRNJi4IGVdvEf6j7WrvMjhRH
lyv3FbbA6WjGafcb95kcXYHQiORfcW3omdt5WgmoMO/c+W9zRLk2MAr5b0lC8xvfKfVoKnA+2m1A
pW73UgByLmCPximYsHMfIjPy/svNoqwushW6fb5/e7Y+Hwh6GWhVAjqAEW6tDUhmZHHM7UkAZ+ef
Cr+Brdpuvfk3xjRIOOFiAEDEBVl7BAn9i0YGxYzY0nz0hOH/bKH3+e/+atSvXTtzuA/UfPNz/Xm1
mrh3AxFF+DidWvA7qOyNTxHjgMckNSXC4VO6lyVtXXybuqKqP1CrWfNcod8cB4AGIT8IhHu2SmB0
Wd7Ls6yi/De+MbrGnDqEOqo+cHtStKYHAyUNJrg1RMe63sqvYmiHU+0ne2imLZfy0tTqc7aE7dWi
DSB1s5hP6F36FO7Uf+tR04TReQoO42Isp8QW/aHMvGanV7J1JQHrwYUGHhCHu0qm6z5zTId2V2h3
tvNHzsTJuRzLficK3Do5cjFCJUqXHKFyMy9zsYIceszAVuRzLK5zNCO7DkTxCTrx8Xz/Vm4+HQwV
qyG655R2dXRZXIOZb2NQRa0ROQ+iIIs9mvoggoMGKSe0q22Mf55iyscf3CVGOQVpjbo9uLNrfAPR
P13Mqh3/N/a2Vu/8uK3dZqYdMABzTWRQq7PuGGIqDEvV/e2y+TLXYDwA+f4GaAYBD0poQJ1Ufmjd
7nacNJGfG0zOS2FEJ8/uvtd6q11jY/kd96lGIgkcQSBRHr+1REQ+OaMJNBL+YaQs3FJAcFDoBsKk
OTWkHUaAzVtEqc4wINYiK1s5a3OopsbIFe2c0yb/BpQJr1mhm5/zqHB3StNb756iO6FyAAEB1Kq3
C9OZq0j6UqFkmCQ9mWS8YeWP1KfNOT6M3jg9am6ifbl/ddV/unaoiuYJ4kq+FQAGt0aNuUpsBmn4
FkWfPE1O4x1wrU11aINOD5tu2EPFbRokGiFxeoaIrDY0QmDBL+sJTjvE1CEAMYIfrcdgz9BZydek
tvYaRJu7+sx8zM1Qdm8XCEGOFsw6HbYYAcMPhdU7XwytlOdhsQo4T9pUP/aQ3u1Fk5tf3QuzK4/g
MNnao9mEhx118yjSoqER1uwN9W1vJm8TcBeaGuu6f2m5mpkoIoeKRIOM0zHQr3XgmD4y2oLEGbkh
/Of3b8zWF6HYso3nnA2Pcruhuci7AZQPLcvEdj90c2md4tH23ue+n+68iFubCBaUsQACJXqzK1Ox
jsDIRPspdGSaJ4dSB8d1gCthN0/buiTUtRBdIn5lGGhlaKbbVBkl8+3dUKPyUbv9co6MsW1Ok1kh
tF4E/imQbf/P/a38f5yd147cyNKtn4gAvbmlqWqnllpeuiFGo9n03vPpz5c6+IEuFlFEa2Zj5kIb
E5XJzMgwa63Ye4YtMLAW4ARGjmyZTgOYnigjt/JjqCzn1O77f9Y2BYsRJ9qjoUnmyQQ34aEp38J7
1Z0Dh7OH+qbrjG+Dl0m95CoDr3JlWkHg0GFskLWDYFN9MGJG9blMWVdav13H6anXa6ai68ME8HIC
Gj+59WDryITYTXXUo977DoDQcUciyGPM3OXZQimbj5uLaKvKtSfw3NGJlDnznV4uU3e1GsVHFag6
2Iddq2A3+AsPCMj00ios+3EaeoLKVJNFRbHS/kuzOX1EwHF9rhLKb9Arj6RFdzefd0VI3cmC2Lhx
THSimCqFpp4fg/g6odLWeV3Zxh9Qf7G8GOzwDweM3lPJY8ccCNkkVgiTb3aH/NbtU7h3ywT9iJMA
5ErfBgiqFZsjU3bY9DEOz+QKSNTJ2lEGuW8F6j0awpRTt0wnac6B7g6k8ea0pveaOuVPZmpIB85J
uNXtcyYEbThDNMzBdFx+yjmVNK0V+YEz5R1VF9M8p3M2n6dUXe/7warcKkT63kxr+Xx7F3dUrkSL
HBIVuQkQvW3aag0KSrR1ZmM1Gz6otiR7YV4sX9GDn4ZAgu09nLNMU2t3NOzpicmmGRpu4oMXs/FB
b5T0CHa7uxl0PBA5k5HG3AoQVmGDrENnWcQu4fJLm2U1AexlM6FFrZG2fdCVCA2cVtOfkCQ90hja
e5rIAymNUsWmt7+5ykwKVrRoFbMOwmJIn6W6y/24VKX3kZ414w85jvSj9e7dY5FVqDIVHDEu8vLj
E1slRjex3ikMHeOd2lvWi8q8QvlFnRv1Q7b0bdAZjXaQzuysFIA/DgvQrSDoipP/KtHAPS4pnDKU
0y0lfZ+rXF9lLYrfXSt9W42xPDC382gwzYB0lPkYilAGvjS3ZFXWUIDinA2a+SFfWgYKQSz9aYal
tnjL6OiPKNYon51SzIhfpSN96b3lUpr5QzTgmG91Ope8jSQ1123Rig1rVxqRLXAzCqg/13ZwREhl
r78P7paIQjfXmuwbiQshb2Zc3a22WBBcaXvLn7s6/to1o3q2piz6APvG/J1kQ+EuZl9XbmJIv7RF
632k+dUDN7lzm/gNgHEQ8wXdve12d2bKdIV5oeJpleu5NWu0BeCj3YWrVbimCfUONrpVnLK2SA+8
2k7IRfpGTx/eDEnWVgFjKAwToDSmlyJZPjZ9bX+FuWrfK6tj/+9gq8VpvdpqsNN0NES/ZguQKTRK
HjHiJv7o1OkzYYDzn8Xs1dlzYpURs2GqqBXRQNY+W1Mk1e4il7J6SiJ+n1vKaVcFCU0lBBW7IsbV
tWp99CH2fyEngdIBD+e2c2xKQ1wMWYIMb2gtOSNv+uKJ6rF2d3sn9sxQLhOIEP7HrILLe9YYVSFX
CWdOCeO48pekAi3X5Gv+6badvfvEboPwAl1AmrmJPoyhSntHQ5cMuFcWecqQNp/lTg3dnmQFXZfo
4217u+uC2oKCA2Ot8ZeX61K0rFxsm6A6sZfyO2gD+bdlDkdYl91VCeATYGPWtFW/7upSlxcLFadi
XadnvUrpeSDB7TeS1b8gV3F0RXZ8P9oEOveSMgewiY3vr2x6fmk6W349DVLuyWhulCfNiPvIi9eh
iM6VAng9YBh0/O32fu5apk5NPmuJf2weOrO2jcXpyB1sKUs/L3oYfeat4GCqtcm7XyhUDCtp8W9b
3XsF6PMI6Rj6gFfFwrEhCJdSgvZ6dLQBYNTavaszNXoPgQ/WrZJqUnNKEi3+L24TJ/ZovS5/UYlB
lhrYgZDhBd+22XNzVUqEvqmZ653S0GySy+iHU2bO4upzc8Sq2TtQlLGAAIGUZYjC5pp0jjEQxBFe
9XmcnZi3mbmhuTRPZRT+WknoD/Z376ui7kWhmdCJ7tPmlbW1aVJp6tpwXLWnNdTau3KQ3xtL2Zyd
BdB6OzRHeM99k+S6yAGQD2yJK2EumQUFQmYHIS8GvmlqYMP39oJK4+r8rMy0eGRCknGAQN6zKlSB
gFSwrdzVS3eg5jZj32KZ7pJGeaKQYimQjKi/j9bU+WUyzcRjLtShqMve13xldRssm0gKI2ZGV0Ja
OvmDgwLYaS7k5edS6rXsEfpMqjsMKnUMMzGfJXXQTw26jb7ST6uJMBMoRzOWtS9sY/cpSqvlmSEC
/Yfbd2zPU6KtJSYdMQ6QN/9yazRpiboKELwfz9F6rpwyfO6GuT7ftrL3uKPbLS6zzVOzTYzaJZQz
gx6QzwQEEMxFqXtyZso+MVx/ersp2BhUGGmvURcXX+VVpKrITGlyeiJVxRkZJi2luptSATsjPpUc
3J+9vQOiIJCOCJpeTc4oTIK0MrOB9KZ5dmIclXTKVWs8OLx7eycIWH+AmyAIxK94taA5zRiIrYkq
W7H8ByAvulPb9Se14CNIyZ4h0kmiKlWMGN5OW61lZajzBrSa1NI4CzNt8vQSPacsItp/80diSBFs
BFp2pE3bPlq5Zmk+CqhjBSn0EUX8LFDBnXtQFduDkHZnVcR4hDdsIZnLVs9AVzMdDjvg+TVJQnTp
h+xUUVr/taIf/xemyMjBxNGEoE2w+VLRiGrABJGXKMeqzxT248BKUDXoUuWo4rvXjSH/EzwcgV1B
COfyVJAHxUqW1pafp3J1VtRG8hLGSwbLGA1uSY3ZmzOrCTp7XNxwiaDTFUpzjte5dGN5WO670sgP
EDU7/o6GF1NMhQQ4zd/Nc7LYZd6qJcuXh6Txe3OEgVUpxMeqmXjGNBxJzu7aQwMEjo4JOXobvPJk
MyCtAZ4RT5IEflQx1mBpZ+3rooXaXRi36kEUu3eUHGoMOtPMYWlvB2QMnYbs4UgUJE319F+aVtH9
RCQQTIXTHAB6/nR4NikKRSRdFIUVkQlvNjOb8hDQHk+WpFSj6VU9W/ssKW2HChe99RfGRZv/S9Su
HXwJdxq6K5E1ai9oVjXwBdN5dBeDhNFnXgrU46mz6o/EwooVxGtbyG5nOOuHegLj6NWrOn5JYUGU
7hrlMNzh68StmxPLx16hS+VzmgvFEVkeetWNIsaE/K6UWTZcJtoP5ikmqI8g3DYjNb2maV/ytR7+
U+c2l9y+NpExW5ZSbjy57avF0+Ime5nWaqjPSOlpcpDWnSr5Zlu0n9JUNf5dm8r8GBeR87GNw3b1
O+TGjnoK15Gl6OExiYu5CvS9t2wofUB8xFBG4Am2Wn/vmoWJOYnRnxvDKM+OhS5n7RDd9mmo8BzK
n297v+uDK6zzOhECCaGVzRM1MPIorDNxd7swesfchr5zSUeNd6Yxdro3xar9+y8sgixiCBjqxbzA
l94iWzg3igVp2cYhP5ugQLzF1KoPihXXQVf39oEnvA64qLOSqKAey0opalzaqxwjVpeRNl/PfDc0
TOL+pKl271XMBiCDVpZTCm/qYFuvrydG6RChMA69F5jGpVEnS6NCw+v5ZmfmX/s1UalFjsZzCHL4
4E0WnvzydmIK/R8KjxSTQX5emorSQZqWkPwy5jJ6RSKF76NUNg5q9nvn5LUV8StevfzJos1JaVI9
r1fJesibcniyMi334lE2UldD/+hvPhs9KOB8EG14Ni8NhraSSxMengy274NKXXMPYPl8ztMWvCcs
1/uUSZRvjgXYSwHCFOA30SO6NAp7UzOg9NCX6uPuo6knoTuEY/Fhag7JKXsnBCkwOBZIklKN2CRz
VTP0nWRw7Qe9RK1EHxsPLUnTRR3mSNV47wYwKVkIo6CkxFN9uSoyCyF8AcAr6pmZXI6G49GUC78g
0V6/M9fJcE27OKK27x2YP6xyqqZ0B7ZhVbI2WruqbGUCeHA6z0rSvoy5rQZoBTS912glegS3Pcvu
OoWKCK8iily2+PNXZ1RGz6PvbACFTZOo90yAHX24is1TsUD60RjAcUaXoDr/jVFSckHQpVa6uX56
bydoIAF76XK5grzf/xwc4u5YknpPWrLJy0rlaKHbvYX1LIgxhHYwvXHbm7ODyAwMxSxbAyqxpd9l
EePLwzL26qKefbVw1oPS3PaJ+mOPoBUqAP6T2PVyY8Osc+RlTNZgyvr2RfSczmk2DT+zcGkewA7a
5zqN5BenqUJPVRo0fm7v8d56WTKvo1DcufKmVj3QyTBn1mvFP620nV8SaOWuqU/3hRZP/922trda
ijzMw8R/Aybe7G5NarrGNJeCKFSZdbQ08UNal3J5qrul+SRLNVw8ZWl/hMOcP/Wzrf68bX93tfSI
4ddCjSOCv9xtRv9JY9uNa0CBwkZ6wsh8Pe7zd+agKK60DEcUzSsZEfF5EQREj4xCHm158YNe3ZuJ
MYtjqMOZzPpSuVun1fotkrJzN/RKoC/F5Eu1pAbD0siPupLFn2IwawdRwdYd8hu4OxaAAGRugaFu
HsyZrkbHR14DPXcWfwJG4aVGmnspHKXg9v7umuIkkR+A0KJuf7ncdYoKtaJpEqCNMjzrcS6f+lKu
v4xzecRz3DHFdeGSkl/Scd6iGdc+MeyuY9wHsEbzo6kVpAZTlj4WmXSwf1vfx/5RMUGRircEXNF2
bOwYpRLwjUgO1NyMfUle0f+bF+lXRFj/nCI1qbmlXnQHUcHe+kySdEJT/uLZvNxKjQqoWjJuLLA6
2fJCVGjckC7ofZMezh3cO6UgirgXoCfgJG5XGPYs0VCkNRgdwfaYrXmhMJCadwWNjx+LluX/rvZi
IcZrqCdlrW0ZMRwUGQ980c5GCz1UQcsFI3PF1WDyx2C3vSQHfTZ9lSJdejCooSHKWi6neB1p0PRw
tg6M7uwz8asoIiGECB9F/PmrG7oWRq7KeaQEpCfKWYki6RQbc/JxJvM9eM92vB/JFH0EIAPUfreU
uqKk8q6YmRKESmMHNv842wqi00mhLkGj1cOTYyORyCCO0q+GOTtI3K9XKoQ1YA0y0Vz4gc3l1KRq
liWjVIKW2Sb+XETx98jJW3+J1vX+th+49rOC7UzSJaZKULfYuL2kaNOWGSJKUABH8qwiHx4GWV0f
6tqpXa3t+i+37V3vrCIzoABMOP5AcFQuP6Jtt7AJEUoPZnhgbitP411n9f9qQ519MJSqfpQ6R3mQ
+dLuWpe5f9v6zsYKeUuiTbj4lLs3r5oa5mFU6eMUoAxfPkpJ/L/CaKIPVpfJp9uWdtZJdIIaFVUO
Rn5tVakWc1jsxcYVza06B5WjZh8R31/uI6Ok4L303WMVMdlSUtPK19PJOShX/OFnvE6IaIDhaxFn
4aSCWd1iUoaGznxXjktgZmqsnTUzzGSXjE9FtNyM4ncdxQjHY0yX+q9dK910Ei3B1EvkPn3JSZ2K
9y3TOFM3ViOn9nojYZ6PYJssjz2xev04mEVPDQuxquQ+79KwdZvGptKVWUN4zouprA8+3bXLoTlB
h5g2FmujW3F5cOiON0rUV9z+0K7OemvPgVLLYvOom+RRneANw8r87/Zn3LfKDVSFnOLVQKOizdG0
lrGaFIN6hmU3nftlmJ+dpez/186k7cVYxv/cNrpzSsEa20LzEyVtChOXSzUnqXQWpikERh72LgM1
tHvLKOdg7mzz4JjumrJopdnIDspULi9Nge/TWrO35CDpav1cg4D28MGSh45kcfABhdPankiiZ3IS
7IDN2ZhCaLkoqziTg8K0M09L0uVshnbiypJtvndCRwrMpH2kft8Gb99O4jmiO3B2oAs2UdXEFLWl
BvcXyDN0QlPlayqxxVA3xYgOrt3O+8xt44EWTxT9m+0MhhqPDngmJQKBVHMPvO7HsjrtqSjpdWTy
3Nz1bd8+zBqoeLds08YDb9kfrHfHpXPjyd7BxJMXbV1sYkUmNMqW4yMz4zodiuEhGdP43xZI2FPV
IO5y8DDvGBQqKkLIF4AQIPnLQ6TZUaRqTbMEgz5Xn6MqpcIdReV9wiS4QCIFPbB3fSkFs5GGEpEL
vdLtrI3MpB5H510ObDOJHqXSHoCzaSFyDLHZnap8Hj8vnaV+vn2Mrs8vwY4YlmcR99C5FB7/Vfih
D71mxxXbOgA48kRhiwn0Uvk1LtvyEVLJr7ISwDNDOmgIXl9RfAFdJjaXz0n6eWlXywjqlpYXUzU6
5yXrMxq0WZI/JFkeH1zRnY29MLW5otE86GlW4Q0cOy0AtKFSmUeG/V5utem0hnXtKdraH0Qgu+sD
ZiTD1haCYhtoiFwxDzWu+ZpKpaffQV4Xvy2D92SKC+fgZlybIp/EyQldOLjM2+h5qs3I6LulDQbi
Pm+hUPRuVeOPem1Jb/ar4CM4LiC7uYYoG15+NAQ0ErNrV6B/YZt7Bcqcp6qzdddKJOnj7XN5HWkI
KAa+hjsvZC02r0WdIIkIbw1Tljrc19PYu5LVFidlTimGcB7dpWQ4Hpo5kN+Xtw9aRWtI1tGspfID
DAY23uVSp6FYK0Zad4G8Js19X87m13i0NJdikfJcqX3pESR1d2VeDy88ouuph0jpj8ANci+a6Xgc
eIe9jwy2XRFxrYB1b7yRjbBzG6KQHhT1OiHYUshfaI7Q9VLso6Fs1/fFVng3SWlxCpRMN0fXZAJ0
oa1hGUSGVnoIWf6ezNp5SMe+C6pRWz/GS3+EVr92Q8ImkaWIX0V8ebndcm6FTU5wF2RSGIkx0Kpr
SuPybsnywU/EJMBmWdST08VHE2Wv3Tw6GMjs87WhttHAvbS8gnGMilKtgiqPDSJXRbmvU3s+SwOz
EFcCpZfbB3tvd0kv8fWEDALnemkvT8uw6hW9CoxisoNEtjIPKbAksNdOv0vb7BvVzKOW+94aKSpC
LheSmDjeS5sZQTshn1wFYTWrXmo1MTijmMskz6kXVbb5ZufHzXllb+MnJsPqnCpRqmDW68RVm9p6
Vy19eZbt2jyITXaXRpGLGQ08nOQGl0urpKyrw26qAr3RRxfRT4oIZS29zxDLQJ3YeXsFj6WR/iDK
SyACXejS3lJ1eUyOwlbOWXRnZ9V/Y1YxhbhFmrIdDOdgJ/fuxR9UAaMgiJu3HrdTzVbL7KEMEDoz
vkZ0/D3HShK/YvaX3zWK9c7o2szLUq04eFXEQi4DW5p0aPSzGATeaC1cLlSH55znUHaCOIy793DT
lyezGLODKtMVwAA/+8oMiJBLM1Fda4uyGGVAWz9BzbmPfE1vuyc7jF5CRhM/xFYRBzEgaa+N4GXF
KbutT8P0xBy5nrB+1g9oinsniv4QoR+9N6T1N1+4tWty7d5CYX5dpqBJ+yZYO4aZy806ney4P6pZ
7tpzCBEgRotS6eYEd4PJKFNIOUGr2tnvQh6t77WqTrI3Ll2RuXFSjf/edkH7FklaeMFFYXHjgsy0
60nT+bRz0+luS20vGJKwOSn6EgFFt4/o7DtvFyJDhiirIRtCmnv5jftFB/9r6mWgFLbqMwTZ9uzV
Ke/ruukPztOedxVlUh4TmkXwrS5N2UM1I0Ri8/Hs2HmnT8vkN2VlfQq7YnpC/guftwyA325v6I5V
dLdoS6GsKsScNhs6Uoy05lGrAlRyu/tqHqW7YgQuWxHwe0NlKl5Kt+rAqLiAmwsqdCzQKfzTodoq
Paagc9PVyZugV6yRioYevstK/bcxaoPPGJXpITbU6M+gmsduUvKDW7KzZIScKDjxmpDRb9UsO9SI
1klDykyZwsErG3gDkxMhiK6O2WfLbBUv0dWjQY9XRC9eaVSIKAJpQsP2aqPLksqaqdW2D1C4NgM6
KSuywM1o/CI21u+jXguXoGB03PtiBjf8uKR9+N2poqT2Z1OSDt6e7R6IXyO8I/JSQAAZ5HZ52Bad
dmeRqbaYMbncp90wBGvbpIHRtx39NFRMw6o4omVt/TJGib2ZiErlBkjAVj4ENVjJiLM89K04Lr+y
2+W3pT1khm8P1x8rAJBA7FJCvQLpKaFDDWwsQgRwCu1JlST9R+E4nR9q0XA/t2N+6rTacPskqR7L
0T5wUFuHIaxT0RQ1Yl3oDoiNf5WUasNgMBped/xoqNenuNQetEgeH+qJYvXtm7tniYiIug1ABEGI
ubQ0t5U2IUoB9pusZ3KNkpKUCx2z+SGXa3kA59g1BhZHkKf/kJw2xhrHmNZVBd5urFnn6aHZehOd
0dTT1HX5fHtle+dE0G//z9jm/e6cdVikAUR529c1kGe7PVvAZM5/YUVkgzRHCIu2LYXSXDQlHAXi
FmbNSU064y62e+vjbSu7GwcghA417wTn/3LjrKlmviq4eR+Zw+IlnKIv4OGG08JE3oP1XJW6xNET
4phge0hAr1pRKF1YalprEFhBqVIQ1fKfjV46Ho/I8Fi3seI1IarZyNB2Z60d7Q8ESm9Fr//5DX/w
HGCbqJluIoKpborE7sDnoxeZPMxqpriy0pj3CFsvvhJJ64PU69PBy7kNCjBK9AXhAwA7Ln1LoO7N
VI/lJMWZmfXgF3LbTV5a4knDUG3PEintwUfdM0gILZqLFE5Rabj8qNBawiRD9YkOdAjfqYFaynar
vr2a0oOSHs4c3TlEWANGhRAoodZWnmGM8joddAfR4F6p7qy6GB9ifTFPFlH7wV7umuKFovqDa2Hy
5uXSynDMnXKybT9Up9JXtFp2G8rRp0aH5ffmq0E9VAh2C54ZUM1LU91skgXkI6tKm+k+rqNfNWSA
F6UjEbptaedJgNiMqA5qUoxC2QY5fSqNCrNfUBBoc/NlGdX2G/3gBDKbUX4mjTUfy3CNPDmaQmre
U3Rgfm9PGfHMewSkETT3xgeE7dIA2wapWlBZOyld25wnO+v8dpl/3V7ojuekmEYJlroTGvZbkEjM
bCJrnvFpTgG/udEl54eaOfXBY7B3/IGiceeg9Ap00eWHq83SNFokWfy+nYpPfVvE90mUjp7eDfad
QuvOu72qvc8HClR0KeBVo95xaW9gwKi1GjRe824czksdSb+LxcxfZKXUUyb4xN3ZHO3yXWgOzbfS
6qKjsStXqZ7wMEIfU/BduYBXpeZkckwKvY4PBV+OTpPRhl7YDPkvoOXylzauy1OqRFPn97Wpzwy0
6fqAYYfOJ9q5BdN/nMT6mjjR+BcHyyK1ZnCAyIeuhBJCGnx9uTpovq7aCf7M4toaykMNHcGDy7oT
MApRL5h1Qvf7CuykR7Kdokrh+GuD9gCernZelniwFdeIjOG5TjstGBrj6EDv7jxwJ3DOovUPouPy
2+NnNbuDdO3nVZx8SRs1vkO0qn7fxJF5JjOqJlebVTErvZYjN5KN8kvSM60d1P+4Ut6Vh+qXbBTh
EYZmZz+4aBQ1wQfx+myrG3mk58MQNo5vt0rl9uzb3dphMF4odNZKXyVuy1TX0+2bsONJ8M1MGBEF
TlHFudwNo26yKKOb78OqXMkWtD6YDGNkkPC8+rdN7Vw6iiegO0zmxHD+xU95FchOBmh1peCNmxKp
DRizDe7B7GrI1Vnv9aQJ92ZeftGbIg+KFS3L29Z3HBnHDBolfozEdNvBqqKuT00ndnwAi9pdywx3
csUpPnAse9vJEE/EPoS6DHnB5Rr10Vy1MONdhTr/T2mU0ZeIM/jImNQjItSOywRwJWCCQgOXQO3S
UpM00VwW7OEIcs2rGhRsKtRVPWvtxCzvJr27vX979iDK84CTakJH3bytctIUrax1DliVvoCrnn3u
mHZ/lpqq9Oo8P2ol/+nwvc7oOSCMexUdQGT6KTxt1teNUcZHah1/KOPylMTJiCSz1XmNqtYPSyet
d3Fjj27LOElXjPl1E0Rz3+Uax9aZOvNuMMzfCOyp3mxSRGf23nSwIXufGvdhcXf4AvRlLj+AOoBN
dZzcgVaZaBznyHxpCz13AS6Gwe29PzK12YucV7MrSkxNuVzcp4pV0LTTkg8GUhQHl3TnmhDrE/JC
G6Tfu/VCcRQP6YTyh9/oWXTW15KW7ypVB9dk5zCRI6EcifwAal1bRY0IyG9fMyAUlVeJ71quduRa
UacEtT7BW+pt83+3d3BbOhbuBvzDn4KbDBRikwDSeV1D00SzKmTS7hfFph5lhfk7qU6W7wvlv2fE
Fnq3XJP8YKU7n44ojTLfH4QOtKLNKanMQnUmg5WKCQY2WgeuQzP9WY+a4qAKtbtGobeEQTEgUGz6
K/8aLwulUzUK/RHRnf8gYKC2Fkty2aAi3aTfFyNSn61WCu/bpm9Pt/d3d5kMFBbUOFAmW7KLGG6j
WWiEEOSn6tdmAWe02EaYu041HhGJ9mzh9wT4Au1jsLyX66xSS1vM2cQz2IXqMgnVfkiz7MFeoTe9
fVUUXkQmSE+ZUO3SEoMZZnLNOkQGLWmkgHIP0MRhLKrBi7MxWQ6eqL18G9CDmBOC4o9QcLq0JxsJ
g4jtOPSnsaJc6RRG/8NU04GJX7bsSmsGpSc0v659kzOMpdC9suzqgwO74wD4DQJyAUVdFOIvf0Mc
RjpEsJI1MzPnG8rPzZeG/OJgqTvBDtV92sMU7/5w+y6t8HBKlVlZFO7GQk4Du4grmHUwbJpB8XXE
hYyTpHTKW+ei4gYomnBGKWkQcW5VF2W1yrJEl0N/VVrjhyFP5ud0ij6/+dRcGNl8RSeNy7VWMDJr
XQjlhMumVnF0Kppp+t9tU3vBLLYExxbldoQPN+4l64ows7QhRIR8KR6yaHZad7D6/IuqZus/imQm
D4s0Z+dm0tKvkZrOHhC7On7o7LYq3F4GDD+OS3V0iMQSN483gQLVEwrBYMK3TQ5pirVBX5XQH2Il
PVPCnU8MyRODl8LGzZsjSZW90yQUxshRRad+m7XYizIajBjAnBrFYea2UI4GlzLZOt7TMbM/zCPV
qmcgFN1RnLLjjADwEbhzX6jcXHWTS312YGpIvh3qAJOQvv+UNHnD0Kxs0d8ecfzpkyMhLnAn28qf
JFn5NGk909pzpfK6rJEpBydNMClFcn/7YO19QNGS/z9TGy+gQK63q26SkNYqND+fneGEPOl4cqSh
90qStAN7e9vI1D+BM0EcA/zhpT9QnCacGmORkMNp6JSHiv5bTeZvhTKYX2+vbPfKiFI6oro8+1cY
89GKo15R+WKLUy3/rBr6oK4mt/8MDdLEs2qqn0TajqZvHrsIZ1j3aJ7obiODju2oJFGH1Bv/9m/a
220BeKUWp0FT3Q4P18Jeyi1JlvzOcqBwwTwc3zdMZ3NL9B3uoe0Ob53NLhyhJTA9ZJvk+1ugx5LX
jSQvlURBPOuJpK3ulz6MdcA0rOfVMYq/cIlUO1AhoohLNWnzeZMhpKGgpOy5XRZ3aTEwT8aG/5KI
+de393LvJFmwfLiToIivmp6E5Fk2pXhESOPhlzytvgNgcU6KFf3NmQWDCTmCLhzx1sb3Kk66Fok5
S/46q9b3ZYxfWr2d/CRRj8jL4r+0daegKwDTgwoCeyrW/CqyW6w4qxeH85HNaufXmd65oTQf7dze
KaQUDDWJjbOv9ONJMVeqPNxB3Vzas91N0zfggaEr5X12ijII07e/1O6qqAlDwQA0bG0zckm2hmUS
Uo1DVsn+bKXNy7CkANJvm7k+ECQyoAmANEHmuqqryCtqhSWSRoERm9W3vAVA7NXlUr1k8Vp3B9HT
jjGiJohQPEb8a3sm5l6dGbtZRcGqFKun9Y5zlo3Q8kZLnQ7CfRF8Xh4KJMqYvgA4Q0i7b8EiNXID
MDB07tSkWb9gr0Xnsp7kzmVu5HAfg+O9UxpjMNzV0J3ZDbVlOrjV1x+QXyDIM3BY/rDaLo8lI0/U
eGocyVfmKX+c+0J5SEtE829/v+tjKawIiq3gtl/x2rWxX7q0zSOwNxECVFJS/EBWNE+DuKmlz5JS
Jqp/2+LuRyQuRf5YYEK2hapwqRnLlPURZajWuU/XJEQLotGDmB7Hm590FvfKlFj8q5s9LNFUOXob
BW2V5X5vlP1THZI2qZEZfry9qt2vZSJZz6FRiSM2RQRGDKh2Gg9R0M02g6eVrvskR07xFwuisyR8
vSiKbHlNQ6M7pRkj9VolrXOOjfrfqIjGU2IxEPr2eva+EgVk2qwi9r0CXbShtmraHEbwNZPo3lRC
+WNZJ0Xlygkl3LfbAukvKLm8mrxhl59JsZNUnntJ8htTHvwYUN1dt3RzYILse3O7DGUVkXTyjZAD
2MpB6oVWx4vUx6IUUtytkRbdtUrDuCljPgLN7J0IHmRAvX8KFNsBMLI5RUo1qHEAJbUP+m5WhJpd
c3r73gl5A1HnBzC9paHqUWnpYdLEwdRmFrR/s3dNZhrca0105H13XIWAkVJipsYsmKKXn2mcnXii
w58EtPujp56pOidNmqygKYr8DCrJ/HB7aTsbCBGEShZNQLgYW6AuAPRMMRsjBuSiT+8ZoxM9M8tZ
O3CA19mN4CYx0gIqnQBybQqNuiRFjdY6SVApoeYNrTZ6JqBhCPep9EFNoyRICJ8PXpedrbwwuvEW
UVY00RhbSWC2VQW4oBw/ZHPWPlrFOv2y67k/4EPubCX6yvAueM5oR29ndwyT2qlqhFcvuk7z+JLO
PeKORyOPdiosQnVPjO5AlY5jvzkhaSVkJ9DgDlZ5lYLQsTtvttowqPAmnplK6v1YltG5hx36wAdn
araaTcHtU7PjuCB/k3tY6K6K+aaXp9T5/+PxoixYjDr287Uaz3YvhXQcS+f7202RXeOLeZ+BM2y+
Yt7RfoMfkAahXLT39Swl7qrUq9e1tn1wSm1+9SYcESO7qHXCMqVzKP781UsGqU8tqjhncMZoLw8c
k/aFQSTZuec1fd/IovQwVnlCnFegnnB7mTuHFduAg/ibwUfbr4p4rqVERpEFUiSZgbbOlYusvOJp
DY+4Wk9HoqB7X/C1PXFjX621icJiMXTsQRjuPDudKs+O9PZRHbT8IDHeufxUdwQMBWgj4Zx6acqe
il7ONScN1DWW/5kLmvyznqcvTaJbpZtTCfxJdlecb2/o7gJJEGkL4nSuSLQDd95Ikd4IGgPsJP+/
/A7AiPLgNEN8sMA9U7hPoVlEx5k06nKBcieSkcbh203J5IdRmnxVJfAMLfLLB6b29pLYB9Y1xXFw
WsIHvfpsVVvkbUe3MWDQQwlTtqlOkcxIlHgZ9ffrlFVnE7LCQdi1dzZfGxXrf2XU6g1NYiII98KS
6wezjxSvTvLqoRqG5MEe+7eK4HDTBZ5H5FMQ6KHuX9rTYyR9sjDOA4h674pi4k0f4jPhl3kO4Sh7
lWMfxRF7+8rzRDtdPBlkc5cmR3WRzcaZkmABbcw4DbIxBrkaoQ8P24jdChd0Tlr77b1WhJrhAAGk
EDN7trfezORIctQlCfqyG4KxZaiD5Fj9Uz8Yv99+HQBhCm6g0GzeTomW0gpcYignAbR54y5FyNpL
Zm3w6krq/uLmoW4PEAxoyDUGUx3CdrSaLgnyNoneG1GZ34MlX+6WUTtq/V8/ueSPwEqJyQSGydx8
tiG16YmvVhoASCs/AH2tnvS+ORrte33+2TWNqh5gOl3gLS4PB/oSYzgIApXGzFvEAIaTaQ/Q0iv5
V7Mkmn/7S4lA/PIVomGMkjopCKVndLwvrXXKWjpJDRLbKuPi3Pw/zs5rOW4kTdu3MtHnmIU3f+zM
AVAoVtGKovwJQobKhDeZsFf/P6WZ3W0WGeL2HkxPKIpkFhJpPvOarQr3gHvuvLHs40BO80FFukJD
T2cXjru81sB5vhFAhFGERyXwRLI8r8bLca5Ha4EZVmaZh5jftF7iRdE+uNGoURXuFcjJaLj//SM/
P0DRpLQpeYFPRvnqvFEelkXgNmGkUlKgKSlLpS6wSTYS3OT+qgU8/TbIICRBjAe+/1xga8kiORnR
VKeQIrGJLUaBnLhQTdTGth8UryDKn0cUjPaLC3JSBOC8PnuXEQeZP5Toa2ZOfzkDO9ttaDskdgBo
qA6bt3XmOEeAKoffT+hL4wJ+PrkCQILDn+vpuM0Al1PboFCcog5uJrMq7mYfLyQxGw+ytvVFUyBV
b68s5d8P/MKbBHl14r4gskUz52zg3MQXh4mtUjEM89Gayu1oB+MIIC2szNfcWV58ypDCCkRK9NrP
JeC0s/T+qJYqVfAm6FaMlooDVZv7clzvyn7u3zVRvSbl5L+GfXvpMemU/MtJhYvq7L26y2RTfjfK
tPNM4sF6ci76bFuOzWDWryyhF4eCmAExhPOLLfL0VWIIyCmaq9OMhg6dMLhjnjGIO7fvmle24Uvz
CbgIIjAwSXAG5ydPX0RVYbRVWoZwJaERqovOmFrYwbb1YXI6+2K1vXEHJeQ1n/ZTtslzPD32uPRP
hFgqZcRS53rFapqVKLMF6wK8hSYnJvew8HbrcJOLlbRqxNoyM5NJ5iwrhxCrod+Nom/dnbEU9k7g
hbXEjt4WP+4Lo3+w6EdkaDg7fRvP8+wea9DzfdLAS+3iACbPz8Hg/k2b1RXf1gCOURJES1THqo36
HsoqHiVx5wYaG1IcLedkzVduFruWOePkcpkPkBmajvhSO1+mquzr4zJl4byz9ejoZOz4SQYq0ZiV
NUjleB668mB6Za2SuhP2pxzZ7mGntVxv0ZQQxcUoRuOLt3rRofFFqWJryfPwQvDUqT3mMOZ0u4x2
QjVKqtQ9nS27CMfNXWcUCnKkGiwgQ0zh0VStqGOUThBFnCM0U2KFatiNyqX7s0B1dUh0gXUD5Lup
61m0tiXjsDeMIq5yc7uacmk4qOwUhXk0wNKA95jI+OK1pXR5ka1h9TAJCxXEXIjgonQ1fp8q7KIf
rm2o74CsylMxUFeXY6ED96rrw1zGs+1Pc5K5xnQsO6e3bsPVN69L35ydK7ls4gPZgH0/bfn8tanz
6jOS1cNXoDTdFBsqNCO6LU55HbX0tNJMeUC2Ms/wv1oBSUUyBOEs9uZAfqEsc73jmhm6Cy7n/N5U
MJCTMpv6g4sOFeLUOverZLKnut9NPUrVsYkkgoy3ejC+90ZTjLHUXWaD8Zu3Y9851RBHSBt0iTGa
9hvtgC06bFtWzYmuRidIFydo6ABgqImdgbsA+1NoB4UxSjr6gyVVdmutpc53Q+fqT4U0lhP2tQxE
Ei5TddOTpzzaBVFgnHewBA4T8M5v5jjLMunbxXFu7FEUWG+JCuFOLyybcWflbf0RB82sTdZomy4H
JXS3Q5OgPU5O47uxYWYQdbttbN5Xk0BYS/XZopNM97wJUfU4lQGccB+pbFVghuASD7E/iuWjn/Vl
dlkz2Hd4NE6d4A8B0IhcmWgA5M36bUbe6apsev8H8lrcYmWUbV1a16gMpiWqSWXqBGP7RkWOEcTK
jAYzFr6We0WZO4iLzBt/2lQ9f0gzmi9nLyurC9PY7Hc6qLFcMtrGV8xJZhKZYqW2ZxGjLlO4Il+T
oKsigfa9kau9kNMy7Oa6tvL9ak5Ni+SwXdYJEmfter/lxean1Sz8Grmv1r8eqnkMY+pQ5lcxmw39
deC1x9mxS67Briy/Tz0enfFa18aVdCbxDaWX9cHTNjUVt1hWK6ko7V8rBQQggcGbu9/NII+CN2uJ
+l9HDX7auUGvofK73dInW7Y5RbNbyraT+7VAGZm3QcqdNGICAjOOPl7RAGWiz25nWO59Zi8ONiBK
gxKMdTDP1XGyrQ79PkP1UsewVbyv9Yht074L/Kr9CWQIaO+A0IWZdsT2d6NVjGaTuJXM3IQvkbWX
AuHnMs4DLedbUVrbFIOKma+DoTRcJJZbIIazMQzFJ89wAVgsVtPMbCUjOKKrM0zxaJlKJUGVZerd
tLjOetEOYizj2di8R/w+xQ2KfL50EHe21jeiJARK+lkZIg67eRGEq1Vdfo0glQ0xetJjcacxwgiH
uO0Dab0tQ0oByeYX+ftutIwoDtx8KnH4syaQDygLoWfUGTMASbXodidF5ThxuMo1v4icafzoeSLz
46AUoX1YNoMIjjs/kPt6zRdrv22oa+xX9O7t6xUdn/px2iyRPTiDbNTbNmvdhw14OsYOkavbW6+w
7fxGh2hl/qiMzGquEDiI5G1gLpX9CUE7O7wJp660dlTYjLddJ7uKA0G4PsBOhbqu4y+2k7hrWeQX
yvTLx6gKxmtvLmd96C2Om33QoSF7iIK2J6zPR9kjVdW3W9L4hc9LzA2Fs4U/6wtHZnOx98oOBYo6
C8ZHaeWmczP7df1zyVtvg2Lj655DrRntm6Leqvedsejs0hdwnXedn4dvg9G06pReWj3sV3dsf/pj
0PgAsOT63tDjVCUjwWB+LXW++PuI7+PstjHCf85drU5cmn42hfFS9UZ+qAwXuf0xRLEHySWlrhw3
98TXVU9tsRsab9t2blV1XWxqVdpvVZ838g0LsC8TXzuV0Se1yXK7DYjEEJ3PA6gm1VrZ0YXflX4f
F4PraHjLIgjegmswzD7x1Vhn+1bnxrKbUIJFhEyVw6r2FQ/T33RKgIg187HUdYKOxezE+TD6V5RL
p/oQTVsQ7XOzXjk2jWWkipbhsOemoehz/SN3NvFZO16hEtH0YZC2o+e8rwJzHq4LYYc5kD8MnB6A
ePvFrnF9rGKQMR4d+AuhLcdtQa4oUhvRSSi5TW+moKsNqAZ4bkcCMT65RD8tp5LmXVVZ5vTRygwh
06La4GQvtBs9Z+839RbuB+XP1Qmc6g8p0qyIZCgtAFfs59pa+0+mQODTiCVQpHJvKGNC0qtxsZu/
0EVRdrEL3r54JGhE+5T7map2j6Fef0EzetbvfMMc1kR1veRURDLU2s1B04KSl1vJneesY8SWt1pn
X4Rj0APVG4YubsFjzXGwBZ35JcrDoo1PelUO6uJLF1EnhGaecHo1cyxCZ+mSBT8ECtD4TQWJaZec
ANrEk+tUQtHrNTQYJHrWKZN34+TXayrHbJU39tK1V4NRVcUuH/rq2opKoz7UaHubiTVX4ttU8A6R
eQvLCmw9gKikyHubMkmlxygGAOqtOznW0XKpXQ65eLPFvCVLtahPK5Imd1OzRiCmh2DJkrHJRzPO
4DEdFyFmFxHeXHO4Tbb+OE4yGrET8YUTF4te75pJewbJp2mLZOVI/RDNA/5M+OpUd6iec+TW4KPk
zuIoKGNvdO38TW5qUhvLLes6LoXOox0UidHrOcO07SaDa2/1XiuzLXfamBt7v2YVyXSJhli1c5x1
vVNLMziJRTktj1vpLy5i57qaEmrOvs1i3CZxK6DKyB+qLvRSJe2UlWDWqco1iVeFBMRWgbZmzIYI
i33VLt563YWeco/KlY59qJolXw6esnR3IYxM892BltQr1hlDHfnv+m71+5IQaFRZBEi9D0TsFl4T
3fRuW+mbrpDuyHfroLfGdrCtbhivbmD0nwhX++5j0HdtdpfVkeAMNInjZxEbXjl2V9Nsb5Sy7UXr
g5X59a0AuiF2QV9KfXSzUIlhx3+M/HGQovaofDdq2k1ISjapb+DAGBdFSHTG4VC7sRgsGuiIgqg8
XqMaJb9lGsP2QGGmM3Zo7zvzWyyU3fcWf2272MBmiHgx7GFIa/ZBt7fNNfza+luXxThyt8GhVwKP
AlLJXKVOlGXT1exG6l2wUeZM3WAOYNE0AueDwlN6uOt0ZZjx4ge/0PoaL5qAA0LGReUpTiID1e6b
hfAZSUKulmlnDVn+3VuCcGW/FN4Xe868PpmDSNwrYhJ7BwrDPRi+iRrZWkU03khvpMZ1xMpsbM5c
dc36y4wLp4DFGkc0KO6UE7XLRaP4rAmlW+5KMNM/8UbBw7KjV/o2d+fls57r4ravHMrEeQl3/rrs
Kpf4o8+ERz1zHvuDNJWATNLCTLUzmU073yodmaJK5lZp1E3We6+UwRBrdwXRBkm8ucOqAx6pUblD
lEBgsN/0CwyHGKZVpC9Iwfof26brq2gMw+6w1NX8CZXA6KZYIwx1xgkMO9GDxW/4U7SqQ14Ge1U6
xl3jNiNHsHTC44gf6Y8SR9fmPpxH+46F6QwkDsJ4AO8QSEK8qrwE8pC9d2ujVnFJNvE2KzNh7tx8
aN/xWK68CmQjGCYPzbvFWCMraQxL30T+YtoEvGrLrvx2cT8qkyiWR8lWfShWv3V2yvEQ6yB72z7i
mMGOd6JxdS/UgJ3ksQ/7KoiXmvezC9tsuCvWfgjiciwEqgntxGyb3HVX5myb3xtXlNyz6DF+w5PL
/mG0AlHIVUfFzaJ7brZwnMw8riaOn5St4H4qql43aQ85Pkxq7XlVkpPxePGaF3D83FBvsSVy6xgO
9qmKNIcCwTOnUkm0mJOdOK4eg7R0Juu6zVmjyG57WR0XqtrqhKJs1hyi2XUbtAZQzk49uzAuyScM
sffbwf8uRwOczzYNdU4+vVUlN0zHHbI5TaRuicTGJhaN8qy94gaAY08T4lGv7YLT4IQQ0kXpldk3
vY0FucJYOF4KXt/349YGquSQ5wqYPtI+pVOGvz44KrSINxHbuOpsxd8G9WZWaB83jZ+U21pdbGM2
L3GT107xdpws8zumjP6YiD4om33tLez/gVS6YP8iZMa94FvfyyCqxK71LIL8MvMbi4TeA03RUrdc
Eu1XdrUrcNQuYwvy3BzLpZncpGrBGVM8miiy+vMMQN1oXGg4vfK/TnIclpRrWygu5qq3Yisye/ei
LTy7TJulL6Z09AL0T/JWR4nRTNnKC6bMcpCF3xaxNQxjmPiukMPtklXdbY0+lo7RyonCm4xk9zBV
tfMRUFY2xu2sWoWjSuQ8FBJ0M9WefNvJ6nQ3OKONj6lpDoT1dkFdLFnGYHzru8qW8ehLt7hsehqM
MeRv9x2ujGo9qK6IPkK0da6LQVhfTFU11fWWoz7Gnbr1XTI3lXNvN/ilvykav/tauEbV7Dei2sdl
4zJOKr7izxZCDSfJugU3c03HKSZK1PlhtduR+XSMvI0BNdsa9Y42j2IVnqQK7NwlYmk2/0vXLJO4
rFSDjaM/h+6UwLPzaJa5Xh2g67Qolimm31xhvqqi27GZ14ByDuWWO+RbyzGGaqDubVFn2342l/ax
Lpd1SkJviYimlsyjJmS58tspI+Fy48Se96S70w8uAitH8LDJkZirRibED5d87/ULjuLUA7ZdLVoj
unK1tO8AP1sPTReZMjGndTzS0ZRkTUFQ3Deut05xZyNjFvvoRrtx6FXqvZW5+TfbGdxHveiI3nTW
tReLRoMsIWUjFXfJfj22YNRfluE2qVg3IYqaedtVGee5tT5y9octZsPj/MVpTaNi7kdB01eX4V19
0pYESiXr76076/nCrSPV75hTHFF84dtvs621rXhZNqeOjRbd9wunIhaImePha2cWzRgXkz8uMbCM
9l0QtvragzDQxg0r4W5oi+pjjhTbYy697EAka8wo1NYFsYfyj+W89Z/mCaJI3PURRYLG6Wvq5Tih
0rkNtFETMJbWpc6rPL9waltQWxsocceYOy7IaEWCY66Yhzk/+riXdwl9IXA0rTbJBMy6tW91HawY
/shxGnhw1zowGY3Avsdxu5S/MT3gZkcLrqidvtyJdW5Z9ZEcFsIA3X2j4BKYxCJieVsQvDfYCqFO
FBezb/7waG2LWHZFFcJYqtS3GkaYH3fDQM66DEt4OwxDi5ZsXVgPjmFaX6JKzlay6MH+rquovS9Y
8Fvi9fZ0Ga6iCxJDE4Ec/RFFYmqTXnuJR10UJkah3b1cyWsxfTWDOS6tcPHToMtmgwBtrlcOpy7/
hIJP9bGPrPKTKkxKD8pchbfXWTd/U5Ns30ZFS/1SRb6yd17n+Z8zuVRMGsWmjcayY37L3dK5noHB
zYkpDWyytmASP8K5JR4cyZ04B2zP/Ow7sqOkJSZB6DT36tpHvs0gUS+3a1yYN5lM0QYuy45a/52l
Cvdol1P5qfEQ5Uql8vxHwq2V3Wj0/oMKUCbcSXMtP1LCLb5ZlbeOsMHa6asFy9WmrLARA/n40UsI
GSMoL5zM22+rBUI71jpaPgDgrHWCNovPKsVHyE5F11pET1lN7tapZbqoM7x0Ue3z3EMf5MKMq7Jd
qYmEoyF3ZTacTmy8dO/6yloEtTIv/L7IXj1OMMNU3IQhvi+OplieBCgVvYXEGlTJqvr+u6k4dVOW
lfe4cix/ACbefsg9ZVN9yD0iiMxoOUCrqu+GJMhLY043x8I9qg0KvnU5KDOkCEG3Dj3BaDJ2S+T3
p6sw7I7dNHMUzKOT30WGQMvSD/S8KyeUI5PJzbmEZhKiR0sTRMHqbLxjPdb4/pLmuB90AXDn1itJ
DBMubB2wPXSNgrqW1YJ4KwqVRzPPF/tN4wasoW3CcDKR8+zd0fZEi8oZZR4eBqq9ZHet78pLhyJj
lWpZVJeds0zTvjYNHcVWbXpLMvpTZyUhvhh0LhbXn2Jb+cFXwBcDr2XNRpuSTYMMnkWJ+SIqrNlJ
BH0NhHRKWV5VGKQZN05Blr+bnMjo4lA71G0i4bmgHUrHIiqfwpaauCr6h3kyy3w3tu6iY11Ho7yj
di++aBu1bhg0pX6ja88CSrc1/l3ddJU4Vtzyb9tWTrAVJMF/CrW9HWMFi03BZl8IVxurdYcE+wDr
QquxqNJ+neqHQQekquMSEMxnRB0DSB0/umlRwEZPVOv5FkIfdaIIvvEW26PPveZVXtATPDtbGddq
7rvYotr4YDezIQ+RKorPxEPkgUbWBQiKRxRlYHjWigOJnvS9aJz2cx662ftxXWb/VEVGGF7TlwiT
uSCjSTalvMugKbspqUVPUyxCMbuNFwK0+mKpvXA5tlTqPuOT5N4LIyjzpOe2j2LB3q925mxZI37S
2XgjnCVA/YriixWjOUKFrQk94/NCenEnN0+/66e1fNOWHcFVE7bhO7YVL6kLs/KqnTOyexhSof3W
jAwjP+KF64DP1V1zyiv8iZ8xpisl6LesVoVUg9IuOaFLElFMRHGrR1a5y8IJxB4uwV2R0CfyLlwx
2Zg8NaXbckX67T2nR/Ombaql4FaAQLUbMs9KHa9vHOpYk3VD+DaxlSBUeeH10FEjvR7I2dAERNLr
4M3LdO/N1vplbEadX0ZacQyKUdkHVfsySOaT9UnSZl74aPSedSc4atjCndBlWgVL9B6hHYs6bN4E
n9esB2Q4RzpkgWVj8FCqoSlwofBh6DX10AVxHqFXE4dlF8iLfLZHa2+G1AO43XoB4LKp6ox6nifK
2BmCUZ3C2PCiainf7Zait96Nrlu998To3mJHu+KsNZhUfluxrBfgElz6UE5TdKiBGhHKWpGUnwY9
ZuoAHlbgihNV39ccUkTcbwEJEVwCs96HQ1aZqd9E3l2jRzaHXAqaOL5wFwqbxJrmbvJldx/QFvvp
2v1UoEBMIMTJTp01DkUNMKHahPetcnXxDSO7XmBRUIwHgYdjed02I5mmzRVA6uIHyyWlN5S2BxGo
/L5xTgQ3rxnaV0CmzwEUEVDFEy2KoJc2+BlAKjP7oUfSm3b06BJ6RdLcd6ayMJeU3rtCqOX977vQ
L2AkGdDFwCE8yWyiPfa0aaoqjegANhwYaTbrrZOpJSkVR6dQuGplVkk5jaTiWFdq3kljivZjXbwm
rvyCuB1fAmzkCbB+El47A6ew2DX8flmD7s6Gq4018jBGuvyRb12gU3TViSSlQCU7njbJ/QPfqxc7
DwG+SxRVqND+flKeY2VosAKowseMiiD83Kdzom2rrWWP1yf86uaaFL591zt1/gro9nkbl7YQsPnw
xCFBV/p85ldX0RfZ6tQUSMnRtZw5AHzvSjSbvPirDwTyB5a/CziHKPh8VUmao30loiaNqimKR9nN
V3Q5zFf67y8AYk6sVPQJAONgvXha238Cv7W13pxwqXkgNXAG1EH12G798M7LfJioG752g9EvD79/
tJdmkQaHZwHyPXkRnD7/06DUo2dwU2GdbrKfkzZcnIMbtdleybZ5BVH44l4BbnciooPceEZCMDBE
20DQN6krxYduBMrrTJNK6OQ11xhxZAcbwcQ9opfqQ+tsQ1JVdvuaoujztcmi/NN3OFubwjaEM+uI
510QDyKcqppraVT2Xwc4nLzYUWsGaICIytk5ZAZYIq/UQlLGoiyhzOIbdWJMZ7fJ/UYzhnCgKCf5
GUzNaxLKLx2BTPBJwQ/jZ4Ron75RSJEb51HRpE3ljtd50IOhXOUAqgA1P23QQP79CnpxPGR4fHDT
yKvYJ6zHn1ZQ3sHNN6oBFVqzWlMq9XPiGaW/nzyaceNJlvf3473ASeUVoklz8kYNOHpPr/hPA8LQ
FObqVU2a1VUnj+XKSElre9n1OvvF7bA4+q1StOcavG3wbZ7pGjulsfmx7U5hKtrau6zH0v74++/1
4spC3QxZT8TI/XMZvLHxnDxDZzLFYLn8YoxQyg2knuPfj/LibGOyDXob4Aw5+dOHl+OiyQBtUGUb
NYA8Mtq70prpTJPl3QxEFa+c5S8cSji9cNAi8kSB+BwUL/2+9yZSghRT1Ohoj6Pe09b0qJqB+TIz
7d1vwdBOf/UpT74HqPuh14OOsn0uVbr1peUStTaparrsMfCK8gOkqPW2s5btuLoQcl95zOdn068R
4VTjhgQw8Jw1KmvEAPJVtmng6QIhXs9951YRpbNwC5IcjHfSVCzvddWU7awACEUNHub37/YZKur0
HVBM9UHPgos8h1zrYXKLYjVY2GbgI2W1hZele2K6TdTbm0rY+9DswqToq/GvSsoxMgwNphydB77A
2aqijeborFBok+O6fRh1L1KAKCru1hlvqMl9TSL82So+jQdhC1t6zqlnURM36CrWrW7xvrGLr6H0
u2oXkEZ929Bb7RN7G15z1Xi2jhnxRD0+WaSA5zoXWVjqiCYgKG9oLBN+dIGv7iYJOCXHhucKaENw
C34ieOVIeHa5ngYFBh+gywTO9tyPOx+nJkQMrk3HLmziKNrgRtK5BCdYvRaivPR8p+ubUU54heei
64bt0iVp0jwwqz72jLqvD8iGWWHsbKa+IHEovzRM7sXv1+yvjfEETcczIikMhJ6NimzQ2dJpJ4Ak
wIG61IAy9laTxlITi3AEr4rZQSQNvdoP1PqKtO9E+BE8ckO3acrEtQSLRUsCYFcqwXM8SGllYVzZ
NDz/D6cJVKlTjEgb4hn5l9jTmaSftWnYtc3BoJiWgjvuLsKI2o/c1unu93Py0uqmngrWnnDudA0/
PaNF1OvaJctPu7lfE2+t5H4xpHuFZl2J9lXxGi/21+I9fwfchifCG4QG/u/pgJ1f0wmtdZdms0vZ
2cy2NwQXYrnKMLC6C1Z/0+mwSuezNuzgtjCb+o1vT0MW18Pm3ncK0Ptfn3KUNjm+uakihGtOy/VP
d/Sku35STdaluODWaaTa7kDdRaYIc1n7ALTDK+f3CzvNQn4DkwoMgWA1ncVbVCucRpgzU144+WEc
9Ddv9UUaopiz//3LfXbNE87BiyfNQtgNKsDZSJubSVfYdEsKgmUV+2buPKKU95rA4fO74LR+UOHi
lZ7gzWfZjZjxbcH7q0/LpjP3IHwQl3Yc4zLcKiQXPfAZfRY4RzKG19SpnmeTJ5oI4FxOEuhhyH4+
fXc4oEdtMDt96tCJJH0uwWQEgdxp9KymtBtd/6jbeUxtSZzj6qi7k/2oPpEhvWa6+/ytYo7oAGi3
PIuddK6xXc6kkSZ4DAQCwuxgLPPyM4Kx82bWXj++smJfHIu4kiSegj8Kj0+fmp5jCP6ZscLe1HG1
OIjuWsUWL+tapr9fQi8NBakywkzcAoJ8rq/WjF7XbqHXp+aq3B1LrDraWf2+tPrildP5+WI97UKo
l2gJI1h5fhLRKnHAuUa8yqXcVExVGEioVKITr8zeMyoJawZNeYvpww2M++Dp7MEW62d3LHCSGtYP
SvvvDNgPu20qVOr5+E9vDuWn4IQ96I2+fGVLvjSfPCKlj5MGDxfu08FVazqr3HjK2aii/UCH5ggY
KT+Uw9a9MtTza/aXKyDO5ex/Yomz54R1YHWgY4Y0KDy9rzrTf7MSOaVmkHXgasiRPFpt0fBKrePF
PRnQN/uvcc9oALbfS7PEYhUEGWfC3E/iWNehtbebTu0b3Ch3CB0Ox7qIIm4YPTxs7hB+bfCsfu1k
f2GySfSoEBETUgw5Z9BsrkBwuGwGLEBGPwGRbl4GNdTcfoheo8q9sHpZsixfdJt9Xu3ZZNeYI0jy
8yFdaaruqDbpq5by9pe/vBtP6gsn4igDUXd5unrQILW4H/shxbOrueimVaY419nx0ljLK7fU88AA
cjEZDdkbDDKO2KdDtSjnibC32SV9NaRhhUenUE7zuLCp4nBBIeeVbfnigFhAmzyDDeH47BqW4WKB
BwkGukzIOc6wqXdV6f0ATQD7wCurV3bHS2uDwxNVMeRjgDWf3Y24MUs8YFqFRoJwkrzxzBhZQzNZ
mdRXdsRLa8PDxhWmIbcDGsBPpxK4dLBUEW4ZA7N9b804gO0iv4DU9fvV8dI4RNXkDai2+GiJPR0H
f7hOlqVAgleHYRpl+hYiyGu+aS/N2y+XTLZVAMHwbJCRhNYQ2Tyks4yQi6VZsBfBuO28hn3+++d5
4QDDyuvkWUFowYOdHSTK8vQ0LB1ucK5zsv1Fai/LFRiXKV9u0J73kzGf/rI0JMseXhH1xVMFNjh3
LsNqS3ZTMavUqsnco2EeDtBU3nSrsl658F6YSc4BMzxZKRM/ncsFWLAKmzlqVBoW2H7MJRZ3BbTh
ZA5puv1+Jl9YGUwjykDBSZsAQuHTlaFOlG/iJ5VWmLm8oQsVxK72plfW+Qs7mGvNIjChahp5596e
foPo17K5rPOqXNNCtvLQ0HvDa4G2H6Xk/0MYBCGUcjCqshyG5wxUO1OOVa2jTlsJ43vEIjbuG8LA
opbLv4oO//F9+X/isX3zrwRF/fM/+ff3tlvph0t99s9/3nWPzYMeHh/1zdfuP0+/+t8/+vQX/3mT
fx9a1f7U5z/15Jf4+/8ef/dVf33yj7TRuV7vx8dhffuoKDz+GoBvevrJ/+2Hf3v89Vferd3jP/74
3o6NPv01GgzNH//+6PjjH3+E7Kr/+POf//dnt19rfm3/dWgf/3ZU1dfmhzr/tcevSv/jD8P/u81p
g3q0jZxqiML8H3+bH399Evyd8/y0gSFXw3o8VT+bdtDyH3/49t/pGyAAgK4EhxUB3x9/U+346yOL
j1y0L4k4URMnUfrjv77ek/f0P+/tb81Yv2nzRqt//PFLb/9/8k1yRsSIqfVSRz/xW7lXni59jNRQ
zBobN8mDXN2rIrKOyDK9A4WcpyhkZkdqaVwC40a/G0WNC0Ak+W2RVfZlXoCnsxB+w89PPgizhOCU
y9twhooOfKC8X6zgzZ8m99/f/s/f1nkam/7r2zIvbFO42cipnz7/Uy46h11WtEbjJCglqg8ZGWgA
5WcI33VO6wPXc7FBpWRxtBG/oCMA6v+tBJmIj0BQWEc4JXh5IsVQ7wtAowcHxhUo7Uq3FHTGQsZe
Dpshpm73iFSKvjVBxt8WPYzAbnVLSc252O6lb8PbajfvgUY5pDg3AgsARQm39cSwsx9KhP4pAoge
dZYtbyVSZAUsYaN8A1LPTPIq6OykoWP7JSprtO1/P0PW02TzNEP8zybEwjXixKY9uxT0XG2g43oI
f+3/Z+68luRWrm37RTgBlzCvQPmq9o7kC6KbTcJ7k5n4+jOK0oNI6Ypx3q5CwdgKNXeXSWSuXGvO
MZHI4Ti4ZGW7XBYUoOMhk2jUsi73HYyaRG/nqY1IeRwyiTfFZ0CTNjkyCX5gW5k6s7ZI++yHvMcR
izJbIMp3nb8RcX/BhH9fgfg2AVkxXDV92gt/vGImsiO5BMKKBwe17tQk1dFsxVVLFTRDNOQiO5l2
l7wg6RcTN+ckPVRz+tMlQdOJyb+2hriohhsfVzYWkLT3jUg6pn41e2d6Tequy+M5KSUaumTMHhdk
Qw/ov2cy31eNBo6CpouZUGBVk44qvq0F5mvU7BWcfAh+QSQmiVmABZN9zqtXLjFNVPKhTNkE8awn
XW1GpbqHVU7TNjG6uYdarEuFcSJ79huZfJkdq4gZwNePU+5377PJ2yjEiv90Dbv50Kg0Q5dWB8bX
zJ6Hg7aC8XOkjIgQ7cPOntt60JtlRZlC19C4x2LX3bW1rvIonKz84b8voOv+9i+W2l8LiGLM8bhm
MvjgDf7+iBk4MYfENKyYtkG+H/yEuC2/4CNxqiDJY5UOMD0k0u/IaLxg21hpSHrO7D7SI6xEbBhe
5I3kFrrDcp/7hY+BxjEttCYp4MYqcPo7rFcho0K0vSLCgVnchLqjfduvyQAsy+r0zZy0hy5rBhkN
gMqtyHQpBtU4p7G0lotORkAUoppd/pIxoX/RYD8y3BbvTWPMr9XSrtOuLOGItgj1bxpiTzEwemXx
NBHQgEEp0UPsmPAssLimbcmb0rghXGnoCx6DyOrcDvN5olvgDaRTO+ZIuuZo12cDJc8NTkXhkVJp
d7eroUx6+jI7tVKiYMnVVJWbtXL7S1ZflYszPqD73PbusKOqTYNGJTv05YM99yYesjXbmbTPd0xG
/DdP12JEUy2ypyFQuDz83DibbToD/xPdXQEo8qvXV+oCKq16tNcw+Nud5j/sHddpf0jNz/Xb+3NU
U9krzlprslGfs7hyPWC1pRi87YkqwBbheGSWIYhsuYn+ZV7+ax7y5yZAt5u+BpNOgtH+uN2gBQxQ
HxV2PNodqbhGp74WtLTOg7DPY7BUR0Tq/Z6AjpoHL4vJBu4QCs/ZjRECKAw7looczb9ltf1KAfnj
ZcEjv8bec2vlvvdHNW8pt1VBhZETygtZB66/7ItuxNyd+3O0FlfOWud4sYU6NGroe0W+kVYvaZtM
cZvhzPOcxdzPIPs2qKfMk5FDiYRSk17QrKuaAADnO+VBH/ej+Fvux6/e3p+vnVdOv/Ea/sG1+PcH
Wc8unuoMD0NiuMXFawqtsJnZujkkJXrlhAovLooh/GJWtTHFRTnclV33E9s5JpJSZPTufTn72LuR
aPNnXZt37rWxhXK6S+mZ2vmtNvv+xMjAzjZScsJESQNXCJvsvNX5Ot7iK+6Ra2sE6XyOb2jndGxB
xN1KmG48Lp3ZndtB60/bxJmMbgnL4DgYd0Ui71ZvMNCren7+bE8eowizDIe7muf6q7SstYjzolM3
81px0NezOjuFmzwK4mpv6yZn5ZoaGfXAxB4F+xnrAKY4Q4bBmbazW8RUCPluJInnMJTsVC4qpi/2
FGRPVVJYX+ocdHeU29myxAZthUe3HNvYH4Q6Vqv2LuaUv/RePb37+G82lh69TfLr3OB2nK1/ubf+
pzMdNQnbMRiZa/Xzx/VkLtymtPgPUtg8eUZz5uLNwtE9NNWyHSfCQfA24criGD33xUowlkmvqEzX
fp/Pc7urahPfpVXssj4j6rV2sZVXqKO7Tv9t7ulcX8sfqw7EHMf1dYhhQmj9fdWN6aLRl5ocH0td
vvW9E5wNBN9O6lq7pvC8HavJ2SPkJlAg89J46Puv/VLKUxjIYm/T4WS9uU48GchiG+DRR3yn/Zmu
MdrztNhZmJdeer2KKzMacDRA+8cuK4wtAHjxtcRcijjcy/b4AusDIpu/QTz+fae6zlSRYtAApGZG
LPH7GzTyPAnokPIGrdK+bzsriNt2lW+Y1cLLUJf+1mp7xZG1QS65hAqSoIcplk4xnvbZ+zQ51v72
rP/RU+TQ5kWF9PjZoyBxgDX6/UV1QZ00pldb8TXH6x5C2rI19DDHlg84IbCqQz40YTQFXzzkbRT8
JzXL8P/UMfr1GpDPXSlAsGuuIoPfX0OeYzKEgooLqpPfRe56hyVcrB3y/vUvI+5f4Wu/LTKXheWj
yeGkCK8Xl99/lRp1YVQmoLsxVdX9UvvhK2+M+hvPxR6UlPEtJz+wjMEZdvej3YzfWt9JX5kpYxxM
lD1GixDGGSh5PkVYf6yPsp0P4TqledRX7uJFq2ZygC5i3RdQP5oIf2hZ7Gv2zBvboyIanNHtokGH
ZI2U7fDe4GuoIou0oJOfhirYuk7xl1Gk+L1/8OsDZibLZJaRBk6rP1tyXOIwfjW9GUuqnk2jiD9i
bNlcZBasyIlddytTXz4ObRUc1yItpmiU7l17lXxsiCzix0Ux3NTMtsWmCRr91FdGnkaetoyPVOYj
9BM8aOgjnuuhGceo6hYMi7oOhvfeXYNX6gaxW4y0nSKrKim2BZZ7yaTX2uKccKOrH3zj0lSPCzxS
d069dp8S4M2nGdb515T00S8VbZyzw+TyQ04uVXWHOOhS9rbXYkPBio37pYU7kZVHa52YfdeNDwPF
Dr7W9lJ96YANoIduX7ilLda+y8Z271oFv8lMoFyPdv6PJf1/amv8P5sVvzU4/mvz4//HtgaVzH9p
a7Bgv//4rZ/Bz/+jnxH+j3CvHQvG7+E1KO/68P2znyH+B+khxTtjI7rcDEjYG//Z0BDW/1y7/oT+
cUGFQng9F/7Z0HBpaKBzheDlOcDkrxTL/0ND48+HxEdvg1yV3sB1rEtI1e9bQ9mLZEi6xoy8rFfl
QTH3e3VLwj3BW42XspzNv2Uq/ttvJJsVsOIvFhn735+RAmZtdBPuu2uc09DEmIqxUK5SWmbcqmHo
dsLO179c0v7tELrelgM6N3wV1//+Oblue4FPz8TgpjwINHi1NAYrDCuFg6sdlZPCdrT1fI9xVpVX
6ReEK9A7dOr+VM5QfcjOXto4BSP9FoKmCf7x2PzWDPzXNs3vjWk+dUFGx9XuTgOC+f2vK+a/dGkc
nmTmB87AzqgZVS7N6OlNso7encBPhN2tksGmES1+oH9Zpf+hP/SHnpDfDLWANWQhN6NBhILv928/
n6GxZYPR4igRhHe1gPH3EEBWdpo2m81j3ppo8nPPHu5mXKrWmS2L8hvHNBfeIe1xAep+zqtHYZWT
8bfezO8d7V+v7kpuRHvHQ3K96fz+6lxuE7X02jYCc6HsyGDScz+4o6JEBQASDST++gdjMIJmI7xB
e3uMy+1PiDaspbI2xm+zmPKHem5K4yYb8xQEvmeEf2uGExz7e5vtOmJG584ljBYjGW90An5/oXWQ
e6ESfBiFIAMzTxNIE45dnMuyMg++OXy2VbFuCVQYXjPgCB99U2CbdjkD74YAp6guUvEVfo+bR1az
jA+G8p240FVpR3MwEGJMN0B8cfCJZZsuzyy9GRdhvc9DqLmISFTsYanLbN+neOs2KjCm9V7qsFIP
bphbH2uCa+nQYXwF89XNQ1Pe001p8A+GreM8FGG92ltnwN/bRHUbFHZk5xmArmhKB7Xsquvt4T7z
ZK72qd80BZwAoiU2E5sbNvdlwo31RK3fWXxRKvjwQThVm4EkrPE4V8a0W7Som/20dEUJHcnwmRNb
/lUrCwctNtapHY7DjBTnTi9Noo8rbMEEp89kcKZyhShiz19Igmwmqd5TP8PdBr2RhwF+vJtfdC5W
dCFrWW65lPJvXLtrMbKYCxVH0tX2wzBiiiacQtRxgQXjxl19d7hpcqbnkY3NlcgsVV09SKWXShqB
JeQGcwDys5laXGP7PlRTGrWr3YLYWfJC7bVhmh+pJxJ6SvbKD0IVnhFtd8McCZn2py5JLXc3rU1W
PS/jNJ6JyXBotJVZoe9mGswYltu+ekVGPQabEF7DZ4XtFw/Y4GQxcTYKa1q4+h8mWsQq8rsiAEfp
Vurecyf26TUxxdlYpuul2MhsUCMBEU88tYH5PSCUoNwxDk9ugjRwd56mZ4J9cHHcLdPkYAN8bY3X
WU7LVmmi6d3VSFmD9kypNKkGjWAxZw8rCp1PEPkSS2/uRcM6grYZa8t6oCkyDScucJLKphChwqWz
tFdQUpuFO3KUrBjHQH8vSJ4cot6emjeDnWU5JE7mPXVIQNRRGEuAWq5O5QOeQiLSFoWvILLglwts
G0t77EXX7Y1ysk500t5hRtGW9uAovK/gSOzvnZcMu9Esi09d4OmI4MyxVQ2OVtZWzE2/zetmxs3l
nWU3rZ9WBZ+kn6dx7+T28l20dnFjDoX57OMcJIEjtBtew6qmwyQH53ZKRH1MAR++iQFoDxJR3HS5
xYRSubSEx6ndMU3k/Wtla774IN2mY9bDJjFa0o9KugKE8risXbebrB1ZmDQAuT6zj8vR+r6mwQCC
Kk/sN6vJaKVaZYMNsF2K4TAIMYNm4pzgXur/AJFRPBuFG/5EPiJ0PPH3wUKMVf3cdgy/I5QT+cka
lBFr4kM3buPQPVjH7gmPua4iWAfFG8EpJRSYYEkRUNhwfiy+bps2fZmamEiwToFTZ/9apV5Pvp7F
k7sW4iNXGveyslWMFhpH8tz4R+A+7aVtPQ9wnynacydsdhWMRzjB2qkspp1X4FHb0W7sdrq3jB9t
EA43PTmx29nqOgXBIclOqPUyQFNoOn6244qNL+HCEOurTygqJd1/NaQB7By/5eaaD+ujCakptorA
PZfp9fJejEZ2oydjDs/wk8rYWioL4MykPHpi5oAAMR9JoDc5uUxzvStDw+dUw6T4pXNwwoFZTZ0b
Ag1gY8x9eh80Vr4nHtAsI9At43YRk/1AS2DaXEHzB38MsOXRyHztw67N41xjbIuy1lh34WAvFr0P
m5lhXwSHIkv9Mp6lS6Ta3Ou92VdiurRp5R6dxsS2lrV2FzUAGOOsauYnTv7qI6DveVNYA1bSWiXJ
w2StWPucMIAQ1q92/1hjORoOxjrPD9rBrB2bZCKdxRIG5XmZmmy7aLXeGw1NVeLq8jUKTNh5MAzp
8c/j+s1JR3eOmhaU1hr619MHh0DwUNItNx5qVnp3JGp6DQ8cyEQ/LjwK9UaOGOJ6VizPdunejr5d
0tnz5HaxTbkpvMyI7bKYN8YoxpOqxP0SyCNAz+c2CexLuWi9I2pyb5f2vvet71wPH2Fn/Rit7tFq
w61X2h86Te+GVe7cFcaPMblHMYz9nesM0BIrAAfgGABQiMx6qjrvZuLGuBvzJRIK3riqe/6pBKDX
+42DZ5NGmcXT/JLIUO16xox0isPisDBs3zBvdI6cdP7GSPPiR9JZ2dYlMWHPGgTn4cnpY3F7dV74
FT6nT+tth4DPEYBv/9oW9Pg3k2kckKarEQhi4FWRcKYmPw34tHU8VISdzwUw1ggzSBcPrT1XkVvO
70W/7rDYm/mNV5ez3FgGzjw/l0MFSNWmufluCDXPcZAExlMH7XHH/pylx7y46sErp67EIYG7EtwQ
3S4QYnBze25NNlW76Cw+4RKrzdrPyWPTO0DC4AZIxi9px4zcStJT3Ywgr9QkLgv41J0Pi2zcU2pI
1AhKZLGTS3VLFFYooyCcwXM5ulPbfDHXjqGDWSwAOpZ+3CLaXw5WMAj62z3lu4Yd4NPLoXsUa+Vr
MzKndX0sEj5ztkHhWDEJkeJrP/tZuIUxkcXY81YLjE96BbVRR73wzPaXQpsQIxuD4I1oWBpvU+i6
u1/ZgHYwL3SzXca0+gxSxld8Rv5WD3SaNqjqBAbmNi+efWp7ujWyHt1YO+jq94E03AffIJCnKsLy
Z2elxks/d/m8Lau8OY6k8BK95JZDXPq0A8O0tF8Uo44vme3W86kHRd7ExZS7LUNQJ+HkWLTcZ2YL
37JZQA4uV5N03g8MluomO3CaVHeBEaqvs113j1CdhpOuzeBh4f9mDGW9LUExnvzStW9ap0pfoQLX
uOnsyfqGKUOcAW+EhzSprJ/Emfsv6XyV97TJ/J1PVnydCK0588WxYnh7ybCpB5sWdF6J4c3rW6uM
PNAUaMXAhOhm+FB2q3B5MUYrnZkIGhuqW1R2NWJEjIXutnINB7JqWlnfOqCZUTCU4cnqWx+zObrF
UymdptmV7gIwrgQCuraZ4vtW6uTV47Kfe1luZNcuiK67/K3wqfzWzgtOJhI1C4Kk4pucQ0fvXEPM
FFdWKS+L55zztFhOdUKTOVlB1iSmJJDKBA2EOt3b4sE+Jk5BmnCwarFl75K3reWcpa7ax7kSwMd0
6ixHqVS67Y0uuJdisp7LTDTnerL6W+13+l53tUsrqmrCXSlbDCUWzZLVVEdDL2h2HTuLx1Cqh5BT
Y4+m0ki2UBjWu8xppsjsCmZkkPhbTjTRfza2m1ywO1vnYTDGF4e7OgAjlx4+YNgbW7bpPeaCc1qM
dz7s8kunoZduuACcUt84NsVQfkF8L99FMrcvUD7lvqq8Bxz7e4o4HZlZO+5dUHwRau3qMsxijDsT
VkKGpm1n9dZ8sxq1vxGrXXCgVXLXVrXYVUM4bQvT4MLY192zI7mjt4FT7XXDbNYO4GDmeWntpe4u
ftVZ2zCd5tuw9JsYvGF2tv0KOG0fBJHlqPHOKcvkKL2ZeMNZ6rMeu+kEccF4puSyNoNoDABjGSNB
zPkd33s/FJs+y/yNhrr2qtOezBynW88SsiUjO/EBFaOmDplRa4b1sq3LfNmXifOjd4cWFzD+qW2e
uMm5N1YQXtkYRk2m7Tuj1u0zKNfmpqY5qzihmKurDKZ3RzZptM6l3AV+Np11x1gI3pQ+lL4hNp0x
63PtNuMz0L2foWQcXMsQjAnpMG0EB4ExU371u8wy2QMyqvaVORmU+1kDRa5pL3VWf+oE5ye1d3N2
PVhqPmAYgEe98610Eh1DEUrZd8bx1lfCiNrqSg8yvTzOnAL+VUPlkazc1Bev4CvOy/3oluvDHEz2
s+9mxUH1S7OrZI8FvWv68GYuxpUW90DCStGzDpyh2KHk7b6HVIY/fAawEZAGzpkksY/1mBg39DjL
PZrp4CWETQAVl9Sis1F18zZbqtcAlBEzKFFHSdXkYEeAP1rttDEQ6J4mohwWhvUeVytr4eivGKZy
cZHpxRgWca2KzW3eq/WSdJ61k1P6xHeCWNoBuw+ybNzNoXyFTdvEWqvqqLR5PxICuHWAjHGNaTQT
E38PMhR4fz7VoFQ6lggYSr3BmMT2Uutl18ic7ajkGmNxtjzn6LPxo7T5MaC+4ELHaK/yMOfXs3x0
pk4Ac1nC7M3MjfsqzdedYQc/UCbbJ75taxtwtBxDcDgoAvR26KdbXSl5Zi/g6iaN+ol6bT1ATa7i
zLY5S1V+sWehNVgCN6jjJPTnbdhXer/A4o7MkOM95fE+0PpKrizZr7UvoXNAkH2rCx9En4YCIOAG
Yt1f5x2TPvaRMvwYw+DJXgB+oLQZaOVbDBGsqt15tj4YPEBRI13nomA7fOKik2+yBtIeqVSpYyAR
Cei1ua8KhoUYDUr/iUy5brdMfj1HOFsoakSWHGB/fkHWse5G15m5jIkZ0F2a1tt+gY+KD8Kbj5Bw
IBrW84w4p5wWvsJ+zdqIXjYPEvzNK7aA4sOsmo9kIt5QqeCz11Nx5i/Wd/7IcOmY9LO4gUZWANMe
BvdLClbk5C3tcmsAo3kvgUDeozfA+pFI3UPZFu8uMvAp9oKhu1kQb71Xrtnde4VZnHrXcG8Gu3Hu
3ZEEarPleiFBrD5woRQnwpUQHDdzd8IDAR42NTILRnY1n4wmkDdTPqgHUoKG2z4P+Z816iSQxM7T
VCsUHdqV3wZ3sT5qOdUbxFPzsBeNJDasHEt9CKE+OtFIx+soPH/kD24Co9PLLRxo76XzV/OTIe+6
DedAfwKCHfcSTshu8FsJySyzqjPzIaaExtzt4V1SgoRJCeKcZqo1ba42edQcSuU9wJraeUG9jick
aQVF5zqFb+1aWTlob1P8WIyRINw56fuHsauKV2flN22KbpkfEmQvJzX4NELLcvie9Co8MLZ0vrSt
BCvciE8jr5qTqxF/GHgqninbnyoMv5e+4EbLrHx9kIy43jKPUjbr1HwwTTP7KN2g/NF1kLQz26PM
GqZ9W5njaanXEFYo0jU9ld1zsPTBg+ljXi5YNIewMM2NLEpIjl2xEN072ftWp8ajLZsHpVG5u2J+
mMFgfa9GlcZO3cqbcpFfLROgIgcWfM6oVUb3gWGOIT470hC3ZZtOG25JDE/NXCWHeja6L2oQPSCd
0jinHmT16wfeRbOZ3tTW6G+8ymj6KC8K7+Q0SsKQqmsaOVSx7i4JKtb7pBC2kCIXHCYNGeqxq3QJ
0Rs4orFbB6X2na1BK5HFsO0tWdx0aftUO4lqv2eTchemjLZorIe09hdNV2ds7payEslWiuuYUg2m
dbLmoac6x04eoD5V0t2mVqmyV5DKyOYsrzM/rLDz9A5m1PwN0t5c7pahD/fJNEPkLv3VPuO0dR+W
cqC9FOia3hkTJ3JoINJB6E8jXwOJPziDn2Y7OnhUx0iUoPSJfoGDbw+lDgDpJOF0bFYaLpfOTmml
tUaywDXqoQpukA0Ym2IKuGVdea57Tj4NPlSG8z3baVO+9xPzb5C+Xl5E10UrvsiMq9AtmfSV95MO
XNkNvI5lQjLENJLNkwxXUDg7p6bkjtB1ddad61WJw8ayjMWOiWX5uaAHfLa5EKADqeZH5vAqOfuu
rF6neqheuT2Rak2OmPttHUpv3udQdNZbk6T6fJ+TZLYVQrq3M08Z1/PCFvgnFCH111Cg9SaFRjUe
a3qJ2GUQoN0PNhS0k29jzIUuaAOZc5v60iD30uDGsmu52VZA0IB05pSaS/oAYs0HNjrTI2Zp5eBz
G7BHPxEsMswkpc8TLwzjp2pP8iR7embZFbkPdkfnkNDbqd8SaCuTaDJcp721TNVUfJ8D4MKVxmR5
cNAxILOzbX6+WVe+17EOmZ+sY6/ul3Xh8QYZ5y6PWW5P9p0agUNHPmUniCRaec9Jx/LcWYup16iT
I8r3cp2sCeZzBrDPTwbaeNkyUEwQsbtGi2F55q5Nr92RwjbUjVeM/hqnlj+/MfCQh6XMKvHoQddD
hCfAQDtAM5jtZzxWT6Jxghuq8uwGdA1VojOrOkNlz+gpRg8g0FdSffpxkZayhKWHYDOyghI1RCUL
uuhLWDcJUXDlOm8qNeVdPFGBbUizlP7D6uTXbDFUbt7RWXKHpkbnyPtUpAafTNNPUe2tENO8YiJt
VlG00XEqGvUM59anSl6BNYIo1RwgQLyUd1xR/00bCGXsGartPjN3sIDjc+H+Kockux8dp/mc/Gp+
9WwZ0gPvxjt3NK0xslsfBZZYFWEUTa3kfnbwfx6Eh+z1CKyQuIZ2GOjTZoMLpnKRYryMMM6ijLLq
noxoLWIcy9WrQ/3+pm213mIEDOu467vQ4UBtxYswtVnFQ6iQMlEs++9rjybAoFPOKa2awAPIjufy
LUeSSUFfg2j5yUSflr2V+XN5YLhMyU//ual3tGHG8JJy3u5DMWRdlKOeUzteufO+LCGCR8dIAla8
FvkW4BarzylteRrwDX+B9Ts8B6kz3UKeT5nfw1Ci/wshZzNRP6aHaRJreV51aYI16dI82LSgEqtN
7pKEA0a2dux9rUwKK8Ow7HvR+7VzJrqRDIbJE3Z1NGxI3LGx9LCozCRVCQ71ydAxCSHhWTHrtu8C
bbCxTeVYxZWexGnOJ6c+ATQXzZa7GotbFtT7G0/M5rdcXMtOWOHyCQIkcuSsnXkqTC7uPHNzbRz1
uLDVy8qnpNAA54M2BxLVcQX3tmPmQSIOEyjKhxXFyO0YTKF9h9bbtGlIWJRWkJVrSPEgdXk0eSpJ
vuwMroH2r/VuBmn2Q4Hu9cCvOM0tLiXb2XQLU85gtNoUwOfQfhuFdMaol57VRsk4VU/0c4P3vJ/K
b9ruM4WSzalebYrOjoe1dF5Xk15ANDfKpLnu1+i9J7XcBTx+UCMbX72RSAH6aAxprkCYkw0X6xFc
SOTXOOG3GcxnmJVpUtRgI1Pz1oXy/pEsNJ7rqecBndOJry6zlEkumxQdlO6FspvfGNbGxnGThk63
drpdGZCLnRa9UV+YYepuEyLZunXDnrc2V6a5l9NgMN9MCD2Ed5E6m5xI5IwVbyXT0bTtUe4hvjlq
b4oVYCYCZ6YrC8jWaksUCFLPekEfvq14O2Ra6LXyt3Nt93dQh9nzOITnDX0Oley44NTNhTQTeRmR
QHBP9Cd//eK5dfud8EUxbjjGbX0Gml2qhxF6MOVpLe0ehuCq5WYI2v5FTn7Xxn3dMufQRhEsj7+m
WLq26vpogq90oNVm1kc7yvB2KQIsGqOyoQyYnJFMbcMufSqLxbYP181z6/Gw+ZGRzeFr6ZJBw300
mB7DnL4JiF/ZtMSipj/G0M5jB0IaD13uhsdsoV0UrZDNXoWAzrcZZnIgQK7Vgj43LncEjL0rL0lv
h92uI9tqL4yAJv9El785LIgr1D6DgNeCMGwuCAmb5FwGYe19zv6Y6fsiBDVxO3gTD6+o1YoJQC09
TyCNEjScpY/UDsIAo0Tuz9hkRTgl66aHcDnyBdXDz6E10onxmVG+dk5v6rNUpZ18tVdv7cPIhsZ4
dEZrmN7N3CzXVzu5VgeBJf1gK8ol9AH1wxZ/cpMCBGVmASu0pnCOvRbF2IYOUL4hJYS+z5L0nBkM
UfLsiBQ153opOzIB4trnpPhw1yxf8QrLoZ7v6coX40Pd5zaak7X1t2MfOmpnoisWcXBNGb+bDQOS
cZPmm2AxyTix7Mc5bcrdQGvwza/K9Xuam8mNWFtQcYkQZ8w165sr2pwKexwf/XRF7KwDEYmU7CRn
8oJDSbl0B7p+2NidZXabJln9C8Ucv8nuCGJmKus/uY43fS9rP2X5hLm/N7Osv2eOXf1Ajrr8JGpA
5TxVOkGPvPSPqCWL8CznOjh7Xe8NG6OUMseyEIaxTBP95psqP4xFh+wdKtyGlHj/m3LD5OuISfjF
oPTd+BNLwS8ziEdGKn7UeR0g+3F8+2bRxXT0l8a8y65oqkOGdsE+yQQ0YFS13bDJ22I6sBmIA9cq
IgNolbQf5GF4bOCzNBR5LE7DOdRn787qFgejUnQAAhmeSbdSJ4F6I/bI+zhphNVRqkr/Ngs7e+vp
CU8YbO2k3LigXgwGIYm1r6tsfcpyGOnMsRrzCoGnwRWsrjpUdAjf7WnMUMeF5R1PEBR4EJAUlX42
zt+lExL2FDCKYui9FBcQPZ4dk1Oy4ncrc3R0KTfd3RJewztb/8oapt96hYuOjFZFqpsIEdSSRnaf
1E+rqLKfzLLZ7KyFG1tWm2YR01LGY4z71o6zJZskLNrS3VLXNic5dc64AfCWIUWb4d2ylLEc5MlR
h7KK4NrPX73VqjZzPw8Xe13To9VWDMes5A03UcPZIxKjiH1CTMQWjfLwpqX1k/CZ4rablxdfWJqj
sCWGl47WhfmpvlMYI1VsuEP+2E5SbHz4qSAnfcZ9QwKOclKIJDzHmJ8z7QbvupLtxUJicU8zlYW/
yr7ZmWIwN0qQglWEaW6TzIHuJealkakQtnZyJCsDXWeyGHLne53XbsLa7LOP2hmNE4O3OFgGSKpG
kQ/7bJXjhD7CQE+GLNSLwKUS8afEk6mC+oKSBL0YEnbAuUwSDzafGdNqLvr37qy1jDoh2xugyuGR
C3L1ysSh3kwlKVjKaDLm9EmQk7oiw/AM6bj9pvKFU0yCDHqRXeDf5muhv4Zdb29RO0JCpkH/1lgA
Xudk4kjN24GGhVOaebab5f9Sd17LcWtblv2hwg24DfMKIH0mvZNeEDQivPf4+h7Qra4WUyyyT0d0
RPfLCYV4RGQCG9usNeeYFLKQ1KYHMC3JxZSrRkC4Kq6+QSrfJVPttyKH/+8tEiH3PwAFTzxqpM9E
z1AX7fRWXXHbkUWD2GLPFpDAE0cUpRoCrt3UGvLV1xKZj9ocpB2khCNpJ18Qfa6GjvCjtKNmvpSh
dzDnxguUGRCFOMx+178OQqXfJmfmZTyo7Cy/vuxHkdTvy+JiQxaMRJWd229t4x+SoLyLyF+YWhra
uYSnJiORxfdSat5MqThfoKjnvfXNNRV5kfv8L50oV13E73hjCYmEbKOfQ3vqxrDbLKX73Pb6Us2M
C5k+lMzk5aAgaus1gWzd3ei3NHEV9tSIIax4S9OfE1+fLKiVkLyxlylt7J4DFJkdu9xsxvJRqK2Q
doZExZygOQDM4oV2M3voUujxe5akhGQUvYVKRcg5+4MpVtpX0wb+vu5Q8qLkLoDKbkVa5NcxZQ3J
rdJZu+iVsru3OOUOLgTBTLsGsK8gA5K7st0SXdJ3qzYepmmVLHhWT8GjikaHg1H1Yk/6oiAB0sss
yktHqQy20J0ddXRQq7iVdrI/JXiKhgF8u2n0806gzr8ZtZjMkISzwsswDqx14WhRg2VrRYQ8m0u3
CnRN90DTzmwLpcxvqMFhHfKITVPEzorkPvSmJp92RipzZhshSzB71lW5VxIDITSbMu0RJyYxeNB6
pF9ZbgGTA15hmhs6VtEPI81VsYni3mpXuq9MrymoddmV6rGrnKQfGxls1YgwoAoJo2xLKtEcNAuy
riWqY5Irx1pX7VKYOQmnmYTCsW3W9cGeE5YZizSPFAVRjeAlMIsJvG1p15zHpCjfYOZBMFcAR8hW
sYHOnGJDmFIWUBKb6RvZDPLXtKv3OpEO9roap3lX2pM8bn6/HP9IZnpXoG/Izg2xHzSm/3tK1M2v
YvGmNue/6v9BEeqCFvnvRaib6KV+Ttvn+k8d6vJP/tNXK/6laeZvboBs0nz9rQL/LyEq+miyAAzA
FswC6EH/S4iqGf9SBGwrWWNqY1JYxInNv521y4+W5G882gAtsYMr/0SICkvoTO9nLF5yfiNkAwOY
F6HDH+danxJIjDjoXeFcvmPo3GU3ytNiNm1da3RKz1i9JftsTx/5SAhj5RSbYZNszYN9mH7R3X5r
d6jXL/I7DrCX6Vv8pnhim97N4cp8HR5a36me6WK7+W5yq5W9Vd1yF2wxQx3mXf8WksekOpVLfoJX
XVd74zm80t+jbXESR/WZMCJCcunyqA/1XXts9tKa+tdl66Xr3MNetUse1OvyOKz863inrYsb1VVX
6dW0qq5rgq1JP7qj57XVqVuu88viergf8FOiCLqej9ZmPHYP7a66kS61V3WvuxQEN+3R2CQXYl1t
fK/dJitQI2u45+/xVbHnU15oB3PrP2Q3Cxn81XqnYRlwVuzdYNsZKAudykA+4Vn7ak8wIzC/+tJe
i618H4yX9NPsq5fuFO3hre6Di/Bq2tuX0wO38Mh3eFdX+drfzU60N1x5JQ75pemYTrlObzHT7JCQ
u7Q+3DuyF1bZqjzKe+0Yer0rrzEz3/l7GserwtU9yj+b4VdOV4358Ulsi72ypl6yarfdyb+uIYlL
B/+nuU02hMQx51yz5+NA7K8jsijdkva24S3Rofz/4YkFJnhJlQMT7HAQO44pbr7Gw8TnGmFfuplr
/WhvJ1ApOj1ORzzNx2wbXZeHagPvI95VW+EZbsz3AnDEbYl34c5cZ9tiExzUfX7X/JQuspN1xRUe
7bVCPWUV7nBEWdz2ZBNtDM+80bbUhOO3gPSRR0Q3l8PGep9ONVLDR/uGuvmjdmhv60v2N0q4mXtH
l7fLeYqi6la+iNbKSvbKDe2hdfds7ad9m7tgO1bZQbmUbhmfvRuF+WWUbc214hQn/r0XuZSL18Yh
xcy1Nnkim9Qrf5BZ6lTXuEUrMjQdtGqot6iyeSNLHuITT2GFXof5WsrWcuSWx349kDDpZC/CG71q
g6oxdoPTVeY6ulvcxGtspmtzm76t27uAgtyDmlNMQGzCbfqJt5DU0hUBXy6u9pXk9iC9N9XP7DQf
8nV7iZAKpxkrDO8bw0h2x90IDEIhUIgCcn5cvKJO3a0V46kzyaRp3zEzcER/T/0D3UpDkGq2HbVT
61y9NmuE2OMqPeiO6VKCQW/javf99XQr7pHTccAvswN/R4svndwidZvXzgud8Z7YAcUF0I/kwZ1U
12AspkeCR3P8FmDxc4Ft1RnsfUrBatrKr6PeuJQBVvLK3+i1Mz1X+/mREm5s7xEWeAo2v73/Wtxx
nk0cmL3A291xT4brKjGf0310Ke6qd0yq24mG3QUti1W7nvb5Ud+0a03+Je4rKDBec9ndchQ1XUVb
Q1w8IS9EYHcSD/pacSM39WhxJ0xHaw66uYnFmcYsjY6IrF2dXQrBLOEuSFFk8oVPxnyH2sbrN9pd
vecVdox7WXWVzumL677noEkXKUVF4MSn4kp/s0inWY1rgiXVfRWxbduZ6Sl9jm7ZhG1sdZ07UrUZ
3xFEu3K1eiwK10b06STX0oqXeoeAQDSrVnvm/spPDcdq/dHwbN/NfpX1o7RKKBBsEA9S43PmrW6s
yG3U0lX+glY0MrYmdHQaD/UBdWrzA6+2g0LppnItL1AQ7R40Be/QilAmRkTL7etJ8njEzesmxc8Q
OzGV8sFL/Vc/StfaWrvt5m0WXo0K29K9ukoe6CQqP/QDx+j8nkDg7LF7jGbhQPaytrTGZc4mGxki
rOH+NI3Nkmr4kIRrw3hok7UtP9LaKLYDHakWEd2qIQMg9+anzkZmsSkgVHJwfOZeT7dawi8cbodb
84Ex5eaM7ov2Ru7dhvM4p5h9e514t+ZO4SBCBxsNxnoa3kLrGNgkDXjDY/MoX8sopNeyuuqkNRFK
m05yt1rn5ffSlXXTbN9sj5CLTPbYFpcnSX82T7LUud1TdUnAoNOshT+clOAmX2so8EljcfKfZoeU
BDlDZW5UaIJFL7njK9rJTU5EgGPuAB25rRfdDKuJmh+JrifqcAzkO37PE/3w6xAFdjGseTkUTwr3
MJnKk2qfjJfM4dd68aon6TvcMW84VJhy41GLqD9vKqNfKdWqmFDCOqjRMt1jfstIIO096SE1nOyH
rRPb46jZKXqS8yflsm5/kuRi0gENjs271o5OVb6K+t6+FMmhQ0Vz1OWNV606h5eKkuPo3ver1fCa
kVIfE/fnxs5YOfpjML/1J4UUXZonXsBEuaLfTA7qJkF7y8GbiTXhB9fdukW9jtDHQAEjX7Fisbt/
bSxntvIHPUILnWSPkhcOJ+ygya0fu1JJ7vIq35DIE++73eChXnixbqwLjLyR156I12xyR33hP+0p
3U9H/1K4mVe9INXecSkeKjK5VXq0MMcTMLAtdwari/4z3HUvZeUQ6fmiXQ1b/YBajZjV0XDIkDha
lUfmj7hStobXeeqa7zqQ1rQ2xw1/wHUq47N1fDoDUrFGYMZYRf5Kh8sctmgAzWRTlbs42lMS7Ipt
Kx4HCBZv6Kdqb5wBKqzybE+6cjKuC3OzD/cMMkZzf9IzB+l5t428Z2tLcU9BqWCtB2Pvt1dysUcy
Orbem1y7sv5/Z9P+/9F2nK3qV/txJJ7PVMb+3I3//hf/3o4r9r90ulxAOyEC4P01qAD8ezeuaP8C
YW5hFoMZhSeEbfX/dIXpBmYyg3qAZmIy4Y8YUf5zM66r/1pQZ9QpDPxcAI3Vf7IZPysEyKpGsjG/
aDkOgCm2lqrIH+UHvKE2pZ9ogZ+ggzDwj3qBSmTkH/fjE/vR7+LJH/WG35dZOAHcAqBwf4En00HV
+oLQQfKAlO7GUBv5ocLCIbMIVvUNHfvuXo17XiGB1N3J27ynHE28Cg4ua5wkN5pN5A+4O7AhUQ/h
JZpqSl2GmkoHkRvZXQiJPjuQmI1mxQYge2EPfYiOJ8fJybZ8jCFWqIiWHQ4m0o/MV5TbgcLmQ58k
I1mAg1nFXpi19m1UGKaMIk3IHgqr+AClm6O03pAeZnVkF35jYT8r/yw3xuZIpSo6qloYssvz+eP+
TwSPUutAv0nEtYsV+cKcrVs9vw8E4+2/joifPIIz59JfF1qOZH9caMYpogwNF6qC7nEiPrgixssg
5cwetJWi2oB5iH+tv4vJOK+qMazheTHIceWB5jun9gYRfGgtl2k1TWxde5IyV+jygEX7pr/W+6x0
KDeZ3/nJeHE+lLeWq6o6dmAEOcgd9DMaUgXS0Uf6SUNbI8ClsPsIOfAiipwy9apKMub4xjQSFNUq
YYBVS8bcpJdeysvyjSP7NyHtj5Gvwu3TgPXyhDnu2px5P973JsuxCaFlouFaiNLru1CcoCkvEAVt
rAhaLuQ+d9D72RcWebqjp2P4OFVRLKJt0Kc2W/u2k4/oUTnXan49PeLU8W/0KumupY5Epj1uPVaS
PgGu4WAEkaaNHndTua5oOVVuPE/aqeHvTwKwAzmevnE1Slo/OMRAsoQrlSleltlGXstYfnpHq3UD
oV0RTzdl0LNFA01Ii8EUtK0pnKPhRMEqj4hCmvhnReu5+may+FgcYBrijlGfWECgSzliqUP8OVIR
ctH4mTrJyUqro1BlVA+TL00v5WLA+fqlUP4anlwLVN+CaLdRschn16I01hhBTJZhZyipW5JvZLgW
Qq6jRr7cFXKG1qUnLyGhUOULKZHKFYmV9bWIC/AYPeFMrjRI3VFoYbGfcBmtCpJlvRE5YvzNmD6b
KH7flYWVZi1INFU1l5//8f5aZjImE901d8qlYQMDFd5SgxLVY8IsbzhP0Lb95zeHYi/UAgBtxt+k
yy6sy6qd+sCteMcAiJjWLyQbef9zKuuAvWwssWWr5DDdZhNYcifUM4AwWt5Qy0k1ERDgi8mvmiMO
5kO+1AwHkfX3ERqf3A0jOqf/3nn8t/bas8VsuUdgFgBky1QmmXbO3JlAztuYAEnJ4eW4qbTF56SJ
nJf96xvzyaARigpmADwskNjfzIk/HsVEi8hIwfI4s65Ply1pFQQJqLeInNurFCooe1fSML++prJ8
9rN5hHfCYkoDnglw/ez5i8CEDoCAwpHlSQHD4E9zvBF2RX8oLrryh16SrQjqZ+l6mvqY9psGcyRr
iqHFd19/lk9us6AlRXMTkr0izuM59KkHOiKTf6gFBfQpAvjWdIb/EzHw3z7MMyv373kAmAVbH8Hi
tajWPo74TKRYvQmipujQyztySIsVkbaocUOyCBMnCnT9Zz/QEfLVUudIS6wQs2AWvpZFGV3AekAW
1ln+SHk7VC/+D24BOzfT4vHTTztbTSfcbACwMEJXKfHSKF+kHVuc4J9fxVAIVxC46BcG51mZtAww
bFd2TdAkXZIrNKvoR0pVe/z6uyzG/7ORxdut8taAIMCBTUn4z5nFtFpDmUfus6KF2VoyGo4crZJt
iXybL0YjCbaaTodwzkx/9/WVlyd4fuVlgwtVCw4Tc/3HKyOc6EXcMpD0uMGjEBUh6V2MN+k6Rgzr
Se1YnGT8h08mER2RMyDpv/76E5xVon8PMkOHvwz3lpAdPsfHjwD9Q+50MjHRptD5jKQcP3OsY6tI
jPhG6oZ0W9Ih2TQddhTdLOtDEisd6l0Dhw2u7r2SDqysweSjl2soBX798T6Z9HnDlgVRVrCc62fD
rFOKqMsjCweDWSuXiWF01wH5yyWYr7k/Wil6hvXXV/xsMCwsCiY2NlF/LTMjyfZarilUki2qdlXW
zAd9kIqXHMM5enca8BFgg9PUWNPT11f+ZFZdWhMsbjQMAJ2fDQY76ORMIF9DulixFasxUSvlgCct
oA2M3NvwV+gI/G/msk+uygC0WCtMNqd/8SJGNSCIfZEZ/3ZKyEMV/IDPVCmrGqX36Agl6kD79XO2
+frb6stbdTb2wRPg7qEDYi0nwI8Dr0bjNnTUTjGYzjpCcYk3AQVIXiEIJ5NxFRhySQmdHdi+7GKt
32tIqt+hKkqYy7ExBduql2WKk34cbLMkoDAaJJmKilIEcelF9jS/EMo3E9LZVQ3Ko6AvKeQD4EtX
HMUwYiqpZaEu1LMe0yCbni24UzHRX88mHS02cmmk9EZdIFGaGrGeCirWzPj25FV0ie5VYtQ6V13C
NizytO2N4mOOQ7MWG7SVzQ6X9QikAFbaCJ4M+3QnxhXlrOY7Qt4nLwkHYbBKvMcL7elsZSQ5NQUh
BcQsw61+8IMlzUdJe42dbBFukBx1bpwlsoeWYThKQi8O9jTKF7aNQGJC7L+zJjyxYCzti6qV1cse
7sd3QPlPlkymb9PUDJpnf+eVTSpp5zlpJa4q58ZbzHTmTlLVf0N5/2Q+tUx+P6Jejj2M6o9jCurE
SMAm8og+LDlqZKQleuoA+ZNkWRkZll9MR1IeF1xhCyMxSszvkC+ffk94W7aCUp11cfn5H1ujdkg6
4q9xjBuxpDzB1IOkZ6vBN7zoz7btHKXQTZg6EGCmyI+X4QCHZUYQOmuWWH91VDcQpjpoE76erSfR
9SF0JkQuhS6rG6HW0dqqxuhKbWabWPlEJaF2qvOHsGDGjuVZdm2FwBNniiFnff2e/z2f8pJDVieP
CeI0u6aPn3SysQBiwmBw5iZrRK4B3i/l+LEshuBinoAKT0H8OBLg/c3aep6Xw2YYPRmBFUuFSEXP
fras44e3bVCLkpPHFd1RlaznvLcLel2BoCqP0sOMeuPdABqMqjVo9nh5houa2F2Q7Avg4Osb8ffI
4OPoHF64G2zPf3/cP0bGpEy+KmcVm0ZJYGstBrSmk/od2fuMCLis56j7ONFpQJPIbTDOtkygrsrB
XEgWI5ZbEvEGFGP1NOJeq3q00EoOL4UD/49ZkX282zF9jaDMwKxEcqGD4NMIbsTokmHXExk10jh8
Uc3Z3ORVpDsdjrJvXtllmv+4DPB5fx89ycFReXE/jo8hibKibSkPDEPxoscFDQfUIrRExZi03zyC
v9c6oEMLvgZAH7qfc9FPkME6UibuDWn31mU312kEIFi7ryYM2lGBnQ85t/Hy9XP/dBwS1CjLOgJt
EI3nOywAZVaNBh0tZnhv6n61iD2ZndVEzlGUJ3TtpSxUXIkjFTDZWaeADdg0RNUG8jAiWWX/9Sf6
7JZzgqbYSXmBt+Ns5SVnGsYfpylnJLJyHVQjRSipHGpomTiXvtlPfTYgdWo/8OapAzEpn72GcFCo
C9jcdDWXtJtuGNHmavEI0cix5dBOcJRLWoKQW7aHbRAt3ksU1jHdm9Rqqc6rABA8S9WjjUnQyfhk
o+Zr3NQI2/jShj8dwZ7JssidBJCc7dd36pPJC3UGJRiKI0vM5tk0m0mYTwAZSFR8lOG6j2MkYNZk
44rt600BN+cEaYgWM7W45pux+vdSxlxBmeN3yXwR5n18L2JlrqlK2BRmLA1ossoW7KElPj52ZamP
pOvWTptjDU1J/JK1Yb4beyWuva+//icnUD4EIi4oA5yPWGs+fgiCuv2x7BU+hJ5Hd0MVC6otgenU
o7i3yK/d9rPFUUHW2lU3S/1TmVaQXhOQK/cVRA03FjabM7/8lgr8yd2BI6pTIiNfBbPq2aCKplJO
DYyhYB6V+Qd8n9iAJaEqpwgb4rwZUHIFqzGq+p1vT1q0KzlclPdf351PJnSe61K5RsgJ1OzsNZok
v7FxvgRUrnUC0ZUBWMIUfHce+eRlNVROpwRQCHMZhh8fARrcqcX0wPxo2kHpiAr4KdtME+x6QWLw
11/p04uxhFBxwBJFAsHZxTJUkTpJ8JxE+8KJ6th6bvPsaVBH5eHrK31y8yhwctdQWrFGn4ctJ4TT
CyVY3iwsRLsw7/pVIqfRN8XnswyD36sh8W0kXVA2BP92TsPDKtVPerdMdTbGorqch4cQf5+2i6Ki
+WlkaqjuzES1vSlFNz0HSkxYjxS8qUPX1fC+0merU6inWcJ8zyL8/7gLo87ll2kBggSMFMVkyunt
P7851DsWpZoJ+PCctk1VUViT1ksElEHQjFp7cia51L+Z3JaHebbyUiWkXqiqxEVQ5/z4sNOsouwR
cBUpJ+OpYUbdRGqj3IO2Mo/sY5tvVgL17woefDuZ0BZAjviHzw+4VZhIpEioksM5AIXLWEmPqopj
QJubbgN/DaF85o9H+oGJG6RJjzB7BJsQDZrqlUk077oBur5IrGxrNFawrqxaJZ4h0HeFpB11u82b
Y9w238VyfTZUF08C40eGHLgoBv/c0uNBG5XS9GEhcFjiWFpHW2mSp9U/f+Z0SVlj6BZBhFn2Ln9s
D0N8S53ApbbYdMW+nhEjmVhavrnKZy/4AtkUrP283+cLGmYuEtR9dltN4dtePRql5mD7i71UyTBy
f/2VPrsYQmaF8UWHD/7ix680zkLGJjtBzwqz8BgNUb0rGmpJehHY32z2P3tGS66FhvlCZmE4e0aN
llRDXjG0ZmEhg1LqZpcSz3n99Rf6ZP9IXIulUICmWkdz5uMXSsLJrNEbM4AjhB5s9es1eQLAqJub
sck9rBjVN8/r7+9Fb4bXxcKsq3LSOxsVAh5YqXWc8wIOtE6ij+WlaKXxm+Pk3w9KCGitQoUTsBxa
z3aoipIrVDhYyXpwhmtZMjF3ZbMCr9oMg83X9/Czb2TTmWTWZx7gKPTxHsKNqkMJo5PLOUb2Kkuq
nKBq5m/mtk92nVTwQMYuPgb4q+dhVMkUTnBQ8wBXSSO91vhikQBlwX42KnBAMfjJhmgQUGtBfLEE
UB5EPHVQwQud1vci6IvB0yt195oMuX07Eg100tU5fiBJwLe/2ep9cvsNvFSU+DXCQDklfLwlhFJo
UWYzrJo2pKAuFXRWzBbbb6r56o+vb//fQ5hqgQoCl6mYQ/H5HKxjcAkzhQoJ1q3S0YAfHCfJyNxc
q8dl6auD28gaWvHNV/xkJ/nxumffEUdfN2K4oZAbUMcUtfYcl2W65qPMnmll4i6lJ7qJ4TPuzKk1
Lu0+ec4SGz7NhL9s3beYTicoR89f3w7WOW7ux1WQD7YklnFCQfpwHsGaGRMtZRssnyGHVXndEAYg
3cvlnKb7OshEfDvnvZq6ahDglGp4H90aHF2MEaqNy2tR9rntQkySLwjEScF4hR2WRKq41i1tPlwe
PPjU3MA6Ux9iUeMAa82xplvdk+3FztgWRFTEBSJPTIEqUq5iYQVCWJFcC88hW+jGrpN9b89w7Wln
qWjQLA2HA6QUJfagFGgcDgZD/tWIQtx0NucqF8Zwd02RCoFYHtT5a18oUXNoO4HPk4YSmkt/1Ebh
8ilxg1cDw/uYmlQ8WWuXxm1bqDki8SqeHjUjTkMI+ooZuYGPHZv7pJYHaoeEHpMtK+VeMifD66jC
bFwghyOm38oWR8QtrQHonhQcR5aG9BqVyvALYBy6EhBt1XQUEcTdVVAnPjLZHhDnSu46tlVYKKdH
wWbhxle63BkgxFYbLdTxaWRzoWPMbzR18ga5t68HwovA1uPl0tymZ8+vEDKF/7LkMI3qsZ81D5SC
9sOscv2tgUuiYkTr9X3gLxTPVPT9Ji9zyRvxUpoONcKarUcDnmbxRc+vFUyxR6NFYhfXmivC0gdT
24wcBVV2rE6Njdp2lUwzs7XI45DuVFy3sGmQENiOAv/8Zgjp/XBeCsthE2E3JTQiCkNtE9aghIk1
GZ8ahBpPENuvtaqLd3Vk1DB//Kz+VTUQSJK+Kh59W5qv5jQmjwYzpXiz4IJpEIbMuLoo6ShkXk5K
huzqmPeava9xdHQz1chokAdBe6f0HaLb1GyUB4zv4Nzq3GTsmHFpj27hJ6UChWZIDr4BGtnVpxps
T61EwbBNsmG6NhRfepZrY0KroVjSYxtN1mtc1jpcJ+zmt1q+dL2BWcB4ksmmNlw9GcyfU26ZWEnt
Yr4yjXzjZ0QfIfE15hw9bJQ9VVUKdAnDWw4LAuQdOBoObYbTgzK4nYZUVZ20D5TjYGBacuJRbi/6
KUpfkjgbLlLdbF9AvRXxzhwURO8pW8E5Hw3Gp6I0t0Uch0jH6ygSpNVMQGETbVQOU1HU5koYnQod
WCMLfm3gOcegbstxvDJQgkC68H0QXJPdhbg120jGEFyV/rM+zhJaYbuFgBiA8Axcxl/mhKSibkZp
RIZpm7O4FVDwIVzkZk011YRVgvXUqtNN3MX9W97EKEaqRiEICLMu1BglpwxCoat8SLM4L7wU3CCA
VxqVL52ZQO4qid3q3DIAFOcC4NGNzUgnKMPmZC/prEY0ZYdIrsrCqWxlzrZSL5LlPZy0x6RuCBHL
lAnigU9nfRGL9e+JYuZ3Ssd50+lUMXSu2TbDnqgZ0/RmNUQsHA9Z9KuwAa04piz5T0YeFMd8suIB
qZRv/5SLvH/SC4uIanOm4I2la1xiEQsJBWm0WGhc2e6ySynNCn1B87R3hEIgO17KFB22NaBvel7Y
wHkWN2HYzu2DXMHh41wgmstZEdPCGBPqD7MP/auIWbuDQxt1NxQE5mt7CtKckadzKoqqWQM7qgtW
bF+b9H5fWTp5qwQUKVgGlNy+zJsifW0bhaDiIZ6HlShj3fCCSBquZxLEXqo+bS7locCiUkLzeRmq
LgWcaQ8JKnmZYGoKoRCGgNgm710t5McpltWQrVgTXKPmgvQlRaIxwGwNgltcWjLW+QLgh6fSl7kB
W0RZURl7DLNx1Jj7sZzb2tMrvTulXesbntAx/x58qYNZSAx2ehdoQ2VtqHLpd4raMusZVRLfyNbi
iEWI4ru+j9MWLVPyGJHheKur/ThvoR2oJUUCSpsOiqr2UQ5z//f0kzGrM1HUptFFThDKM+MD5sZ7
MYrpsUUukdwCWEqfmLxt6yjrHJUJeCiL19bwk3BrdhJevR404YSEK7230mrO1vi1jfHKCCLRuhMK
N/VS6fO8gV02yLgKZS0jbU8LwsmNR7ogDmqS7AhbuD7iGrSOQzBKOHqDaraYavQI8CIJWPJOyuIU
aYxvmDzcolOfqQfDSMriITj4ddJk+y5Wa1YiyQCeCfH7ok1r1qpWAADYAkMC0BtrfnJJvxqBMEoi
NGHQIQBkhNQmkY5jL9S8LhLmqZMSYM/wJ0a6q9Kk4r7K1AaXBR2k2wwK8A19UCgirZE04Tq0WqVY
mXDz7gdrrtWNj3qnjjE9pnzNfTDwrk1STT+TKW3x71pRqdI2hzviFYy+aRtYs3SB7xT+EXhh46UK
TfAvhQJdQsHYDdC1C8OtaENKahYjBifqqICWmcN6RuUfh9UNDAErWjMNYAPtzXzR01fagnlKTf81
YIJ9mDm4v+mSmcjbAl4RbUdjUK9aQy3gM0P1VVcsSzimcrpLkZvbKaK6BscqMpZZzNYmw7X8pJrL
t5EMFg6HvoV5NSoKvdhR9pHDw6wKVafwTflYl2MheSUk8stgglzhYuVt5Y061QPmLKW3n3qYJ9Eu
rurxZDEEcHeGaWFfpDl86UxtM9sjCw3BUCNy/XIcgMDQxITI6ATo36AUlfKMijyZO8vzseZBT4Ml
AXwDz+7iyafoiYnfSrsjsVv2m6jN4QdVTExhU+ybt7Y1x7hF6jjVHa2qsmf2gamK0sGGrN/3utw7
ioBDA+qPtTJknye5SBWxaxjAD8G3ShZTrd/ZKo48O1YvjKazL6W4bW9KPwwv8P0Hl2GomFhiGl5X
ddJAKGWaMt7UeY1RdOxjPcG+jo4RyH0z/WTDZ5VOKRKgVjBBWSRkJUp6p8RBiudC9M11MKXqjwTW
JrMUYBv8J51hXqQQRFxb7wa62aHsdWVlw081pOdOpacpzxNEK12qNMDRLJqYuvIgX6sRm6S1pk3K
lnyXAc+yKiFuqdVIRX4PFvTGaOQx9kSr9sEN70dYIorHaO4WgpmInCjJ+jEsiIJ9Gcd5ekh1ve8d
K+qm+ADeoEanQthO7TV4Y5NdImT91OVZASLQBPjjSmwiKvgcXVCfRFf5FetbBsO3EqmteVVX5RCT
pamzNqaaR+V+tOIE14sc18FaAvseb+y+1hE9Eabo2FKH/6mW4tsiUu1xBXAP6EXaSLpwzCCv7+UC
472rz6KH8aUk+KiqFvzCahRxMnldbyePKKJ01fHtQn4Q4DHuRDFm6l41R1L6RlMhixl07LpNbFTg
LUPlqgZpAbrQx/tNbMMQ762+w1FBmYw21YiUAFCi1uXeMPcR7rgRYtOqMRpzkaBVNoqZaB63eWKx
RdPskXE9Cck8JqOsZCszbTLzmBagrx02U91iY5ZsggyHxr5RgDJa64J98Vvft4G5nscUi1SdCjXf
gndEx5yDL3nvzdjns7E7OaX5JF8IX52XiyNkwPthqa8sl+MDL5MYXQ2J+HWhDYLaSJldlUoY+juy
Euofcmnnl2izE3+VyUO1KYY+QbegZvQnm1LBrAKRDUp0F9BFpx/QHJlLsPGJUp6yYz13Eoxh2Vdg
kbdjuTWNIm48HTwbbr4JesA6bSazWddgoVWvQJMmeMM6OF96EiidF2cTu//Sz3GKUoXDR5iQCI8b
BhYrAKymuhAo17VtOE+YWFq7SbLrZAiTcgX62+/xWvVV5fhKlWGADDV92gpt4t//RwCXTQs61DyF
YDflsCvEUdr2sMPouDTqNxXOT1p9lDRMi5QbrAukepyVa5I0tadeHVgDJlGiQm7fulDnbDeFCKUs
xec+WIKC8yC/NFB29qHcN/u0HP1fhjF+F57+WVmBhrupLxHgiNvOqlXQagkUy2pYEUINNyWW+F9m
kvsktutB+M35/u9aMqdoS1lEZOiiqGN+LGEIzWc7rbV8cY5iQN3sBqJ63LznEoENtL3Vb87tn8jW
hIGfwqCd+1uie3antQoNQ6lTRtIN2sSc9EAaz9JsEwObjm9+mA13hoDsrCpZdZ9IVnlZTba+6oQK
Zd6f44xNho1pKQVuuUlmk+b215WFzwotBjp2yrnIUTCcf7wjSDThgDYlcuWATzn2IQdSe4wBavWW
dNWWaC66vJi+GYHLMz2rZlBVQMclk8JE0fWskmcGrI68UVxVK7oDOOrBcpI2tr2YIIx1Y0JjjCyt
m91qQU59/Y3/vjaDf9GpmrLQ/gd157Elt9Fl3Vfp1XNowZtBTzKBtJXli2UmWEUjeAQi4PH0/4b0
/d0qUk22Zt1TiWS6QMSNe885G4/8dz1YMyE51K95bUVIykkUo39oh6p9hbL2Thkc304VzYGWUKRf
9Jl//KqJ8UDfwYRsJZT9MQT6S+t8yrTAEqNDIaON/Yn7TnWy9FhGhElaKdmC5QvD8PwX3/SPKx7p
KwocRrMIU43gu4aWpoygXJY/NMC5dcLEws1gofgRTpZe8T/K/c+/3b9Z8Wwsa2rJyvGzfogM0HTy
OmSDFLLVhNiJLifK0Y4JCZ2oMTnTyDYKvcnmpPS5f9tcSCR3GqScKcGVpPAsiHRPxtSjTbKzIN2O
pk1V/PM3+TdfCsfgytayaVdDvvq46EeSOprUJDPVGBqieQiTJBDrKs2tnS6Nrz9/rXUpf1zqyK/t
daEjdUEkvDaa//Krjxpw0qn2kEANQlyRYai0Q07sqAuZ13PMbRfYyTOJilpC80gPCEv2/dqPfv4m
/pC6f3wX/CI05wNahytS9bt3gbbOcZNVUmLGc1edBJlkPnEHmf1QGWq816Q03qZ4wPVfc+zY4WyZ
FFZ4K/yvmqaTxfKL9/Nje93XV7kTYT7ENSGu/PitZJYPc2y1LMBXMSOiY2wsQBQYzVL4JLgImtpV
2uwTIf0NuIY5LHtL7kAqDAeV58PrQP8Pk2wbhz9/Yz+ujPV9MXJCBIWj5XuNtTInQvI7VgYB0CQg
LEgavGzGC5X42qFc5K/0hj9uRkhamTPgGEHeyjD14/fQaYMuWYjMyuvRf54ZT22yrmtJOg/WK0Ey
U13nBe1FAHTm+Itf4W9+BJQ+OANYES6jw+9+BLfPc6uJZ6St46z2SuLU7rii/WLt/c1XysrjIcAU
g1XyB2Wd6+aLsUoNU3uxHwsk1ETILsaurZf26Jfu/CsHzo8FBScKAzAelDXS5PvZQUFfQtMcjrRe
quTGAfoQ1jmuf7tDZPbz5fI3L+UxY8PhuXrYdOu7c2yoTGV0NssYYe0SLl2bRxNqmc0i439F7Pz3
NosfNxJegcVCfctMmg/2cakkHl6zIdU5pKe0Ort93Txj5CHobSEB7ZJCJx83sTa2V1Wg6YdxMX83
h0yEiCoBmnY0jHtPiJOtEFXKXlsiWjTxzu1XUDgt2vFUonv9xWHwt1+PaXkofhGaMl79+JZhx6L9
THiaaFbl35gYDWeDQO9dpi/L8ee/xI+TG4bR/NYBmkIeYSrJ714Lf1xR+jXRL2xY1Y3qCzBeHSDb
r/D06hZ72lC+guPN1Smf7IQpEki14V2aadFFalGSwJIKFVhoMbIw75oUBNgvKo8/BBEfdmFkEj6b
MPd3/CKobz++R6vT27jUF+JyGAfOz0k2JVB4sW8Qz0C7egoTbZjLvQuBiryZyQzmJwRELRLhwovD
yXN0Yr56VzGqYIvfyQYsysZrZA8oBgACYWhtq10nZWeS7ldIUvmkHZNkZ2JIajZTD9v6VDmWuvRV
1hZRVyZT1CY6YRRaH4PJmLRimq/byezNXzwofxxz3310zEHrzJtvAL7id3tNHFdcVwXJN4qybj9q
UpvCUveLN3oPlggXMmfziIahV4TFbJfNjjN1FCGqwPmCsWear2QmtDXfyvUeWqDe1hvZctODleXz
F6C5dAvzwF7E1u346TdUX/1bDtabFsNgz2UEbiBtmSZm6cPPF94PmygNS64UBLhihbC978tJCSKm
oN5Mtxo8LCZQjrdt1Dz+Qgv5Y1mFZoD7EZDO1QTOBvdx6fBN+RnZsAhB+7i5yqs+IOa6nts0LCtb
7bPF15anWcU1vW3yjA/Kz9ueeIJGhEPDRHOb1g606WTqcGLT6YjNaPCn/Fdg4x+/DUxvCGSZU5qB
A93z49t06W0bE2M8whuB8iVwrjY6F7zon37nPOhsgz6urvVJ+m4x0RNxch5Wmkipl9AERzCwHZY8
a36xatcv9eOiRRVC6h5+aC7JfPMfP43GfzfbCqjI2BC372SusYnplERz1dVinyeTex6UAe2qJcDm
pJyscHY//6Q/1AfYBPg+sWQjfvozBuxD9ajXgyUX3oFtChKubB3kAU6zK6azyUALr5siWzOCvclc
8PbnL/3Duc1LB8iguCehiGUG//HDT4zae1gfzFNHuWxHnCcXEnoJ9yem926Ki+oX16O/WTrrLdRb
7VNEHHzPvY15ypHT0mwhBk8/TqX9dcZj/4tf9A8l3cefdDVtcxNavZlrRf7xU8XchLsScghZVpXz
XPgKd3karJ19RdWQRnlbJEXYailuGwa/YMgXrKNzgxIMcJqLAENYw43IiFnVCNXrNjYDRKjPNvht
JgvlM2qS6XNMuDH7gCDMNmzNcblHv2Zel57XeTtzzDyCXhZBECd9ZyJqGyPQor4oBjtceKZcHh5t
jHE6tRXdNscT/Y2YGzIWSgSRzPhrTXvI0ADG3/zSksMB1wyZndU4WUHEHDbGxYtKuAwLDVFA2Nkk
MUY0ntd0mCJJ7B0HPSFMSK/cZzPGVx0qQlzuuJOM4lHQ/pnPk1nAGiunoZMRsuuJa0o7Ec5OEGgF
LnxI2pcFOZYRAjVzpjBPUwymmUvfft8VS0BFsVjiRtNirwthvTGpgnPu3iUIrcCA9B1YHewv8SE1
scK8AlBNj45HnvGGa+Ci/twt/lE44f8sefD/GgObGuIvz3T43r3/2zeCKLt5zU/8j38/9HXyruaP
eSf8jT/zTkzzNy4dHts1CnuuYn/JOyFG0LD479xMuB2TbvJfeSf+b3QTOPCwnxI0SEPhv/JOnN88
ehu0NjDSmGyN/yx8EB3vx913NRM7hrdmUqyv5H8feSJozhKsTm5v62tv1NOGLB/SeOkOjEqdg2Uy
geMuq+/8lomkGV8PTqofvGohv9dLrZ0nmPAWdJ/DvKieYoZuMIIWemtejih5HPVNXAtrxxlILK6R
WJfGMrsDPqV3y8/yWw+I2sldGrgTQvgbp3Rf59H5Onj7qo/fVWuSxN74/Zk0h+WWToik5x5bYEJq
cF6ZpkVN1kJaSvwpOFEiJ7dTIuhtd465X3JC7xq8Lkicbx0teMvnmrFusyA+nK40g4wzzew0wsrJ
MYh7Q9sNmmZdJlezIl2TipFxvYgw9mNvV5ZxtU/1trif3ITysA9y/zHhAh3pXCMjye3n0zT48QHA
rW2EFqjGcQM7A60qCmH9sdFMyEZ4ex8bH3kXsBVZc9gkw3NBTCy5UjFVZEZFe/B75fNxvIR4J9nr
pEF6gfbY8yfWr7PpRiYYqRX1eueQETgBX9tUiDjPGSChUNL2Ia5a5xH3Enacec7GKkxax54Igq/F
S5AicfGERgj/3LwtxcRoxZgTsopplrRAKbziwU4GO0ZPvqDH6X0mIrOeJ0Gk8UFJPYsz7QoZMSik
oazI2Foy8sk7fjo7cxmSo3SgC9UbC7PBxodiMfee+Qyjs8dSOFdHWcj5MDXlF2u2volyQWuykCIl
7Pl32uW0+lOtl1sEG/IyLsvZaO6M5IDduyJFwiHzSxJCy1WiZg4H14ShXz+/zLDTzhNF7TsA5jPx
HED5pm6bZK21XyQCHH+2H+ZEwD8cnC9SQtfVtNfJW46mF38WRXJTqGUPzuBA0v69Cjw+ANTkSNIX
uO0hdH+DxGBvlFjUWn1UWxdkSYhJbeI+YIRmQkXqyuFswire96AibjkLQh8VwuSoaI4PpK73V0lj
VXvf0Ijnc9RnXFuHpbb09ynQbMrNVCV0hIEs7ICE1UcKpoCBIuPpTdmb8yesYfxzll5oO4C95RUK
RhXpBXAlCXPTHxv/cZZtBbAI8XY9oD0wANkdOrsYrgOFPYBiwKJD6CFPddOZ+HlETRPoHE+ZRyat
SZSbmR4B5JqemFqvQO8uu+ob2hRK6vHRbcvkCO/WfwEbZl3GQSB/yfuGxMGuecpr9er1dNunNT9k
23HmbPrB9UJwdiQWE5mf2/lLM1YCE6o09kFu+WFlIyLD4vw0cCu8ZkKZHHuToWCxTrYEd6vNZMF8
8uTwhWxdTtJZ8b7W0P5tP+tsFa1OEpqwUadykYMprIiYL/V0mwlDD81SuBdGEMn90pKU6bRc1vHF
EsyYBu4rBqIHpCjethX5A+mTJ62x9E1CbwUgcu2zfwzp/biK0zCK1EeKhRsB6ECkfOqimzdxQYhq
d1mslOT8yXPPfj/KS7Vq1oMHoaogQlbSkomOXMMufnegjm9MDUtIAUB25/iJuImlftXro7unlzkd
rcXz7jPsWaBIff/UsPezBu0EYkHlXWQHCjsjM5IRLJqFIhrHhqh3/+AK8xLA75V+vS+xrDGlH+DK
WZe443lrxy84VggwD7ArI/oAZoRWCYPKQDpjeuU0d6lm95ugVdHSk1GfZJW3nfzCvYqVEzIn/iZ9
epl8nBOsi2ob1GMSMrponlTNJFdv3fuqqbK7AFDTrjQK5sKxv+wm1xJfnQljUNkU461TZfmBUJ/m
0YFOnNVTSJgAAEEkdKhcPs023G3FkBaK36keymipjdcZmu1R+t6Za9SKUCMIGk9VcGQMr9Ojc7PH
tJoAdtQ1SdvSqZgVYwWocz9CcAL/lcFWh4zMnkNz8J6muuaf9zMtYkjCb1DkCN36NuX7ry8wQDLE
c2V8sJ3F3VrzV1KhEFj0TbXnoZsOmbU8D0Nvcjo4SQj/rX92giocLDGQcDi2ZLA6wXCbKwQFSZ9g
DO8agqi7LOoWZ6uGcTqlMeNHjzBTEB3VBtnm9cwQvrMS7dZAB3Aby6zYNkZ9U5F2BUvjXBiCNwa6
GmrOrRY3r6M1ZUxTU4INTZm9OAkiODur+JDsPhDXoF96aGzMnsVjtd1w42oE46ezDLmsR0ytrWu6
wxbJXtZyCXJj+jQksjuU5QKNLy/2TpojVehBRqRm059okUdEWTN4vZr91oUtJHMFM6gx9vEcmJtU
tgKgYwoAVBzW/jpA8+ZlaGdzo3XNQ9Uq/1Rzr0B0xbmJmQPOpsraPfSbmD1ckXKZ13dE0UQ0tLpT
YtX7SrTlYWha/dSRAPDYGdeDmY9hvwyIoso1Yd3O9Ujgsb5q81diDcnw1GOP4E/RwU3UYAWj5glV
pxGMVqQhi9A4eFIPbvsCjyHlXHPkjLAPJVvIViRmsCPfnqQ3PoK7dyFfSaLEdQBSWpLztxE2WH7F
TaGHI8VP0yvvycqzPTCNSNokK1YMmDcivQmS6qsyvVC2MNr6NP5S8l0g+OleEW3xZ/OJZE4Omp27
ZPGL1IbxPvE5+OJcd7YuYsn9EqTTVac3TC4HV76lQg0x4lYFoJVCLItythtaN9mhWhIQQmOD9A4e
Kvt3v2Nbfx4lMaydsZ8z7bw0OdDFl6TiwMxfgq68dp2SaWcb2ZPYO3nOw5Za9/S+SDN4nsT8UOfO
XVJ8DipUMUG5S4LgrVJaaBSXIM5CzzoWon8xew7XoQ2HTtzgoDrIasCEQ35cKic/0uecfdHq7jGT
6EQu0k03GO5lnjq6efJs41EMM929lyAsDunInMNX1q2gY1kPItIGS4+6YWijrNlboKWEW57s7GWW
hODrgdqPVf1eTOWN3pph2ZgP3KBeGj09OXZ/3Xb2jRLytmPBLOThbzoViLDFRBThxlOAesFeMak+
guIjc9aYszAe0OwTM5Jcl2lyWBrkPIwKt7o/cBer6je/QBKdZv4b4BMzaluWi99xPAyCUBaQUc1E
fC0aX04yQbRtG0foPx1kTa55GKE7FrX+ukg4ykTBLdt4im8lROaDDS017LV42cjJfsDFgWZXn/vI
szJ53yj+LVc2yZdMU29pOuSRaZac2Kpwzk4v6n3Qd+Bc63nrpoqoaJVeqln7lgbeRTkjiwvptSXV
1zkNLlCbGC5DK+vSXdFRgknQx1am2q21vi1PKsLFff4NHb6rDLM12kSb0vmlNDp+x3yoXlhoFdPw
5rksxuved7/Uvf5QcY25ZtD2jeqsOQlMUi+Wsu4qveNdoaQa03Tjag92Zdz5Q8tSMof4xmjHe5ka
93RF94rNoCVGdeVu7XrYYfuZFzroeiLemVLlD7h5J5il3+Bvbs3K3zFFqy9LSdWDZ2Pb22imdDsl
r3ooAIc0TXBTwZDkWankPc/UrV+VXxEARwKW+0ZolX4c5mKKXMdDHDSY8AkUw9QrK25HTKy2E0k9
OQPXWXOcbe+h0/xUx1I2z0/o9bzP2GN8kF1jAe0oT8O1x76RM2FLrvRBAww1m7mQfWjQE6CBYJUr
UaDeAH/BCei6NxCj5iguMFGkCbGywmyuhCjMa25KABpE8drH8T1dyOw1VumVx0nfNUMA0pIq3E1L
eQYM2ew4kRXSGN4jqCpGWGNvv6NWNg/VyLjHi03tKHwUixsD8TdcLTx8Xj7Kc8K9QTNtzn1SOKqz
GZTDORNFjo9HVNygnP4kxkY9TOlCTDMwuw2N1+pRmxEku56sOhKu+ToYqgZHTkt5xrid7DI6S8RN
akFkgaeFJVsEbz709l2XmILI2LbeL6MttkOVt+REAuBNRiFCutL9qSmZdkrbfCfJJvg683yQgJzk
9zVg3iiXeU66XKdvRj19Tf3CInwpAVXl+PWpEv1ikFzVq6NSifE0GS4BsOiGWaSB+mLGg9wV7Xyu
CYkqN3VhBE+K/geBvhoCdL3zTkS/AACEyBv5ULY3XjXM25539QnFGDrvUTrezZSyJZmjQTa719oE
yo/VZmgQvB9804iRq8/P40x2cOI1iAqJyOtv8qBBy1lMr+lSlXUosVngOJOzvJAdEN+oAgmbKr15
P7NTRl2jLZeib4PQWBoJ1nix3mgHmbve7caTsYoCt77NTlxKkxQOlSCwLBA+Du4YdnSZdn3dylMb
BNopGLgVk+Dx5BmF/jwOprF12n78tFBuf8J5zMRjwbTK7l7tDZ9WNaq4fitSjAY6ysJlsyqCzpBv
29CoawR0XtxeSgI4wwlX1o0MTKx6Xq5+H6xu3IIwMi/K6vaZUd9PwXNZp5q56apPHtOudyOtYiLC
pcZJHpsHU0OSDQfxS1C39n6ck6DZxHMMbgff2h58lHWVwx4iXtWwb9Hkv8pAc57EYChkp0gmO54z
WISrztpxQYghwtyTCKw2mGScC1Spx1w5q9/Cdo7MXCtWa/Xaga9vYjUB5wbk7pY9CKyWUn5Wun82
1yeS3J1PhdEUd72lg+YiyTREM3RrJQiT0DmGowXCTXjOdOF2Pt3KwQiirq9fBqeN9wMqqatmKDrM
FePCdpSMZ4+RzlU+xvmK+nZiglWXHN3hvFyDdcHmkVLrt0Qp7DlBlhR3hT+Y9vVoqPgFbJI8DA4q
umyInV0gOHL00fMOHhfDreelxmZ0A2Li/e6kGXyWeHC708A4/RgT8nxnJcF8kN5Q7cVMtRvWcnFe
TBnMd4SnmvcUas5nC5jJ9aT3GXCkxRpvJHs6O1Fqf9VqjBFWNRwTq5GRZGp0V7lfUkngQnNL2NmX
BLtZJY+mvE8FDAr3YHX155kz/VQtJM4FoqkOgdfKXUCbnLJzzLWrQDraXWkKZ5PQY/2E7g5mqUzq
L6xIko58BBkV2tcrrc9CW8uX+7yykhe++Pw8WV7xzY5tUuw15ez9Iigfyd5gY83RYUt9eTSJiiES
I54+pZURvNRjx71lNOXrNGRwLWIrf1M2ytElAHy5tQfypAgJq8Rh7o2wEB727F6WX0WQsxA6Bpwt
25KxAILpIddHWopgZBP71pK+rjmgG9tNunOXWgngMF/TjX2nWrS79mRr9xNF7crvVMmLbSdaQf1f
9q8JGRbgo/VJ3New1W8LPuO+FJSNW/LQiqvZskfMJrU0bvBz6cfMqtCLzr6sUi7nqXExp8Z6huxV
XU+lOVE9GLSKCbe3U7WFDzo+9FM9LnAeQEZHQrrXemaUn7TGsI+VoS33VdtyMzW8sjkqyxdBOKXE
g6UjSoDNKIV3ay+F8y3uUyaClMQcYj4q8BFKLg1yJ/dA2TrZXphkpW6lTP2Qi6j5mZhLc6NPsbYr
ZMIVWppN5EjNCmdj8bgskBtv5eRZjZ7oTnrTEzpPR0MWZxd7HvnslhN8ToLltoIX+CQK7hZVLduz
CS7sTLYaNwQil70wphfmblMf3FwmZ27VRrm0e9B9704qjkMfiK3eC+isWl1tbRoBp7Qnj94CGXcB
5zUdCTk6TTkXplw71ymwAGVsbYnVgEi7Xcd1pE/a+I6Y3eZgrw5aWYPZ6lvFzX3BDBooFc7+slf2
pakwnGclJ2Rs3vEpjqbTvdiuh43EBhntQ0RxJQDFmqDJdRm8yHHY5h4ouQDcRExgauZvuvE6oXS9
n32vDR0iFJx8WdNbSHThWBfSyuF4lRwxY1abIeaMKoLJu9WnT0Xp3pFdGZrVuMNa9WjrAFRkPDAa
OozlN0CaLtTYceNm7r2ztOKRm+GwB3f2O54PPEo6l9vBd/Cd9RZoOLSwy9lNXfcU9IW7BS+98/Xk
ywgY1AIxdmVnxcGZnTWD3RVAJDDbZHb5ie4FWE8aixsSRFOAw/PemSAhgdk5Yxbgrpg6Z99yvvjt
WtMNWRrW5LpRwesoA7h62pwJd6ABrW1e699mk+LbIzHtnhM48pp52hpYBg8egkQ0JPQ7TDqWqY0Q
3SpvqnXDc9CQo1rL59CvDdL1Xeo83fHfraYIs9zc0d2LqgBNm78Um0mRhi+gaU5NHPYFF+3EuXeY
yuS0UKox3cZZ+9WcvJvFNy4B1/i+CZ6AJWLXQRJ3D5PF3bFA3wlxsTbrehTYxni5+VokM3cTH/eF
PrMqaiZa1reWrGFYxjYJjNQvOlWvD77DEhG62wfbEZFP1rbZOucpSN48/yAJiVgkQiMveFy0tTfm
nw1QywECAELqNsprzos/IL1P/ae4ce6lZkAPUUxEO9g4prXvxfSup8UlyfnEnTlxFYDpOk9vblZt
qBt2U+lxuFfXeXylUvLt2yw+jaW6p1K9LiCmElLj5lEd+68yc8Zwmdc9PbkfQPuh4Af1i5nxOM8C
aI8fh9mIkce0FxT62r7OGaEVKBw3AVeYjVDSPnLqf8pJjIrpPIbDRNICqbvTEialeTS493NHDAWw
vg0XvICRFTWjMy20uG2L1VhFyeCdaNVgr1Ye248St0Kri0OXdCc3EJxnhCJRLYmtBaEQetl29kFX
eDVG0uowW7d0Hin7x2nXCE6TGJ/aPNb4wPhq6IF1pxL8Msp75OGoXLflWE8HNTcbgmLoYKHw2NL8
ux39ctcWHc8aaoIOZPGGHsSK7z0OCfFn2ni/WPrelczz3fdx9LnoqZjDPPgKentvrQj3EuK8imnY
20t3geCm36l2BkuSNmytcsWn5H7yCSeRHQrbzA5NjMiMpK5mwz3ovTQBYthAD6BYX9yKDa8EwubD
NcG7GqO1YDJ6SiElIlZ+VeqT4aPkC4IbpvZbmQU7T+J/HUCwIyhcLW6W/RBnV8HKPR4IiRxB5xEX
FYwGpsXnxviGtuGd4nzctIZUkdb6t0VtxcfEmc6ihJSBxGU5T8xHvVi/hcV7yR1armzyn2t9uuEG
cqzG8bmd1JU+Pwdme19LlHR0mLxobCkJCF54zrN8n3JNcRt+FPiB2zJWp6zvOHAn7UkzL5nWMNNA
26/3ZyIuAUYj6SLgydRJjq2u5qI+apl/qNWSnBV/buyPWGhIwrqtknknhr2mrmz6VBRB9skP8JKW
T/QdNkX8JMfrwWVH8ZYHw+zp9He7LNgP9EWbDg/vDLqEJsuke9u48i8rqiXtz7l8ZivaUHNgAmKs
gcPDU/cZFelkj+HsYmxerFvg6X7fbg3z1Zk/F+0T4xYue1wHOQ9a9l2xTGcFM8Rrdq3/0uoa83UD
4UR3gCO9cbv6utPouaGZKWr2NO6Tz5PWGltflOdF78E5ZcH02NozdrQE5ibYdLEtTf9xYGy+qyfz
3vb6+SJbxT3ExJOzdN/syTtVxADbZn9TcsXbBRiWT3bDrIH6BcKJb5xFPD42TXstc+2oZLau6pqf
LA0qLo1du009sVzZmOOWFY+c9xBZda6hDKzxavh3+WIDEtbmseEzcL+b3eRsGv1b7Vjo2DXVexer
wtE52snB75z5inaWXd5h9P7GEUT3w6OSsdP+CikhDspi3cm72b+J827a42xBAA/txWX7ZaLxEifJ
0HCbb+9G/cnT6mtgAwDZYV+1qeXeZEvgHhuSCjFBPdgF3WGXa42UHB3TYoRLnLx0nT1fwYzeUVsz
ryODqpk3zEQ98qDElWnewtHGK7QvsmIGTD4FO1QhY2RM3iN2ktAPrLOe6zdN82lUAx3u6rHQvE07
dKHZAQiodeM05vZurJiw1csfTVNzTk7ZiD3aKf14Rys8P2BaI5+jX5qLrYN3x9B7yXRoqUjMUj29
b2jk0mZBWRLUwV2FlZu7jDPxdynFNDruuoVrJq7oKQW4R8RqW9YL5hwtnmh6yHl5SeJzbjr9oRzm
hHtILDGCCXVnBN5LniXZsW0BOBgqw/GK/vCUecU25VvYMv73LqQCHKtM4FXbSatiWmr4nwV/bQMC
Xd9rQxFvZzRS04bv2DjU9Fb3RjC6eP0CdRBuRgHEIvQysVkSBOaWq7061IZFoKUHiocu0ry53TA/
KLdTMEw76VMc4TfTKSz8vrtOKJofZ7f2OKpz6lCvup/y4B2z4d4wByzefrYn9+55LrVrWglPhVMc
cCwdjMa/W/IEwpre07EKBrr7zmlJ/TuLsq5vmdWiX4YNZgG5kt1TJatbgfRjay2dTfM3A91MMszF
aIGpOvY4RHhlf08poTcLNO3DIorP6RxTITqcV0NBXYU0553YK2+Rdx66I1oOPE76fCFt+8nnpqjR
ft9nFlVTQuLUjrs85nPpHCtUhdu8sdOtauRDTGQwWi1/KU9tV1T7oE2BVzLKS9d0Gk7CRH8gOu1Y
L4zhRUUlrM+stlzUYChY3bEI9aS40jxE09wFmCFU8GlP7pCfaLHFu1EM836Q2IeJgSu3iW3txbJs
U1fxZ2bEem4/HjMhte1SLvpTUvkG3Gr3msRcqhu3CbbrDQV7Na77mjSJgVnrNvPXkZu846TNNmlD
uBXJue5e1uO3huTHTe/mYhsXsHuWNoH/W4BISmZHXReldZPlY3fkraUb1fnVsVNNdUqkxX7TTH0Y
96rfWK3lHVyje4vTpdnRsDDDUcVpqLXVbtKMBx6+W5XRqqGPlVJdmUYkl47Z7kInLNaL6cUtKR/V
OI/c1JQ8j6Wef3WVTYItOPbTIhIK+6GH2idmc5cR3IWhT3eibOkzzGfpeJST0x411895EKtiKwq1
lne5QXBD3kMYD7rQmqYWbx1qBz2j+dpntYxUon8ljfFZq6jp0MnvjQHNgWmN5dZVIAg6v3lJGBnd
mlw3Qp9m1L0/2XVE2yjfmrKEkEXE9sUCMh0qMehhla8ZTEH+MPfqcfbi17LXtZ2tluCK0pBglo7R
d4axbhu0q/JQdy+CC3Dmgy/VSGk54pLLn0hv9a/avnGOqqefjQaMDvOs35rrLHlpyhvhmvU+Czrx
tcMSeJhMpV+ZMgk+z2OrPYuinl4yvV5IZOpn+p4Am71KvhlaDUBQLNeNm97MqXmvEXdBU5Y34ItF
PEzSAgnlMbFAYQqvVWK0NoKvRWOFaTDUkWcquaUNTfGTFVC/OAk2FbU4xvjcLo92SSKGZ47ufZLZ
Zlh5zZMbUM/kpo+6wI6HqJ385ZDUwfzYTaRt+cTdPuFcvVSGnr0xRFGHCcPnxsBVXLl8hzAn9kOW
NUeP+MhtrnJcqChZYvJdNxaGTppQpKxUVoS8EORbNxuhssbsKNJ8h6qrWLteFxGX6obglPfYacsI
6QM7WruY7XZMKRuwRLRh0KhToF/Nif7e0T1INWOnIRTtrHrtTfH0oMSfSAjpLWvDCPah1dt+L8pS
HHDrW39m2/0j9dVPdVX/M0Ls/0L4q7GyH/4T7fOD+ur45Vv5Xn/9oL5a/8a/4K8rVIo+sq7rJg+B
idbp/+OmaH3/hkhRtyFcI8BED4kqtBbg3f/j310P+CuUcQLq+Fse2tD/1F+51m+wAUji5O+g5iKI
65/wpj6a1RwSecldwp+DNoy0LUQYH3WSs5odPe7FEHlMEpVAhzHncmKeP7G+5qXclnrzqyzRj4Kv
9TVXVofJ489z6OvG+p7+YpXqXSdlY25aWr5t9s58ut4Zo3FX+/5wO4z6r8KeProT/nw5mzgxBNyu
S9zud1LQTu9iUViyjWrE9PvWZj/DmAJ8MG/cX8hO//aloNYYHOqWieju4yeL+5IcFaMgRsjQEOd4
wWqD72fGfaQZF3/qHf9bpwgSvL+olv/1uQJCnNekOYPg3I8v1lZKkJInWhg3qrhOkfHuM46+N8l0
h0nSCPm6JH15Y7q9utgOdtO/LPPbP8W0/1b3lChZ3bWsyb95/VW4p4N8sAI+78fX5+yO3anUFBmE
fnVuVg04gyI0y0ufc9/TrF/YmP729ZiU4bDFx8RD8/H1Aq76pkmWUbTEMdO2/8fdeSzLjaxX91X0
ArgBb6ZVQLnjeQzNBMFDk/BIIBMJ8/RadX/Fr252RzOkoWaKqyaLVYXK/Mzea2/DcBcunrmx5zi+
SRrrf/VyDDnZjUN09X4RhQ9I7+eArINMRlaUAk8ZUuYBLlvrODjNSdyc/ucfJ+gvzEWwyfnlX9/+
H34VapVldzVoZWu8hCyzQufRnpvkrnXF8DC7nvzN+/v1WQV9aQfEv9nXEwha/y9fXxMwePRrVFwd
PdYjTJHqgNgRnwGMn8///NZ+sSWCGf/ltX7x4ibcrlXHdjibgLKca0xNEDUVNOW6JBBViImS3AXr
0S9PMeiZezkv/m0uc5Qe//wv+bs3zQMLLvHK6QWL/+cPea5WRIMkRmVr0nbpGlmQ6pOivGE4P7//
80tdn4//VqD/+z27GEEhJrvX7KNfDSNx4EgRbMVAju8VDVTSOQWbszzrldD7vdLzN8EfbLNCQBD5
55f+9WTANRFw5VzFu5CSwmsU+R8fJUkqPAtA0WbtW5lZ9767nz5Zx2lNt9+YYv7yQtecmgCnDz8Q
3IX+Vev/h2dW+Bo9ATvrrJ7reNfzO9rrPBoKFkhoWNtERGeocV5mNUZ9krqZjv/8Rv/yGZPF4nMc
XI0o2DndX44EU4ZeafXMqvzGlDe4uuwTepnlNi4QJQ3C+T7DaTsL+Fe/Ofv+5o1zWeJ35FmKuYyv
z9kf3jjKuM4ZwIxkpunGEy/CzIbN62WF3Y6egagOBIrmOBikKJ6gO/7n9/3Xl3cpDLAIcqVxif4a
xcQyNMEWoIpMQck5uII1hpcP/t6TZAdlbhMy1/FWpp+h1vGpp7z4nbP3r5+8Dzsd+Tgmryt89JdP
XjUdKDI9yGxR8qrcrr6XPtC7ISy6o0MSG4voLjnMjv07APXfv3BsA5K4JmUmv3zyspwEiwKJ4LVy
GDglfZLVrHuPG1EB96Ka/NdlNR+QUZS/uduv7+hPv2cHIzneXcyZ2N253//8ldsrGZXsQ4AuVbFK
rYVEPzsmiA+aBA5ioCo7iWL5N+fV37zbmNyfhAgFRidQBf78ougrKm3gymXdsIjbuUBIqULXnGWb
oJRUrgPRS8XPXRKUv3nC//rK1J8x1WESufivgusj+Icn3JvnaFH23GZeC7slr63+s7DrN7n6V4m4
7503h3W9INnznx/tX29536HadfheA8+OcO3/8mCxUrWaniuBJR+by2qGOG1vgXcDgRoldmKd//nl
nL95PXJqHL5a1Dch2/o/v0/Mhm4yVMpKabu3r7RtYAvcQoObgVZ0ihcQYbkVoYOQpipuxZaUdxEq
/XfNQjkbyoZsX3/1z3KW6sXyR3OCBjT/5rv4y6PHb5xgFa4Rh9w+WoY//xuRD45FlbM1CSW0Lssw
W/WZ9JxCv6lOCKfMnrNIH3/zyeCe4+/90yMPiAK5779rLqrMv+A74nzQonHC9DpFbfd2YMbtiwNZ
pfnp01AP9/DMuuW2BXlh3whdVh5SwWoLj1g0vOYot9mtjgt0yOZZlYjXA+Z1mCtTe8rd8suUTzax
Px5zq+e8mNqEvaqSTAOHPgBhsXSFOoGy74Ivxl377sQEaqtTFCqjRWZ7bws7a6Mm3y5x4bXNafIc
mxQfVyp9sKqmae+92Yu/KvBw4cdcq0LcQdQbZZr33oriVpA/BFJL63dGpKt7sQph3rZVoXvBgwXB
sONRL1FODti6vGVigLl4PAetW9d+tnjNFd0Et/px8Ar2uW1PcXjoEme1X6Z49n/Usoe1FHTYA8SC
3iFmbkxcuUnEKw2SzTiu1dc9iZwhNIDU7B63goyrs1UMiZ3Kpg2ZPGzSuh04BHBJ6FZ9TXzjEe4X
jCROJpQV50HggWEQbOjstwgFHYMxVkADJvLduAX5F5KNBnMRo0UivFnG6H6JQVCkM70QS0rIR+R3
J7mEjLkUEHgL37N6VEpNx9Ld8N+SWuBeEV0raWyqdNXXK8PHyfzI0oxSsceQ2ULa5N7SI8q5SlXL
V6TQ5n7qo3A+zJbOzYMxyxXFOMliOoDadJCQOxIvM32DBfupDG6dDbBcwd8HCCmuonsm2/1PyA26
O7ojWbZnuAJ62vO+Swb2YJhIcYhLWPn5uHW3kWMXELUKWw6XQthWZoPqtY5jEGhxcDYL8kDnlq2/
D/QKCBFRfHgfkeTqMy3TQ5lKGJ1VlsRmNECqXHJph6KIXcK5l6i+lH6FlqmwVnXg0vfyrKKoA+LR
tsucOmvBrsRWjAAxm09EpwyV0LgViOXEhDIAdm4oa6dz4jC3PrirzH8gnppBt9lkmZIaOs4Z+EOR
7OtoMy8enuJ8V8IiLtJ2hkaP2t/K2xQWao8Ukg1e5o/a6RA+eH538Fl4vXidKPkaRo3relW5Pnhb
qfsP7lRZTepol5A+GzJs5gb10t4gCSzbY+tWOn7QPUtfllu9ukd+7ImbgXLrGfm8BcWhh2GCsNbO
42epu/FWbgzasoR9Da/A0BPXfWUmVkztimmyK0oPtsTqoFzvpqo/ToGfP/rNqNoTFUSFTk4CJN/b
gxoohFsJ7K7j2gN8tFSaC4bZ6aujkvyN+wxfzVbYYKe9JEc+veRM18DehjiNGsDMrPbciWWOWPv3
UCjuKCpUy99Fc7KWh86uBvOIRKayn9yCWIGMIUfzdNV3WEevt+UB5jhyh6Yce83HYU/J4yrDIXmk
8WH8LVXpyTukUMszGkenviStPd2Wo1OMmcty8NvC7gaCxjKZPA3iPj935YLOdqFkq/YwILHwA9Rz
Ufw0toNFMgDDACQTSnLaJe20Zi2+NuSfyDYI4eEw/15p194yscXundX4KGdYNBUnQ1hVglg/th80
c+G8QopfMGcmFjEPCqi5Ac1TgYtF7+0G1/cea70zfhRWGbKilwq1Htg0Nj3xEOniYZIOTilw57K4
ANKV+tz3Mz9zlEdJdCDFGz2KcJt5PgSrxMDStElwPyUcaK+1qX1DCYJS/Vhp6Ecf/GAITOo3NgEw
6xrEP1rb5AyEQ1rkrAyvnMqQkKHdUinT7rUnt2cN9opdS+cshw0RSccCIMLUgBYfLw1IOocM6C7Z
8p1keW2fmYBXD90qCYDElyW8h8n2p7fIHiP7JOxpBigtipc8XsNPbdfSYZlOKXLIeWyIg2SxjTIG
e+6uWGqZQFef/DIlZcgfsjBaZujdC9suMtmw4QFlL+XGvTPPWKvWsnutRR6sWZl31WM4Vh0E7aFY
GTe3zFkzOcTt89LHKwfoGjrPUdeJbyoxyAUpEJmbhWz6f9Qr9eQZ5la/nmt+5+JAZONaHzdAders
J3XM1qSIuNNByXIdxaX40Yp6gMIb26U4ooKLXhNoBmz+ZqfGcRivOSD2FnoPgq9tmnayWY+L0t0l
RNuMAb/P9TMIzAqYfGHNN5vyQbBCnmxQWMK62Y5EfiEr6vrI+jSqbfvZtd6CGrcCPneatjzeKzW5
LF66Al0JiWwsBRggteWBR4pjSUCcv9uScVYI7nLrh1ME+gkDzirPgAGRZXkRqtTKkTZ2r6pCUF5Y
tntB++cjv0en3qQe7MLhkFc5P4xZeVAAGYVwE13ZY1eFEYT/NJ6v4soi9Drys1tjTTtRUnTw+1jd
97kgZ8guVPIeFKCFD8XSgRPCCjgcVjkCj1z6FnFDnZTbOxw+S+7JY64hboQzVkp2qeHD4A4rVrc+
NEEW2TX7cxGuUtO5zpiT2kJdir7/LnzKisyL+uieyGrF6L+tv06iKS4qKDo73ebev6q4gu49MA1R
jhYKzTtuQWUwWa3Re+8PijyQgaXhfplcttVkJAGpXutWsxciXMu+LfUQqKxaR3XnO+X2IqJl+Nys
rBd3aKLj8XmNQBwfJcbZYR8JR3y3JhGHR2uKneK1Hbf6gQ1IM4PidDdWtzAiqUetpv62Ymg8j6GY
wiwPc4x/AMaTl5XH2sf6YgcBwpTr8GWr6zEdQ1N/y/MKP4mE+gr/NEZ3dunNcq1zPUqfyIf6u5sp
4W7WaJqac+svCOznLakvtnaWz7Nc3ZOEXgGm1EdXt2/4wttUrl1nZQbdyKtYInNwfQ6XbGbR9yPX
9owPBrvOnDJcSx4X1szFaYuMwxAKZggaIgstAMzpaG1SKqb40neWtvfbaIsnBNB8Wypm64KPfhud
u9AJlTo0k8SKtY1eInAwxKzR/MbpxNEJrSJKF9/z5I3lqK7kkDUIrgL0cPt2WTi9mnDs/NPgOqzK
En7Q9s7dzFoc3EnI9TKIJnmbe0moYfxONel7dyRBXXfQBWMqTyNJLDfcf8EiPwLHKN86v9zETow9
oAEtI1UR4OMvrxY6wsw3ZfzSbZBo02TIwYgU1N/fZwpRBkJh4b50lhEvSIpUT4HftB83Agrld/Tx
mBd9vXkHmLFLe9fB/kc2wpYezD6qzZrqVgz6ViENuEXzEsgHE4zDpcoxlxxk1ElOMbyG83nDdhWB
GF7b02a1Ieo1jLEACI13dToGJuxIfel7dDSAZ+BmzwNZ5ywdm/FQ5Npq70djm+IQs3GCGhEqM53k
PGAlxoYEppkUxdnDQOz77bmR8dZCsp1Jc2QAN+NLCoDsL0U3xjeUvLo8VSMBujugCHDFNzfWX5OV
eOMd2zcsDiXiuhsoD7Y61mJsqWziXJz6SXswwpVccSQthXeyZq/nWkdQOpH55ah3y5ucb5LIVuoi
gS5yK4PRS+eJLTeJnH5L6Aerlxco1+W6CwlasPaNZme221C2InTyRbNgCJjaQxSg7LGQpLO2HmMe
2CgZZjw8/sY/r3CLhL/Q3tQ1aZ4qd+/qOjbZsubxxDhVVk/VoDkT3cEBlqq4GE+4wqXB/Z3wmt3q
xt916Ucrj+e6fLMKH6EP3xonX+TPukwLuVbLlTrdU3EW5VCiU+uBiw7GuirYmmjW6dy6dr4br8Ac
ryurr6ZmGHRU5KggEpuS7q5s8gREu4xKb9cbr/lYMWHpCDUa+YWWMXx3JlWzeybhRVN2+pS6lJOO
j5UHVLePr6mNUGTEw5CwZoznbu9WNRkDXbIMHYVwN1bneHOio80iOUEKVgf6AUlrDFYV5AOiBl9Z
VCEzGcIFjBWRstaQa7auFtKUATfKR8PdtaTFiItk8hfkoJYjG0zMiKYBv9bUmZelgfOTuZR6qPmp
XneGrJ3Hop2iF7HY6hKxokUqPOc0eqG9zIfeDyw7A6ZEDelerfAUZ5b2U/QcXeYlY3PqLOWa3WRN
01vNTCTaRZEkX7uSeFmPvYM2eu/ysfJgRld5IlIfGWYSb9H3amb6ePGtTtk3VTko73sc6/XkE+s5
ZVVTdu8xYgz/MOVL+63iKeWX4k8Td0UXeTKtZ1Z/YJK56VJgK129Uz6BwFcj23aMEo1IBJGtQABZ
CIzsZEFXh86dWN/LWfdnayX1/mSi1vrGZ4qhIog6TJKjpPfddY1JLmu/rB/oYicu8A1DAFGg/Moc
y12qB2uDBzy6bdLtnEFsN0MQ41KcBs+aofZHwBKaauk/1AamGP7uICFtYOL72IGUmkcW8/720I9w
5zl97fnVVNQJ/HHEQfyTkB4Qupe/WWETjISLMEXdQRZH/+xjmdx3UO4lMgiIWGknNkrfYsnb24nh
AWZhdmuvdWuXPCbC5/hjvjvt6GNKd+c2Dd3Zws92PCWNh6ZvmzUlXSE76Dz41qlYHEwOC+V5GB+U
5soZaemmNGpc0jUxzxfPQYtJBs1pab82cYsccxB9nE2rMigPcgU5Yh0sdVFlkCTnmEQDQhZbG1Av
AuTloGUxHia4YqikFu0GmePBid4FJLAh4KAxAgTuzdGA6KzeQLaEikQxgcgAMULnvIfTUswHkOXR
c6xMd1v6mqwNuy3ifF8U1UKF16/JAjIi1m7qRSW3nsdYRDywjwpf/GlbZ2RvYCx86Fg+B5urkx1F
QRshk2NwcWO1zdojsIP0tSsbq5izftVoyaTR8h673rSewcDM4sCijY+uVOig8PW5McK6oYhQCPTF
ZvZYcnr/2FZhgQdAgLHkE83z5xh69bVBhSu6n6rWV4dAbnJ8mEJLlT+akgRIqFwTZ3U68a7Y87gE
cmRTu0KHZzNaJ+ehisS6G3FbAUYmfQA/ROXbQ9aAydj+jYJsmbsBFCDretpeBpPDmerjaX2LbQyR
h8DJ53Ped5j9rIWCbr/M5fJlc6V1WmBIt7tQVNxJdimnH36ttlthTRvHCO6C+bbciOVEzeci1m3q
XjlpSdmx3BLW2KKR7qIJmZijWHz3MccwPJs+t84ydiFCe6SfPOX2AnCr5/ZQD53FDb4LPITuqCuj
AjEfFxkBY5UbiRPsWVaiQ20lw6GhNjZp2CdRmW7WCFw9hxpNaeYL72CmNRhSy1van35jRXcycTf3
gPWDr8QefSAJvhnCNKTFQk8vmFATlcOQcsdjoD5HjMPiLMZYhD5czQb4R6JnoBnod7/EW0SFtviF
Fb4uWzsFtN6uc1mmTcT7ih31U7SSF4AFzx/XfTABikhJzNZY2GLssbdJuLjf+naEx8FRXI1I9Xo4
IotzdY/yZ0Z8w0FZOful5zLHEQOk68BthRXcaFJt2XNJ8WpTgZHk0pkRlb5WkAhJzdMs4bY5Lo5Q
nAv4H20MVEMM1jzut9a2EISueRFlNYpkRWsxugJzax2TqUPpea4JBS/SqpqnO2YJEVqzJZ9LxMwB
nCKQCSMOgNhtXVwbJfp8Nn3l18VV031BUcsPtffCK8DeEPDDdAN6f0E2HAZH/KBvTlvSq+fOstxi
s8K0gNc3ut18S9f7KpT5z5KT973VYfw6WiDB9uQykDNa+oaNyxbL8ZmXDNYLYrr+jfjCcUGiWOTf
ixWCx0kmq+WeCjpJbhQVACvp5BA9UCFu6yk0Zbs8El2DdIzdJKnhlQ89hBCHbuTs2WLyYppKq/tK
iQLjP5rL98gpryALKrMf1tpE77Ye8EhvamJqscQ4B1QXgi9pGqYuNz2DmwIkbRDcVoId84kshq08
wySx30aunI++wa6wWwlSecW/bH8fImdx7+XQMSIzRam91Pb5g+etmcWxl4MIDzhoKiSLwmVtzawM
Qebmf2NleJRcN+7eCA8mB5bd8jgpjx62Hynsd0jstscQMet5rdb6u4dHN+FmsJx3jo9p+EANXYQn
la8ROSYRBUTKnKHmeacdKzIc1VQjjIZI8aFHHr4LZeXLnq4Z4T0TMjsLlMfERkUbX7S/hdYXRWtI
w5xgwTxGKzK9m3LD97kjdwGzQDJTRCE1lARU4972aE9h+Z9WGxKBnEpZpbbXLIwTvXE9wGBh1sDs
Ec+4bN2I1rXeDDAEgvg+tV5tkavkcRsfjGPs9ynxuSEYYbIWC1CiPFcwOWICRBbkg66vMRY6VTPz
xCY0kjch4MuDGCbc2hHpB1eyXqRR5HvX3yz+NHPhYmrrA88Cu71eNguEI69+aLxtoY7pNcnJlVBu
fnTJw/IORZVMFl1ZSBdlGBd/4ajDscfzIO7rOhE/IksUKFBtVaFLs7qKr2yIpvmIgD6xySLn57Cf
fDId9tawWj37e4gaTLdMMmVs1ME78DXu+wk54skZPPopVG55kw1GJ3AvxoksUxEOaBXbJhpxg5v+
M4EZ/nYIczN/6K5WWMQ5G/EgSsSAAUjSWM6ObkdmDkPYtqdaMcfjFRTnEOQY+Saw4jvnxHDoPzOw
GZOs3XzCMfCpef7BbFMA/ETogkl10hPYVjvFWiLUV3TunBQOIQp+32NWdnF87MN8Gmhc8O56bASM
aY48dPrB7mmIHcIhaA1L5+o13MiH8XMJh2DdCsXkNt6u7hJL4FVmwNveF3IqGEUVwfbGLIflWWwD
yii2nLmGjSn6k/IHJg1uWHyckskE+6AKidbW9CEED+I16XYr4QR820yN4Xya1TCRhNzzveLAYqgU
+esR2xBCxyiIh+Ncj8Mrn44jMao0xY1kVZXsIrPpm6inBNpBOw+OHAh0MmbeFrKb2ibuU4STGNLp
+CTKVom+FQZ0OObsW9yoP1FZ2JQW2zA5h8WRTN47ymc6mriKF3SZG4oCZ2udaM8G1Ey3ui7XB6vM
8+RAcG2gDhz0pr8Fm9LGx3gLk+S0GLulqhE6xt8blKM+uI4cPjPPremANkICU2G64bRGPC5wGIm0
PlqD27xoeDvtKQgExgDkPw5SzSn+XDPNhSlu2eop9MagvyH4Q9zx2WsodUhIHnL4fYR0cCnke1kX
hGrh8+yYP6vcvy3XXLi7MADfhckI9knGlKvYdhqu6zWNyMX5Orhtfg2gvzreicurP4DZKOhCoJF+
LSDdEOTV5RGZuLNn3pYSLGe6bbihl41tUCp1PH6yRE+7vTJ3yCEfEXSVxlHQqbRa56LaSbgY00nz
fHwZ19GhHTKq6+50BZFgBx7f/eYaWVwtcV38LawH98XHfoAHjVnvtMvdBVNzJdz6INbC+xGpETDV
ipvqY4j78ojtilFiklvIgWVEoAUXZJgDdyqwY4KEompFyTR/Qttg3pd5Zk6Sl8i8LTUPzbEFxc12
BJ+oj92Xvx+SS0P/PyVNE2Z91xdQZS02XEcYB+WlDiP02onYhvjUqjX4kNAZVZyjU6geCzplh3EQ
AVUMuLcPQaKqIkOZ3pfH1Uc9c0f1R8cCL8nkNz5Um/xDyX5CpXi87fnnYOGMGfkqIxW9sm5JgrRZ
WUUee2gV3o21LlXx5LYQHe6nZTHrQ1yRJPehd8c6uvUh/egvQZ14+F4Id4TyVlbq0QnqFk2s78jw
d7Kqv+yT2dCiiQjh/8c+ANxfZFV+K9eQpnFJvbycz4vGNmKjxc845LwDRp7/Ytz/j3S3/0eph1eO
9D/obvXXZv2z6pb//v+pbp0Y0W2UgM8OPb6Lq0b2P+YfSiNi/BeinZCNBhopSgSkdv9fc+tH/0I3
5aKqJSwiCPwre1cxRUKO6wX/QkvFuiW8ZoNjGfb/95rbCLi3B3meUQL/PjRLv7JJexrQTZODDeNF
zzdVZH8Nscgxe3K908aDj1PGKe7+8Nk8/lWsiVLgqhX5721+ZKOliFCNovGFjOow+/yzisD123qk
tLdxWmoOKvbOVXduySJB3ZhTI6S4z6rwts9XKe+rKu5xq87EXDEL8rvhpuqsYLyAV2AC6BkwJlmu
qA2vgy+ysLFAshnhs/3uCFAVsBjhYOyJsUv6QwV+wv4Mudr2qH7hz19sVbbUQl4lkecPZgGJVefe
jURZX+4q6cqPaALX7xbM6IEiGS2PqO2ETJ1ImU+mrgpzmJmuukR+FvP4WK22fA4rOtPUzHILL+Sf
YNRAOJ9752ZL/E8BLaA4kp/Foriql3nCccH4yctUcvX2dVVJ2ulQY2jZo8KwyOlgV0NRs6C9WGFl
jGV0UxgDkjvVUTPWO3cc/fms83ZpP6ikzMkREiY54hyenqrCcR5IaI2LvY3A+3Pb2g/WsBSohjYx
3wGM7A4FM/dwFzIpuK6vlE9wk/L7xxwbewvssV+sZ0VSlpfp2ZsaErXgdsM2rxbMHoVTf56dLvy4
kIeYde7IVRjIVn6OZTw+2F08v1Mp0ZEEtFl5CsqYN9rPJWY3ssHc9p1I03bO/CHgTTceYwdmwgwc
9ox1XecE44//nWS5JKWkk1x0pH9Fu20VeMFy13s2eR0FB7LFPPy3cAoyIX0NwW2GUgsuJBmmR0Iu
jXlWbcxr5mE7fMaKyyh5WNdu7ylmg5gxo+1Ssai+r6+F9iXu2/Il8mFKHyhe5y5jlV19szGBxrul
HNA3IfNyyZv0qJf3w7b5NsuttqvHI01Gc4Wtx5sH8IQCbv4eexRQ3gWqaMVmzBebLaFITm1/0MxN
WiIDrtdAa/fys20q/s/a8vnuDUGI6qDLhnXNzmAw6x946XWoDmMOchtfWZKPaGUdr0b2MekaGlm7
gDSCl1BUR609ni+HKAL1hA3FEnLXo1yZ5nR2XW9+tCnqq9dWspa+DXjseQrD+vpfE5GomJns/ut/
ZIxamtOSMGDFr5fwN+fbEjGgHes4VOxWpIg3mtU5h6OSlkknpnNAbm34BTaDWNNVMHZi2h8W1seR
WVN43ArD0+yVm/xsShOiyBzmFivfPPGuO0/x/xQSdxvps3j2J6MG9XkN8AyhPCBcgF9KH2AaYrrK
dEwkHdwsnz9vTeM1YyZanPrVNCM/FVsu1Bok+zXVG1vnsX6cQ1+2L5qSCcF/S9wPZhbUdVmVJGWZ
VmGlXkp/sOhBVyZC6bCiNvxGBVZFabhMygYXOnQ/tLLKnw0e8A+4QGXwuejiDf5j72jmQc6lrp3x
YLFBf/Mqv0Z4GCj/RQxldN9Pjn03rM2pEAzMydJbOCj3xTBWmPdWn3UlccgqOlfG1V8m+kI2RdNh
E8Grt9bmFAi+Ko2hxhsQ+Wiiax8T2HePQ4DDdmrj0mZzUC43Xu3kbwa8/ZjVrlVGT1idXhhK/oTT
TGfXE0V4tBvtnOHJsU/uStA4aGpoGHLdQLfx5+eOYLO0Kd3+O6UnfdNih09NT/OzlOMhEsFHUyWY
PjvQn7CI3mTc/2j5nu+iQQ9p4TssimZ1XEmHPUfd9N7p9gE3CkRCPdN85NazVUFsnhV7huT6xSSs
ewBODRcCp9PBWl7nUh+ltouDKsDSxeUc3Rn0JDwO+BDpxay1dFiMQbuFAH3P2puDFZwvOLJJlPdJ
VbwBa89KH+dfI1yNpQQJRw2u/ZMjnGtAMCux9SZ2PeyFjrhMG2UqKdcXDXRjDGsGAddJ2ZjfsgGi
z/K5CwgRgLzLppGNd7WbcvCk9gA3d/D0jacbDrGpAjbDGn3s+ckKv724kmO02mB3Ia/+yMz+xWto
hABa26dCuQQoutt49m3vLHTD1Ab7cZ6bL3Ij4BFNBY7qgSAirCQ980q0WQlojp2YQCCU4W5L4tTr
p5Sp5nccNWfLYX9QutALVLt+zmvMPfu84FsqZkbeDKQP0rFu3Uq8eEQ+cfNDvyPNb7ct45XiGbcD
GTxlVRBFvKGOso0XPw02NCIWisOdL8KLqLvkfsqDJ1uaeV9gYyVcaQIIGT2RwWntJlXe6iQ4mZjw
C2QG926Zc3AvCRs3vzqyuawYXLorbIXmMYB3njqKvQJ6dXFJLMQpXJNcVFbdlWdLJu+VUQSMkDRc
MTYxIfGxZBGzWhYbkot4Ab3F2ZMFc/PkjJtVpULbAx5LRfzeEq9Ea+mNo8mi52BNsYDTLJGhoQoY
zJBJDJNH43T4Jzr8gmiLgANPi0Cd7CDtAgseik+4jsgqLplf7QAPMfYp3Km+jPkiXzodOV8xD4sv
iSVlyGpyhBrqrAQlVOv6wJi8S9HWxJ8ikB3oDurua5Gr0Tm0BUAT5DFEgABYZ2w0ChhauHpFWIM1
HsnHIWZowO2u5GQxDKzmAmQUI79MQQsEzjyUd2jKG85GsYnUXoz6vBTaOY2MBr9ImJgZ4QvlE42G
xzVRG3MIlzV8mJzkqx0MTRYL60r2KPumPkL+68N3mhLt3GKGBFQcT0IwaaFYwIoYG8nkjKxTGEMh
4c5W8TA4YvmZDKWbJvDbmISsVvkxiBGt1G5ehfthBCKcTrTeIDPz4aoSy73QpCokF3Tn2g1LA77G
+KNdNfq+JUublh4kSoxaqrafGF+gZbNsdB//VnaQRUS+SLsVISWXHKPjZDp47nT1D+hl1DF3Z9h0
tqlPmz3bl5hcmT0sAi8bldZpI7Cl78MFODOLJjbCQNcGjl5aUiQQwVMkA8WYY9o8tC9WPdzhMSj3
TWGigSU0vLlgrIfnAZHGCT8KYY9x3jtnu1zcVDqKIMgVl/43JF/r0VOV82mQjtdwJMIS3Xc+0CGW
X1NxErg7P9GBmgzYnYbXYqxEEVBb2m9sD49DElQMnWGQ5v7Ynu3WXnDBs8SAwYFrMxCzfwciJroI
t+2f4yX6yICVrHhlHGJZjDqx6e3uS8L29roLj4pz8cgIFFDm6FnOy6hI3uCKRUuYd2gWh2U+JhTt
T0B3SlCMU3/Sg1udS69vDlBEA45DXPaS6/AmGqzx2E1eQrHTGLzL11womLVPLNK2p2lEOgn+NrzR
QfBzsZfmDCWZQ3gATM6kahr7rGojEmOSXjh3pErZl1BN231B1FdLikYFZ1nkbfttiJVqSUIw3TnG
KHu/QSNgoJwfI3bCyF23SfHT9nQdfdDWSIUlwio/gnqCLd1X1jsjgeKTPeLjKYJENucI9XJ+isCW
pQC22QawikKsEfY3KmqJk2We+IM7VcEY1no+RjM4L4Jix0schnCP5xlSNiSgJ44eoqG5hAIICuhK
dnExTqfNYS5nLLJ3rxK9MWX7j7hOlcuFZBbrULmbftWex+i1rqz1VCm7umHmow+tO3ufExqd/off
56HNej5MphsTbvqhVsn8Jm3H9w+yDRlANr7FYh4LtH6OzRDfeWMEx2lqzAc6SkA7mxWhcMwNTVq8
iJ55EFmmuxUECfskWy0vs+1cM2nBNP0MW5tHGnms+0VcrTEKPU6Nsx4i8uCPcj5MVsNqC8sjEp9O
xEjWmNezj8QKPnhmfZezK6vDf7J3Zrt1I9m2/ZX7AYcGGWSwAQ7uw+61t1pbjeUXQrYs9n2QQfLr
7+C2qyqtPOVEPp6LAqoSVXZKuyEZsWKtOccMspgWYeuK8cbVho80OvKT9uCSCKsR2EWVd8IGcper
GbfhCFEQHebQeseYxJJ7SOn4z/OiO/aZPR7LAtZDV/npNvfSbzXt8mYzK2u4lNUiReClmjtjRI+S
StRXQWvnW5Ewl8lMyM/MAQl1mp0uzNb2wKJeGQuBVCQ08AFPwazZLrEUZBBz+aOVrsmem1KO6XAd
4oyOa1Mke9F7YhGpWAcS4166oZo+ohrMsx09qE5uKMUUCV51fqXD0rhgmh9d9jHIt35IHkMXqxar
unWC2SKvB0SZwKFdZx/4DXjkXoZXDqv4jUTevBV+YlADRMmD1LDuvWaGWgYH6gqsL3O91Ha+4YCr
n6Rrdpfwm4Y7Mn6zPUECDyk97AtzsrNLKYvyoR2bbgfRPdkqM+r2BtTHQygEqcCsQYzxabrBozJp
JTEn1FeZEmzUiDerLeQMCn3s/qve0yxOzfhxHkZ3L0uTQiNBVdhu4jzs+pPkQLkFlzxsbMeyiIxn
y9+PohkulmgYheQNAtrS7Tj6THMIcXZd49AUukKLW4KBt3l5XjShQqwDmERru6/ko9v5dElLzt1p
xFPbSyXYxOduOVVCNkF0m+0zZUW34ei6O/Cq4ipvSu8xCqf5LQ0MXOXKNOebwmxvOEB2wbrh3W4B
eQLFHnILeibtufWojD44oepTC/uoMk9EG8ISS32Hq1Uzdgcd8BENq9yoksp+n2sju3W9aghWhhMR
BQPDnQUskug8mZ5b8bHPNUSDFq3FVjSpWmuivl+bCpppQZLZDkCb0+50YcRqVzawkteVBA7PMYpW
sPY0fdmao+WloUrvYuqKcNW4tEcx6KgbBz/kV3fq5adJT/Mx77qlqdqTqjUkvTNtzSkVgmD60oc6
0QIM3OI1oGkt7OiJGX/zLPMIagagro8Wc6qtRFt0gWYhOZY1EXKrllnFfa87plluiaBnAcwEb0jR
03vT9NB4juy6y0wMBFQ32GuuPLED4LLE0xT5UJNEWtvfWlN5G1uxwVEG5Jw/R3TS60Fl9SmeRXbR
tcmwM9qYCQVxaNG2ASS7ZqgCgDjqVAWwB/RHlpBrLtCFQ7lixGXIvnticysuUHDQLZ1HdWiNBh6u
yT0jmKOX+acgjbKr3M6T+8KdsmsESc0KDcjMt0/+DZflGKZtBrdlGi3m17BEOQC1FAqtmaWv0D/o
/ud9Yn+bejt7yQuDtn+EHJI0k/FYy7rep2VZXZhtkCC/DFpgF13G/IC9ONJ3qg09WsGxV4wX/WDJ
T7OnxXCowS8+qYGLzhAosy91ZhoJ8XZlwiGQYuqUTY2ZQ6FSWCd69Nl7pAxNQm5IltylgjMRFFzh
fsmtKO/X9GyKeCPmGmwI+liVHzxycKxdDqvrKzwx3VxmUs8elo15tC9iss5f8nJqXkyjmB8AWi7A
twrsK48RdSnfXmy0V9opiVgcsqxwTlk26V2R+vFT7NYUP+yh5nxoqTjfKM5gfFUeUKuVQezSglmP
etLoeMRGu7Ce6U6Z0UpJDVcnscOnpvDu2b9hApq6q141s5kYTSS0S+6sqXvJnEAcNQC/hR+59Ldk
PvC/C7Muv7EvDPGFNgzvDszQUG9YLduHJOuh3ojYTuN1Q8vlgKFhbteMWIejga96G6PouU9QNGyT
QiKbMgOLeVXt58c0x3KOXUVGL4sZmpXMCLHjIcA16DWMurbzi972y6fBFYXcxbNFd81QZGsS9xaP
DO+9rmMuo2wMDkxN+CeWwYQ2RezQxVKFlXwZnZwNpu0rOhGLZob9v4iR9AAMtupj2AUKUa+O22/8
NEU/6lvCJrK8flaxEZ7Krg41R4c0q7MtZzd+SS3ZojZG1JA+n9ce8uCQrKKt0xXOg4/WY83OxL/G
M2lz8wYDmLjILtJi2bH4c2wUywddeiciKewLRurHKCrRsASpK/IL1PhmwTBNt+zWKzcserPGDkQE
ySHvkGQiXoEqVd0UUcqXIZhCmBMjQXcuTnkwaPCW9aRpO8EQMuYdzNAMdPSIvuTWRaOFvj4Y62eE
DXxXNUYxgGQ+2gT4hYUoTvSszerBFmUnFgicnT+01sTlb1Xtq4MCUgnfPM0n3uCoGzu76mQgmq9F
6dGCKUI6rD9bOfSv+JKESmkF9UWb5OTkGokE7Ar9ZxsUpM0fTI1iZO3KPh1JBmvqZ0Pa/AIhU76m
H70dG2FccSJhiymg7kyugVtHfDgXSiRN1Uo32baTWDj3k0T/BRm0DfiievB+iLY6m9+vuE50Xuu6
JFrKMrn+NNqs4tSQ3dg956AQWJ7rcK4eTMRw4x3LZZTuO+gW2RUOPK5VzHE9A08+OqlcT2iAs2uL
pae4HPqsf6Lw79Rj6WLtw3Fiwv7RlQfv2xyiUAFcchBvIfLktxXdzBttdSXza6JxeFeY5Hr3gjYg
ke1lAXacLb0rr1NsLvFm4D2MJ39kRkVfy6Zt57t26Ky1UZc9roiKj0jeGW9fiF6PFEhttE96RCOw
XYtLw4VlhaLGeUS2ITil+oC8pLXLGI0X90hhIWD9lwmXjXabI1eVCqUHEAydD5td2tU3ji4t2ENV
J59/Pzz4daZFprlPCp+PXgZMiMtz+M7mnWrCCszE5q4VdnNTjnZi0U8Z3HEFo6RNdrbVkwTx+9cU
f3pRfpYMVVcySWMq8z6Uj2Ka2QzFE+IPo36mezcgmuJu+N5yvNuIfpZHZ+oa5rWDUUace4hL2020
WmCfkkuT6yKt14i4JckyZQ8XyCx2k93ILw1oHA3pcqHFNzNMCdQudllycFH+g4NK45PXWPEusBrr
SGCShUTbTdvibzl7+U55Mn34Lj4BtlBh3n+nsyFqi+0D4TGdTe7tqr2I4qzZLKaI21Y7+sr20NiC
eG3uf//N/vmLtZjxArSgnWAvo6hf50ANjxrMYiwQA+qHSxPe6wVd4/h7LGsOEAyewaD//hWtxRv9
h9ETH5ailRQy7PKYxk3nnWm7LZOuX3jsLBJ5eD07TPpX0ggA5s4S4UUY+JeA0bwbQw71sfRb5MPt
yLzZ7P3OwPpImOwqjm3R/8UbW1731/flW7STmfkxLfSF9+6rKBtSchs29FXOPP3Wx9J3SxAS5WJL
4tRf5RUvT8n7F3NMoiRtn+Ebz9Ov33swhW6F4LBHrl9wuCLGxoanNUbOX1ia338oS3jM2TyLJqlJ
NtT79NmJhMyUZwqwhdnRbTfpFeXbtoqHnkgDtHx/80bm5bAmu8JmQsoc4L2BupysBD4ui1h93niS
MWH2ME00gfZ+mLHoo2dZmlBsDHSWZ2qszV/cXQsn6ZdvllknIkFPOJKRqnvmKP3Rq55okYyIppm2
zKrpiV/JZ4MAJEe5TCCN6IaaA/+a0UU10wLCWZ7DGY85PZ6mp6HntSbNQSIgMNsxVLxGWYf0Jiw9
v94qQeTiyvaBiq5DhWYIAneIMSRTrB8QJnTCGWMW82G0U+1xII6h3YUs0ZC1zUqYB7Q7BpGiPR4Z
tLq063dyUGy0DBKWGhS5Q3Uj6E0Dyqe6TdeFMXZf/GhyklNJISuumUS4NQYZd5oObQ7M6DbXIxcR
/4dVPXC2YENlcsN0kKAXNl2F0AYPVUkC7qrDFwbLzkyWrVeH/LMiPSvbZlUoT41ne3dY0vjTRpK2
vGq17fUrhxXP2mtTLjsxmnW296HgzcOtSvbKVlxK1rXoJapBHe+QfvrHAj1funGU11+mfha8mTbx
IWu+44QaIGTMcOwV2uGnMoBptoIOHD/OrZrvPGNSbKbC4S3IPGQqhViJeUvS1mzouTdQhCjfGOdD
LKep/y5zhyq6CuLe+DSmdqgupmpgu+96Im/xl+Lg3+BoTYpdZfv8Hjuhk7QVc1NOSOsoqWDxx1RR
GQSfbkefJtkbY8p3GTLNmQ9hFxnqQhUjGzTmNzCyP+oR2eAmO6KGNsZdYitaqTAKyWpTljaL0+jp
wkVV0tC+7oMJnP1w/g194vAiPVc83VSIavC7REBgDsz2zl+Cx4cGf8WrV0bFm52p8UH2FkPc3Sq0
Pc/dnKLrFfUY0mkmlAY5uvckbCS0IjWZc0xYcq5DBUJuG9ZosmtALC9hNl51aclswYXyem25DgfI
vEsn4/ijSht1OlRc2MFZGc1QbBw6m28WmSB3U5RZzhL858hNWJSgIjk2YW/5/cP6K8oAaQWJ1xyw
vYBlV7quhTDjj48qAia4fBa20wQ3+biOmCne8RlZp3wHOdfaauLr1O+5BL9/3feLL7BBh23W4/UF
5cT7akJozoehr5l3Y/xGVmgsqCM8cuPt718HjcivSxGe5WWzC+SSPYvi4tfPR1/VGVRatSuM9N5j
HFjF99S02+aAClNiASoRIq9gYJIJEc5W9VnxULz9/i386SsOAgfQmccIJ2BTO2/G314+JmUExMv6
rzmYBJB6l8GN9sfbaqKMp9Xk3VkCSeXKltMrHGO+g9+/6vuqgk+MOgYvPoIJ1/sTEIYZHDY42qYr
MOzpybY437BqLeNuCDnPA7QF6y/W/T/tc3xO9BMB+CqJoOVPbBSeXTyZjIHnGMwsbitdk3ttfw+m
lqXk95/u/e0jTMkeA3AGtQ40gPc1U4loJVAjYv8o4CiCObXOjLtK1XP59fcv9D9dPGArLkgl9CfW
e8pM3Eel0zqwKQkOzr5KQj0avBw5fxAMeA+91h9ffwg6fv+6PPnv7lzIeA5yKCJfbWpTx35/58ZV
6XahRWqoqYi6MrvuODkmWuJsyst6K5zKfQXjO77hebRepaEGkNmgcF5AIycgd/2peRVV2gr4bKY8
ZUwQpw0Ir/zOQ/r2gIuzuAxGupuLUD59xCOWvhSJALpdhb7PMZvuHlvtMNHIBJ6pN4STDi954i+S
HdjUR8nNV22EDqYXWw4daWkptIVLVmdGTI1bfdUqNJr9bInxAm1G6QMU89iuoKdEyecK3bdSeBYa
GMukRKEX3Hvn83VPYWCsawZpBYMdbIcX6GXZbgKhWIY6EgXro65mh3BjtxyMA4IbVm3S4ACQtr2B
AxQfDat5AGOWbfzcXDJszhUAQplD3zrDxG+Icvhu16YiWTvDycsYF+uSWRxBGZMa2PmqRj3UFwVn
XtGRU+mUcSXYOImuiNCjIyvxHcQqM4lxGFeG4aoZWgKqktlhISvJP7np0Adg5FgaQXHUEijFzBa0
QLl02JLAvOlkofggyHToOU8UCUTIjnv8rw6C7RJdj1UOZKDaskSVQhjWWky+2a07CGfmZSdBsWPb
cBDJt3XvHKq6nOhwGjJ8Ir+yhCCAQekwIl793NWJflzsZNQhhku6Aomd8lS2EYbpKU79ZItnu9sD
rmVlUqjxDoyrfbIhqpAtcEod5az9UQ/tiVwsxGm1lqcfewK2UT6difk8u/zRFEqJ9O6e61gvlyrw
qQlqaBgYr857CJOgxUOTSM/Ha90S3efRsvw8Ig7eeL471gey/gKXyM/OeDaYz9w7yGzoHjlmOH9B
FpOdSssA3z7UBgBJRZm7l8RG7fQUaLXL0ReDxcGLH16lJQ3oXVuortmiAimKq0Qj5CZc2yWPVyLw
wQFjS27mH/KXGVaGQM2honrvFv6iJJ7YOml/12RetTwjoDHOFzdtiSlZI8+uglM1jeP+/OT/LQHp
fVXwn//+Bb76f//7fy+xVXAA/ffK0eP3tvs+/SIdXX7gJ7BVfDCFa9rLSdXl+IRM8x/aUUN8wGXs
g+NCAg7xzqZ4+clrdYIPQBKsIICGZwGwWoBwP7Wj/BVFB3xNz/P4OUYAf0c7uryxPxQYKIudwOcl
ggVaZfocvH4tMNKQUwHmFQi/HPEF88iqo6gxqno7ORqoSl6V2TNQgP7AGZTIF3IZIQE3Fn0RU+vx
tcs0oUUtx1zoDNk9vVKeqLpPy6fWrHL6DXnwjILKu/WBNH3uLO2+6cZ4cRCxf/v7N97/p8plweX/
zf33Uv6fq5fpe/nrLcjP/LwFvQ/geCXkNTuw6Uv4i1T3h3zZCD4spGAC2y3Yjqjjl2T4n/egZ3Gj
mfxggPbZhMqHAPjnPeiZH5buhr2QhLk1z4929J1Mk3xJne7e/f8/Ql/PBci/uhiSITeYNO5AKgXT
4jF5VyYkTlR3jYHbgQoTLjd4kwjtnOXApfOyA8NM7FrRkEAUbo22v24i2Scnc4YxToM9jfIDjgSm
PVFog7hXjcSAFyuNLspwyJXEex0kT4PEOEzsgKeZ2MSJt4tVOFISpSbxfaNlMlxORQQCiDoAeVo1
o2kWtX0LI2J8s070DBlOoe2yoXgFPTa2/czBBF2IU5cv6awY7Zhh2n9SkO2UR3+ESVlnPmg8bIAy
kqA40eie240N9YmWRUOcJeEwmoZ528VH7cr0GxlsBAPCeVqnYoyO9eiM2C/cun+kxmLqBtWz2Xfk
vO/obVr5vgzUfVAmRb7DA7FpxiY+OGxFu9KwKgJWgQbtZgDeLwKJ40QQLqgc8rTFy1in6kuJJOhQ
aaz4UuGG+s9jqKaLV846DkC7f/8YXr4wMXz55RlcfuDHMyj8DwISr0tfEEQ1d/w/H0FhfghQa1gB
2CpqE0we/3wCpf/BhF1o0SVnjM2JgQ3i5xMo5QdOoLR7WXUDTlo8t++eut89hbQNf9kGsF9RKzhs
BfyX9rhtvQNDZqM30aBCI4uToXwrAhU8lwXdK2To/T4HKPY9Kwcs1zjV/aXdlfVbf+rHq4W/5ews
SDSPLviYGo2d0RJNk2Ka3k5wmvbpXOP0a+kDjESEZR5BzJijkSg7OfmSIZ7WZ0Z+EsAB9z+pXmOP
QqbtByRwhZfhRCWJEFYSEenVzgLLLxBqYhBcZzrO7vnWVLbCaTt+Gx16c/tCOopSuPZRrkXkpmNu
13rKwZeS9rWCE9EQptokTEFixwTzP4aQ80JULJ/t3CcjyXGX2KRuatp6a9uxjXByMGyODWMzUou7
Do7cymnNg9CZccT2NKF31PPtEITlG5QU45ihTN4Q3zl+9PK5vQsl5fnGhLQ/7gpb5C8E3Pj902T1
8Bls4oDJpimmaykmEuxwr06P0zTKeDsC/rgISF4tdknrkyBeyoGQQ5CDwa4h6etzG0c1vaegrF/G
jFJzBRALSFhmm0S5snSTJh4PBmw9P1Xea6sNiEEzOBKOFHUir7zeRRfZNGSybzA89m+xjJLHyOFl
yKaA17MuO0DVEDOjOEeKpI0rC7c/GvupjR6m2mltaC+aKPGEzLpV2ccS3a7fzcUmiaxeYT/pokdF
elu0bosqaBAR+Ug7vdRF/1q7lVbHBPsu6pyZXWJb5vESc5ZZDDvDGZmFnkqMgtGQWq99H9hHuzYK
f6UtsvIgQGQkJed1LPaN4ONweW06xg6xSXJXz0N/nArR1wyWe8QKGc4ph6SjAsAa7WLS0rBz1+1h
YKZKorTfBKvRa22iScWw6Stj8rbwBAsTGVbD6M0UXX/ZwwUpN0lV8h4QFpKO07ve9NU2ZPmZPmvF
PYPB/atTmzlEDAd927Z3HHL/FOSRcK36kFupRYYKeAto9WWL1SLexEnX3DmGR8qUNZvlGrFp9roI
lThYJp77UCy8hG3mp3gTGnBp2XbQpVoBMQ0+K2JMMqwIuctG4S2XvgLsQ7ZG0LfNdsQ+++RMWFAO
yCeiN9PP9LQvqc7cjba7JLsZUWoiTgxE2WzKsZ72GOtgZlrInFFbijZ+DOco6Napk4Ytkec1kItU
2fNjzUGLDtAkEESoqcMqarQtkXQxxuV4Z2So29YFuBd20lSDDsKKnILH1K2xgoqnvox9Yz+FRH2E
G9o6yEpqEse6K9vPhnSFE8Ir9oA50+JYFV7pXERRRUguM5ACoHieOv6asA2p9tjWk/Rm0kZvEqRm
zVAYuplrbhkxqRZOGyIPbfOAyPop8SIE3Y2zkK58Kop1HQTEODWkzY5HGA/hPSQWnmRzRgewSepk
uPNbv7KOieEQtDEyQ9WfRrhf1pektB0C/2DKLrNXa6w3TTt3n9FoSgf0nR7g6rQ2Zy0xpdAnqXwm
qAXIMLMWiyZSnvomyWIZ3oHGIVoSFRZ8L0HGt77s0e+TKzQQoHad2UHyplxQrKs4C9A1lSPh64tq
0+72KA3NR5tSziesuE6/Zd3oqZ0mJUFsMFbY0VcHeNgX4ADR69Ar+7WNCzPfxmXvAKzohwVX5Jrm
I+FypLjVrCPb1rUIRfKFkz2RyeyqlaTlHqxa342evEJ0zSW2h8TblrVUTyVm7GnT01dCZTOOBHYB
JAW3JyXt+rVTgSva4utyozsBfoqZNa6sAm7q12CwjHGZC6D9HF3d95valzOwqzKx72fYFSRYmlZf
bXLTMxriVIYW5U1uhsxNLRTDvGz31Dh599XWmQoZQjWdtyKOwUCCYTkVsVrKQH7Uyh7dI0HlvUXi
vFslux6S1qbtcyu9MEzDe6PmHJfwyBCBFdWmPV2gBQxsdOgW61USAjHkdsqYzPhO422Rs4Ju9eu6
QMoRj4jiZOxq1E40Jz8nbADW3uB89bU1Sexl8Uhdc9MK8uWPWLUV84YkawPysmv1rWtxQa9G1cz3
hhWG953n+92h8P1nw2NMRFZyOu/JcXePc9jqr0SlR6feDbAEpIxfYFoJQKDVWN23jq+uNIrbt4WS
4+/J3JwOCgUb6ycv8a1OZf02GiNuoBysPJuJzqEnkDPNTqbzFB0VFpTxC8u35648btHPUjmWvjeY
wXycfVc9+Y3VEXydjP2t5ziQRbM51E8ZkCLGMc4iIeICyb0HIabDfDjlFzA2CGUCcjBVu7ZxaRqX
XjpiL84mITYcN2BuWmrYO20uP1WoLaJNMTA+2sYSazSWeQp19EFm8DzUBbQOJwjjlwy1MTT4OjVz
+HJB1e380Lec9VDT/luxHM1vfB7aO0wsgmA/pQONGVSKKTmDGCdQFwO7uInbeIICnVkj6J0IffHK
bEuEsJUVAuPBQ5cROG3EcQL+i2S99X+q4n9UxdSKv6mKE0RBL+X7wpif+VkYux98Sk8G5mgHhG8t
R90fZ9OlMJZINgIaIeg1YAj+qzB2P1CoLmhvyxE02/5YGNsffGYm9G4ls/Hl1/2Nuvic5fKv0ynW
2oCqmL6N5bIgujTsf+2OOKHMWXdlvfG8sA42NZPpamWWJL7TCFTZpgI18UQdMty34/gFjUlI+46u
9g4Pa25tJysmLhdwWXHCC1vU27krPJbxyvCNrRgiVW77pBmC2zIiKv00jpYxbdrOHR//8JX/PHX/
8ZRte++68dT3fAS6AK4NBF0yyv/1gwDBtT1AQTCDMAYFhzlq4h6UAnS6Y4N4M1p5WZ68JmhHT2jr
m+8J2z1mkUajmmBDjHJQcMnytKGyQpnE9P1Boeq6dUOnsNe0h/LTyOgo3QAGVR/NCAozZVDgJhej
nPxF31kIXEG+n0cHGEtjc+iEwjCGrcng9K2jiMY6WInPYY8DhLElwlUfG2GMciPVApOcLh5J4B5h
DHZmjkVgRr9Fia/yb7UfF8NWR9547kSHZPmZFczaNlEDevlR+DagcDeV21L7CNeSachiJuMLnGFA
X+KtncygtUpfv76NbUXsWVBnjNA7b/CJv4xCDcCOi3zJPuvfuX6+WMM8m7y91EoCvR6qDg2mKlyr
O7hBZKDEBzp6iY578o+cp8J6j0mKjc4lzPrVT7zm2MwBTejWL3AXpGV7kVPdP6cEdTkrmFc2X5LR
NC1OBavEC2MH86Fp++hZ0uS/HWIFgi0fBUgzNo7hGioTewrZqlQvwpgNd2vlHqJPqCm0OYwp6kns
BJF6UySDTf0alPNrqCA8k3qs7TcUPNR5A9zPeyvvB6iFdiy+RwilKeqyFpn6ZKTXRH+m4qYaS3HZ
aHfxVuQVT4DmHZN73kI591KghNLU831G9qb+6OHlnRnMwvPejY3sbsyCsDZsppDFV5U9CHtjE957
6Xc0QddxWC0gEWYWQLZbRz6WRB1+S85rMaxN1uX0vEZTgrNeW+e1Oz6v4+55TYdpz/oeLEv9fF71
jfMOMJ93A+O8M4znXQKrJhvGee8Avck+Yp73FO5E9pf8vNc4g45f9HkHorEbPE/Qovk7nIhLAPCy
X0VWrcGep/CtBfsZHWB2NuO8y3ngL0gDDHN2P8oOdkI0deyKtKnyC+4/9kq9bJvGeQfNz7sp7FH9
xOGcPZYpTH8bnHdeYwCgFC7bMXiNWd/boks/p+f9OmGg8cWBezfSdjUQu4OoAjIoy9KNL6bzrk+o
ff1mLKVAf64K5qVAKOrK9/cYW/O3Uk7qiiN2de9SU7DJUl0M50oj5yE+mUv5USyFiDzXJLjqQihe
/rM6VyxzPIX301LGZLHB3aeX4oa4qjq4CGDfzTzfS/2DhJVaCOEmdZHnAaybeuqtvdE1/ueg7wd1
iM/1FAGj1FbBuc7q8HJvwclSfaXnSsySIVZxomHQmGbnam1qayo3eg9UcZFFQdeda7thKfP8HxWf
4SkLaehSCZptS1VonCvE2BThEla8VI5zQIb6tl0KSiGz7kmWEVWmvRScCzwm22O4oQ7tbUdVmyGP
qE8Xteg9qBIe5ulcwZZzRDWL+I/KFhsbWbqhqMptOOY4koUT3VU2JrOtxetl9CKWOjlBNFFth3P9
nBrcNBs4XOopY2kNMOCB8ONc0HNAMWRMKrZKBk2Kq1cUW9xJwZHRN1HbsRtmTwnHnwlnIJTV1Tg2
QGRqsuA/xgGCjDVmR2pZq/PLElkvShLaHzDUVk4ThNiWwetIAIN2jzffHTsyv10rsW4jCuloFxcJ
zR7TsnC4u5wx4Cr2g+PtFuFssqPpEl3jwcDsZoBy4xvCIoHkjm5Fztgy1y+4WeJ730aGui7zzH0V
feCMWywew3AJAVsXr24CU49MYOESeB4q4gEsm/5L3opgPtLTxRoJPaJwNrUopxOnJb/YaN8cXzLQ
dFfJqGqaA6EGDIbLhHMspMwVwWgsWRWCMRPtjBKfAqxAJwA000M82XnOTd6VdxV+pRsvRqIiwrF7
46AHBnoox3aXZbYE1KX7TMHT6xBddUEmAp4w2imcMzAWb8E/gMvBzxnd4Ipjq6i0LAkB5u7CvBJG
1qVfq+6Fk37GcakPugozDSc7clNr9L2J8tQDbFYOVyNq+mTdDZ6cDnB1ZpNflfTNzp8G9aWJzRTW
D50FgtfjLBm3oZbZNzhr8OjKwcfq32AsTDcQQZ37JJz4t/NCDf5R9RD41g7Px61rFzDTZWTgSGkA
tU1rQ8BfRu2MjB8P8lhuPK07ejV9AlpwkI7MLgVzwVvdKnU/FkTyANjT4S25qQt6nmQKThANaL7t
f8rjn+WxpGn778vjqyp/rYZfu8bLT/wojm1zmfV5cGIcBHLkUv2zNl64M/xhYBN3+LMA/sfo0IdV
Y5GzQpYSGiXrD1GPDtiZZWQTsEL7DHwI4fkbxTE96vdVJdC9BY/HG0G16QkwNr+or0aYqfAgIOGb
7nAatLFQQLpJ3aXYuIaVHqyGiIQ6ukWT5+P79qwtXpFh7WkXq6RjFumBh9Xsdm2f+BXM+liJg5zC
8WPpTkeeuXRn+MMrQK5+pVTa7MwO3x/OYH8TdaN8NK0RA09bn0Q9GZ8BQnP4Az2DJ64k8r10rqRr
4A7Log5CDHbItjDeBFlwV5Y7fXK7+jUUDhSlxMRKCndYab2yEBZbCPia2TnGCZrd2BH9w0yG8bUj
w26DK1mbt0hW6AZazKWyTWqGwt/5jTbUt2ogxeoe708e7+BCuweIaNlaQuK8nwv9BdIEFHIlSkUX
maZ+cYZ1eztrCMwDfQ+8zeVkIKuNZMWRdEYQgdt1wmHYPIJ1xcUrxBR+rKsumrfDKMN+HRueg9Rz
TC4so4dm56ZuxyG3YXXq1IPA6PLkR71zObpdW64gZ/GXEbqYyC7Jh7c6nIzQEYl8WfpTGn1MNkmi
Xipz2PY4927w/iAv9MbQ3WbZGN50cVF/9UkZWRVOIVZj7ToHhWnnhp0zHo5tFMgHWdCJospvCmPL
mHe8DwxL3nUEabOIEjT3zZRlunEBGAbQipvuGCrHBgmXCWykZjBAa+4JqpWk8VzGnSGPkLMdA5gJ
3qE8cNJt49cDS2GbXUDsCOB5t+WXLJTBykdzWK1kC8S1QEpywt8mT3HaGjcY3dz+QgfhcEJgKQEO
284DuNQDnnh3raKuhcU2ZWQhYyH4OAW3VVThyKnLIdggzk2/CEZ166WTmXeZuMqGcZI0TZqE/maQ
gKNrYXlmjCUmQhDpI4zJxkE0h/4xogPL40hXI5dULKhBQuQzO4UgnSzPioFg0Z+If3iKsDqCIotY
9s2KDlypdwYbAvZ1ZxM105WbTfYqQau3rTwCMVGx7AMjDDewPGmCkQq+qIRbN905EwMXv8M12hju
XRiKO3eMvEturw3YUxu5j5fSysF0URGts2I0ScJIOT9H4yxocXM3EB0/7WtGRpvGGXYA9/Qato+7
G0La+zP9egzZZoI0Jr1EJHUMsjsNRe6CMhfJE3mdK7uTWH1Qkx79xom2rt0bR2ys2SrJgk+IVto9
RndwIX0uNqhe1EGO+SONIay6AqFhYOXbqnacrcaSiJPPgIGoujrajK7FsSYnaZ7REOpmdzrhw77p
puRmGsPLEOkXmmSld6ZjMjto17Jy8I3nD4FZJg8aNsKFdlICFawHb8rcy6GhbAdNywPRAu3OPUnn
3U7e5hTCfAv4aK49d5cP7QODVAqlxrubvPhzFAz5VUWYFaPVmbAjznE1FIjxLq7n+LYES3QRFdnG
Byy3S1zX/aoGunqYwIJoZeBeWNWGOjSGbz4iG+MJLEv5wJCnIHW99lDB0VnHxIg0ji4WyRmuxUmt
H0ZxKCITZrubAdPQ+PJ2dcewCSX29TzzqK95eMMM2gRmTcZzQ/6AUowEB9F3YJf8IVM3pW9vYJpe
5mDxLt1JU/N3hQQnmAMHwCdOOXg344q/4xjprxMdfe+BJx7zWILxthJ3n5uuwWREuDVadA9JcEK5
ZzPBOzVVc8gJGoJuXsO/FlVfoVma8WSV3PCPEnorKdiESXzCv4cL1KCnbbPw2NGOSgpTY+OQNSiz
9I4bRdSrWYlnx5z8i4qbe4vbzLkrug7hfKFqypy8rR9rIw9ZKGPTljvJKupvC+bb/4+981iSW0mb
7KvMC8QYENDbTACpRWmxgVUVWdBa4+nnZEs2+/Zt+2c5Nps2a7skUwGBCP/cj69sSUZS0iPZMthB
/PRGYlCbEaLDquLe8CFSqzu4Cf26WyY2mtHMxKDMSkZIXWt+oEUwPa8yuPARbBHQBxFRSHb8Cwpt
wZKFlMHJQu2VdZaT0+8CJ98oQ8XmcJgCHn4ct4fUulFunepIYJVwf5fS+jUI/cgoK/AchUUO/kp4
xCnduGGjM7jAEK7dxwhGJdE63N5uBzHq3ZwX61JPveMrRp6eQrhMa1SEVc9teGrT5nWcd0PGOzfM
ZosT2osohjpVpnkt+7r0GoU/G2TDcmA6mF3A7GPUboIG8nJJu0OGoruuTT137d6UWCQTkwQ012qn
Mz2rO/FSBKHYR0pbXrNQNXw1mYMrVSL2KtYKj15mV/adDo+4PEK24lrNi0s+cPhpIBdC56/9dKAL
bxhdJct43Ak66w1JK3Q0aB7jqekYoDP4Rc8xREluJky1Ay/BISaAngDH4oFDzGdMW986HjBL4h5s
NsbE4U0liwpqZU6czGMQeHWIgGIHrM6mbV2xpFZ7KtW6XT8J/SHJ6u82Vb8HVS2PFdzcr3np2fyq
Neiu5GyRsdvUJbMygyvvvhZ8aPJEywNR+R62TkdRH70jvtVKuSW8lR8ZsyjXwsyTvW1M/S4DSO3J
PKwvSZFXV5EpvPc2Vz9VuzZXZREMvlIibzuJfootB+fGXL5JvOlbs9W5Hnv53AgwN3pZ8fzC6Ir5
UAelo0UBUUa25v1U1Xd134QP2ZKEz7QCfRMISNcSyjCs7DE4x9WtvcaR2Yqm4XHVmeb9MFW3fxJ2
CQmfeAPCDld80mSftDXAb59Es6+7UVnXetueCiM6ajl8ohsiYw3E7SOite5BITv5kKZjdTAZDHHf
F8tOqdgowW8mUmb0OcWZJHNHx3zLcLps+JECGn9mlSUb5e0Y6BUcA2Xal/Bqj4rCgzymYnZnpvmw
K+cl+2pHqQNqmRVmOONTVVrPSVjAbdLG/aAyvyZhWlytIZg8Dk+l15GGeRrpa7gUbIwvUVY8qTbn
TuInUKsW0EI81u/FHMSeEg7ltlSc8tCwrDwQtJ0OS5W0XlyGU0kDEqIUJTRW/FZrulDdjrvD2MRz
TKUL8/yHrhOCPH5qFOsckfhQqTfMYNek44EbKaMRwiyzD0oemPOWjfOxNE75SoojPmHKscH5gZvx
hJYtHyPjY8anc9u/521o3JsT1YPILOVzjmPhOvcMV00yrqiF1tPcCWOr8TQ/4L4iCD9Fyh2CEGnO
qo2ix36OwrfRjIbvdAoLj9Mm5qkmR8wEvJuelx5s8oI89F1hwAV7XViHtE6gFQtn9oCw5D9yq6/3
ClyEb2TRn0neB+tiNPttw3QY/GvaHZVwNO87zQC6xcq/1q2qJGM05pDpZh0yAHEnuZ11QNerxbDF
qUNzES7tDNZjQkMJxPqRRVDRspIhemEQZXUcn0yxZnidwZFhFYgk2QWGPR2mjnZGq43OEwyzrWmz
Mgqo0axP3eJX1I6cl6aWX6lZGbwjjKdFt7Tf3CMMwnX0Hj+uLWTiDhvbniqUl4nRXdIk6c/OYG0u
M8187vA2H7j+qitRzc/EGsLdFLJdSCw6yoQ0aZcVpcRAYfRPlQNAR7fjN8ukrVCqTu/bw+CGkf0U
DjP1H8oOB9beMAd7DdIy2DBthq809m6xpMe8lzXfoNI+Qut/qLtybZbRiefdqkuSq9L2KfHvZd0v
7dmGm7xCVLU2obSc1RJEwAiL9lrYSr+treWjtMU5ptV6xXHBwU8+siaRJXR19pQo3PhWaql6Qm/Z
X0vLa7FS49XesAWJd0U7nG4Uqg00nnZXRnq65zrOL8Wojdt6wKGm8ucPouOuA6yp+mKmu6VnonIX
hRmwRAok/XxJolMZEe2AA0IGbymcbQzS0kVqZQI6qSxy0fQMHaVYsdWhWCUdjgzYpUtO/yud0oQc
P0Eg2C9eXs+9N02am5mZp02jVyvG7CvsNiBG9R7zyXRPo9e3mlT7Gll3F3CIWItZyx9Q+oPdPKpw
G52wcfN0yPZd2qbkcgNn36PD+kDhhFtGsO+XBTrSJIPAo8Um3hqq2IuJ61tLg2o7GLQ7hrTBrnTD
QPJUmk843jq09AkrOpWGjVEwjV/G9Fj3QEBAjGBJ4X5u2TcwDpm78QNNLDnlNLZeWIlfiq5uHorE
gI3eSXZac5rtrVnfIhRPLn+IB3oGTW9ge3ysQM+vYOLnpP0ZbtxchwBJrn1rOzcz3mMWSZUr2tk2
juWWZDlHewIGwLglaJLJJ5fw3LGeOJowjypWEk5gID9JsvHvgDf1KkpSd402EZJbBAto2SekksWt
IaD4FLVJEQVhIdeaCvuoSj242Pb8BuEh3yosz1YwulGjeTzyEdtPBh1iW/w5+Apyw6JJTSs3gU7n
ETl0zwC17ze6Um9JydRMup1mm83Vk64t0DCoXNg6befbThQ9ZSLN3p3wFNsdl0tljjavNAyHAqKF
25n0fQZJhADlBPc84wcfy81RHfmH2wpskgy2TshPog4lrhvh1WCuDLV4MuqER1x4U9XqeltScuMp
Y+9PDaRG4t3ctjmmtXT2m1R7zoivcvuN6Y5xVn8QfTdy4vxLKkHyUGSHQeZ8nartfrISX6a0AVhL
UvhhtLDtdrLHIhSeUNjmB3mwbUAYwmzvEhe6duepYbWPIQ25YrQzrEJNCnFSZr4QfbRZkh6Xqc6b
Z83fSQZgWkG9XjKbxmogRbBdCohYE4Z8+lmK65xVzTZdesjkeVdu56QNtjQMd6zc2InkXLLftNgr
L14bFvMumaiSgNDSAYxPftBYdW11P2/N5BoaSrId6zwCdN+9NpUq1lquvdd8NjdTUxxALA1HJ7/0
w8+Rs+pKaMbItw0BP1HcWg14+lavqQkrzczf06QC6SHL7ZiNKDlDtVYK80fZ5e/CojraSTgJy7x/
Ijoq1yVniLQFQmicxt45x7b5ok32ZxA6MQTWlvJFwzx0KbyQIZlOI1rP2onUaQUbBvtVgoBdNMtO
oxYa5h/9IDzRHTeKlOkA7KIDBVNrK0XaFRSLnCNE32P2C3Gvk6SY1/PQgEbrcRpwrs0PkaJgUzG6
O4Y3/TrphrO6dG+WpK2Xuq0HakB1j4fXwKkSgKxDB0Gh1OMqLWPqsgb7jl+n9fkWwAeim/RRGnqZ
veyAy3tAUvStpXYgMXBbrVtEMLYTkbql6i8niDkz+EITe+WOON+Gp+UEml3SMDEib7OjrDQ8QbaF
XNPVHqVkwzrJ20PWPdtOmt7AyeNVolux4mEb1tXykAUGWL7IoTYCkB1B1VysauLXBzWfHBdYCtuZ
tuGgAvAtpQTJ0e9mVuqCCiu1rm1vxoDkTqJmeNhe8mq8AK7h1Mdz06bat7TzkUpRa9yz3oSIwtNf
5LrDAN0rh1DhYeljg+Joj7EmT/S1IXgbUe+CxhWrZa7nNdUINuTEUt/auVHdMr73+EdX3Cfluh2H
o16N6ZY5zsVxKrwirV19VpJ2KW2o4jOm5IiBZ/Idg7FBj6qqXb2kBIqMBY1C8Nkmg1JPbWbJLAzF
XOVT8T5EI0eNhK8u7nSxV4Vi7nMmDmgs4ktVVNYqvVyoP8JDVdDuR2ZR5ptSneU6NujjiJjWeomG
47qPu+kSLIpDaQfWbA4d6Ylt/O1Eqj1w5d7Zdu/PadCdKGwQSB/h4JEM46uZQELg2n20quA0QrIP
SuMrqNuNkYj7nBP5tu7ie2MEPck57L5hbnuQ2byb8/DOLgsKtHJyt13jh0b4zAjxB3ji1Fcz0kR0
5TVrPQc0kcsGnKpkOaSoIN2ZwV1jZTm71IldVJ7fyaLh3bBKGE4t+YmVTRTZK0frEg5UNgCzzBtx
JOCJLe4TmT+GpBlXwFy0wwgcmT65ZZX2IM+G6WVwqC+pejOmf55usSakT8SqgcFa2cWJYupN6bQg
btebnB70C0SSPY0iT9Y4bMiNDGSEw2vGAH2nL6ayxqT4XYSTOwD3Z+Bes70Y3lBrt00wXhZlwCUg
LFeUP2mP/WitfkadokuOHm54d0Nyb9OtRd7tU28tZZOXM95kJinbGLC63w/hB1Apf4z4Fqhc2DeN
tqEmCUeSPkj0u5SDDJg6sEXhHW5HHp+2eBvs7B2XxBVxmtpmK4vdIez9XBXujJuDOQtNakl3RxTx
GVkCdzDOxNWEy/4GEuWuxuywwqfL42pJg006F5eOyo3JepnL8hvDIWuRpWWrIMqvjkk5BBu77Iq/
RUA0yepNBHNltUgawmIQEcrcbsoKe6/Zho5vzipnDHZ4EQiPkNotJe5OfYbRUk3rn5PsnsOm9adE
fsx5Sl9qYHNc0iUyYWxtG9QYV0MIW/M0B/mR5ct6mO0LruV3hgCfEVn1lYbdEx0i+RqsyuLSXSp3
DIk7QLFEVrXQL4MaE0QhOz80QSDhW9yNE1U0i9nfZSF+ikipQ6/UuPDxXj5gZaSeuJClR2stETdG
jmicdb+eVIThgPA89ltRrsysfhKj8p7qbKaCCacfnO9njm3YafDQ8r6Sc12KBxKR76TPv6yCdlWV
4mQwbNNKnWOgcAgy2Atksxo06wdZlRHiY0WXSgTIbMwvgG4ydwq5bpGs43WsFneCv7gG/qhgUJC7
QCn2GJuRSGlmpY0GWENBnn016iCklHlWPY2JPHv1lCqshT7zZYbWdmsA8uta/NADql1kbDDMtKk8
sbSCj1UC1h8K5JRIMruVOlsBjYM5pdmyQm0weTUR81TLMnsbctOtRGZJAurzXdY4kneqbJCYHihi
Slz8qLdeHczQROthiAEudsdKfFvJsBN1+tNmwA+oAqxeumus/iO0oQbIRXuOLQlCQosuM00vjYhI
PnYHVWo5aVAbbHLH94i43V/Ssgy2FAFNPLwTxadlJXchRsw+0FbHoxY7X1tSl+CreZhaU3qPZrFS
StpchLrF8m0+J1F2mCvlk9P1uImV4zANm8hprnGoP4G11w/DEN7k42BPITwcy5+APL6wQu4jY3jt
gWWr9UcsnRccHu8DWZXnnGIhfFWLtVcVnkWlfgvKRsC+W5zQ1CODEmRqDUxC19zWKraqvWymznw2
pP7ZdepzmrTRlhmTy7dlUzrKdqD8abPPqjCsh1qWurKZ3zvsVFRdyleOkjmfTBquqLETInJRoxoW
zZpL3x1Nbd+a1RfUe5QqIpv7TLN4A/jLdnpNzJ+jhrE11fEyIvSR+WE3WOfN3dwL9Pns0R61O7sS
rwYtHiuy3KVHEJlBRcV2yDCWH5ECfjkYBL9D/26X5bC2B/JGlEuXtBMFqQecFMMSFYz+tNgwiABP
HZDXD1Pm0GHiHDGaquvYWojiiXElS1r0SounIz0lKTXmov5pLeMEArqJ/MY0LrolAXMG6d3Ud8xm
SEmrffhYBvoV4OEVyueVjeDkgZhaG/a4bIvcoL5dw69JRGKFX0NfZ4OJv3fsaM9jywEBDZYtdeQc
lUb1bqAGjRfHnkX3jMv42CVa3nJxkTZKKgfOfGvhSTAZkCt269xH6BXo3GN5yer28/8Pj//urWTi
+5+Hxw+o9B/p79ZK/srfrJXyfxumYak4Fy1inor8x/hYvZkuyY5CTgIKoDq3we7fx8cOk2WNZzON
HhqcWoO/9LfMEYUmwDJViEOApvg7ivk/Gh+r/2ZKhMxO4ghXwS0CaPAe/3V83DJwo4q3GtZBg6T+
dvP6oHYgjiueGNQlRfRoSArRFhkD/dSM7IedoMwuPU1mA0fBMU5n+r+cQEXGyaS9WXjsvM/QqHYB
O7k3MiZ0yOeEJUKccM8AozgwKsujUaGX58bcu+1ElwC+SGMzDg5EHW76n1lXJYdBT6PXkeKre7Qk
l8BceMztRWwVJGvPaobiS+JGdMdiGp6roWW6UhviLqg6caxA1IYr22pr32DWuJUK47i5Npu93hVY
xJ+HWyYlfIdKCe9G/xqT4uqk10h/roIgvysXyOaGhjq64Dcy+1H/QS9R/gC+fmL16eMeNr3szlal
Gp/hzG6nt0rgN0lkvhazwlya6Wu+kaGD2ysZzbuEhzfVZma3T5Qmw6Vvd/tKs9eWQectDaeEF/vE
3gYlh6C6yky/Cam3cnrGOeNoBK/OIPVzoNcqhmu3zSeQ6wzvfDqgWMCkvZzpnX7qrYrwvaDUevCA
8E9Hra7GQ06s0S+ZO5EWCKMjLWrBJiCKabbGl4rahuKqTtfCMqbToOXFEaimirOcKrFSj6+2VqHJ
gvDzsY8ldyMCCDB6ogONYh/6vOUjZH22MkPQEiXtd27FGd7M8wrDl/4Dg665ixuDzaRZPApDGCcn
Yj/Xl920gSVTHCdZVQznk/BlXIpsRQ6TIhCzNZ+S2HirldC4ig4zqYBsdCzDqNoEccwJzp4BREDH
1zdzUX8FdM6sxjnXtvi3oOIgl7GZ0MqPPn/GYgDC00iaO1P08jRiLV0PTvddOXK+AYZ69ZLPAcc1
s+xOE+/Lw67XumaxKIdloouDr6HL7u2wYFc1DPnWSsNiQxsdXQ9zyO/RTd2zCp/2eRr44gY09Bet
XZ4MQkg3w1h4GBAY9tACaUo3xOiGWUnahk1lXks26IzUMPTSHABYXSKKjKX00Xf0dwq9SZvCHEYS
qpQTPM/J07p4ofW9lp4+m8ElKe2aZlHCZaRuk7xwRTK9FXKaEWiy/lIWFkeugdysO3Tzi8JfWS8T
xWe7XIMa00Kw2wZzZ21pwoNyCjHq0jgTFc0dZsznQl/mNSaDmdlsPoNckhEoFmnte0eYa0FDrNfE
cfCUV4iXBCPmg8Qj4VON2nx14JRXXaWSim1C9YlC1GYXBLGirizDpoQ8q9SdqjSaT5zqbbToL0KT
YahIdaOXhcn9RCSfrU81Oj+4ej6cRNCjvEz9PhrL0tVae0DHL3jUjdC7Wogt7OsZJrRKGfLsNt8X
O6LbFUqa4+HOw5Yrk4j9Vl0fcrr0dri4sGThjeCwsJipCweEFSgF+j1GCxWwY9U85HE87BWae9ZR
mSYQsxHMMOfkB/wqMGNG1Xk0k7E+YLulNRgDM1+TYGZkBlLs+lEKNgiV3JL20j+iAntiqdFa40xh
s87UGxA/ymp6Myr5IGIpvTDTj3IpT4Ztxm+gju7bMn0TIPa8ivHk2QJhfoyiMNqJNHxYZqDJjBcv
gEGIxFi4SkBtEdpAImRuOdBQThMtZg1SiM3MuVMIhGvJyNUNS4TVADrkWgl161NP5/lpaqeYpgLd
ekBsSWmzUMJDgDPRS3qGTDUPomOTOzr3RMcWcpxZfctqUHazqVxDNfmM5VbXRevNlvQxwLyHYmua
sEjMm7GQLJnP4OxT16HNUNowHueoJ1QOEB2tB1ruPVGl5aLZbDNBze5SMXokEmitHLCDKFQ5umk8
VF7UIIkN1djsmkzSitGOLzRdJJ6i5GgJEE+VwDCgMBE4CxNcdwDKVYupp0yHQ6jKYtejlqxAyDA9
XNoHpguXWTXhuBqD9Fotzc89FZ/XsY/DFyXoKobn1ItS6gXjy7CvFE1obOoKLx6CV4Zeu1reskez
dPaj7mwJCe8VQ3YPqJa+GqX9RozWzupqvwuFcqD4u/aDOZwr5mEckUJs9n44iv2kOd8aUwlDpqnX
1AKZfwo/FIc4mFBH9UwDebXXzbjmoIABq2ns5QtDPZbDlvs0MavbiRkLvolpUKRKx0E8QNhEg+HX
n6tvWIhvUQXv+jYwfxTwWnwlo7aFboifxP4njFxqtOUokKEuCuMtNmP72FakfgTRSmyqHCkoJvJK
wrTZqmetmuLB2Jc8yneJbTFnWdIat2V/muZm3luEFxtNveMm81UzGhmOkrRbWctZtdPk0mdIfCaA
eq+Ug7ajKpj8LXZNwkTIAptp0HvFNyuKSwlERd/OEAxPoESrbaaPdAtgYziXY/YOHUPbhDSo7sx2
1HZm1HwPUUYKn6NQhVxX2g9pBaO1sA0FWTAO8ae0YtN2FsqUYoWpG4jAuK/x0JxDp6+uNo69FUGQ
eUORbn5PnFnZkMM09/3SBSfs/SZH0L7aLXNWHiI1mHcCVwZs7RZxuknEkzKgmRnlOAJJTHjadUuM
KKpQm/PkhHGC/dSu2p867Gm27zMSUYMVlDNsu2BVNqjqpr1+7xSMmDJyp88J9JlrMkCfg7A9/igq
rUQ7Aqt+IH4Vnug8sT2TfGqIqGfJTPP1nLF5ryi0jClQ7ru58i0K0vWEZvSq1H+ko84XyyN7lyka
yFytw1rW4gbmUA7dnC/f4oxsmp6iYSObUJO3NZssNxLSJrtqh+8tM4wxtncU5BAymQ8mOmqqC9+s
FV/RrLVWGTXDnIDodb+joIsBSnLogWZS68XiPVK/xuE6OxnVSPXmrO3LoUJexvTsapnmYknMjiig
ul+3xSbtJ4qWgwr51LTuesrG/OmGxTfD+Yvo4C7gKL7QN6JM83XuDnEX0tQa43JMXCsJ34hikyKc
ypMCnYl587JuxXzoDEGhLRfypjeaFzVdToOFkeTW+mkqTcuMiZLqBtNx3n04hAjWNL6IjWw5NGME
tJRsmwt9lzGBo/IThd5xviKVKVGUcBFzj/jxrYEXPoaziYC39+n4WYv3riqY00nk9RMFD4arLVBn
G2e+n2fj3g4ajON8kxPtYz652iNY46cB0NPazMpHO8LaYVvsusLyYDOZ2MTFxZkj/JaLsWnDm0oB
+5NMRsdsc1ZyNOfhBx6p0dVGIoiKQCmk9mA1a5g1LfbgpDxz4IwBJknMQOZ+llRts/VeFRpV0ELJ
75vA5DMMh5vCRLk8NcRZhx5osdBEFs9HaOurimgKc+5gWYO03Oih+pgKa6uSdXQXzhOXIOp+RCNT
5YiK43TOTW+0omf8hV6q9O8INw8khn4MTfgdYPYbmZNERcrkfKDkImbHMmOyczUjxjZHp81S5XCU
FbPytYHNb083LfKf46qAtvRQ+lFvojdHfey1I/vrjB9/RQOb/eDwe3MioCLA1GhUHV4i4usQTdX6
GSqZT/H1Gc2XB6aM19RawRWFtF3c+oHx6T9Txr5PEE4xnqxmKFt3U5jQHx7uCJOX6PnJdLk1/71A
iEL3GEgrfYpOexyWQsCSU+Oj4G6mM2FfQWucGT00Tf1YGbH01M5GLYgRLZMsORdG0ezFrT8JS4FO
SJtHyivV3CSfciG/GXAa79kU3OD0CDJI1bccOnN5rw4xKeGIgEZVnVMuRc4XE1hSPFVUVd20QqO2
mp8DuSU/pM1iXdZc6ZJWFI3JtjcrCTiXuBDnsaGQqTPVTz7dPhPilA+d6VpmO1yUIbWfOtu8GdQm
5Ww1RsDGaLE9TI0NefKewaPd0CaZ00KgJu24tpzhkqt0DEfgWDdDV4uDMAgmWYuTn2onNJ/slIQS
m5dqI0F0e111P2sTbxsPaWe7htqgv4GSlAH4uO5jwK+aUdA18hMuijkf7ZHkCPKvqctzGcT7KqbE
YBUW8b614w3zlre56cpL0hkSQ8uwT4vb6kTazE/H0OtG+xyrjnIAHotVB0f9iX0JE9wRGnGhTT73
3Wm2+vdUGUxfn5ZT6yA4T4qu7YYk67btMia7vravPAbkSizBoRu70svKenrR8c6wjR5/FsDUOfFQ
/6TjzAQXwGa/QTJC66Uvu8YHV0baCfDAfVfjr+YkCfA0rLBaWvFrhvmiW3Co4DlsgsugdOZrOxMB
DFhSXQuvgReJ7jOLYxPkQsjnQibzHTP0KUN/1LP8mWk+y7ljfg+q8yDL9J4nolvEMeEIYe1skwAV
arXyxLiY2Eiucx9n87wORpqYY9K+6Ja8T1o9yWGAdM1HPKNWkX3IMKVLKpqFm4JCxyreYe+hsfOL
rOOm4CQPDCBbj5RTK0WwL9Iyc4U65F5oV6EXGlX+AgTJs8AF7lusqQZtSzyJbRbXxHqWakhhlGPs
QXPQSOIcIzmyX3O0aVepMH+shYUVtsc9MMHIWwzjlOFIZAELXJrnTSq2qZPsAguQSU8SigzzqSnN
2Rti+dXJ/pnN0QWeRHBlfnQnjfhAYuQNl6d+qyTeDjll1baNZaGUibqJVOVFT5ERM71gb27LwKsb
yN1pUz5T49yvJsahJ82MGUvyAN6w7ax+Aqmd963G9JLpDLZlI0PPNYz+R096jKt4qiY0WSezd3Mh
ktdbWuZkWG2/sciA41bE6YFsN1sfRb7IDQWgA5anDDODTPLgVSyD9rLMLawTMxaHOEnGdYgvyE3C
viTJFy4bSrWdXdMs1ZPsuceCvMU5BxGPGSa+r+Q6Dyq4iwRRniY54yUX2aj7vRO/Rgnuun5hlV7B
x6Fy3UKPP5u1htdGyczHKu+/+qnNd2FS5vu6lMY6pRbHBYIIG1Rg8bVDieYeWdSzxLq+K3qaTqwO
QKlUAsK6aansWPXix8LAG80pT5ydZebJa3WYq4xAb88dfQd0liriYwzS7q7vKKTs9M74xrvZ79Nl
Vk/gJafHmrn7VgnxcUtE3WJVc5OSmknql3iYlG2nLOmOm3G4cENJBsIzsBCzUgm2EYQKHhh/CkZv
5I88syrq+7Epk/e+hYYol8bYGpFMuMpacQ8tZcFh1sfMdDnXN1VheFquMyVPA9sPlUDZ2Ekr3K6M
M99SrQRaL8bjO9x/bB4b2C0OMOdDJtpbKXdrfpKWsw5q3xIeS0octBFRPHT2gRddWm7EQaOYqa8X
HuNToeexV9lzoK0Ecwd+Yzlh79Mav+5HmyqSiYqyfBghOQoLETiaLHy05OovdnSjFVu2EKsiaIdD
FhvmmznnyqkJQWXOg5G5Vp3WFE45guoQtd3JgkBvHqeBb+syeQIB8cEQKr4DR/SBATPFFGsJutWi
ZmcEIe4hh2zTGLFcpTWjF35CRviOwu6vdE1qT4gZn3J2KC6ZDs8Kll0JFGLoFkjlN7f44uM65M1G
j7pNEtVmxlxNPfTR3rL3bPSZpFvGso0FAwWGf9UGZoYChcfQ3gomW0mBw0ihXpf6Qo2dJXqauBZt
1DlgvPNoT318vG2E7nyVNMFuAbGIzwqsh9+Vst+YTVRFXufo8smesZ1Qw/AzwWe4LywGXUURavcL
JSuwIRms0WVGbCZAYuBpL1w1txtMYdMAg3QEGSMr64XVJXtxBiN+ZDxmnRUFE2spW+0+6EPWgIxi
NQa+jr7D6Z89U2t0Jo4oeAdTMeIYHIPxAVYnOzpb1UlijBmlsxCakvwM1kR7gS2pniYbF8mKEQ8n
sDJIlB3NzSq9MvpoeTpOwSPzjAa/nS6SjQVE5RoqU3mvo9ogC9BH/zbiak6Jvhrh68hjC+cVS8JD
RBibwYgtFBWZSQulp5EVPmRaYq7+57OBS/UTr2bz82d3+qj+n4FSUmQhYfndmGJQwwhz2TC9/vOs
4Fw235RB/q9dm30UPxgRFB0HuBvW7A//ob9OEFQTdCDhM64SHYKSo/2DWvaX/wKWCz4CnFxbv/2X
v00QOJfxl+Ay3KooTNWA5P+PEYKQ0Cs10+D2guwMeND+n4wQ/pURbTuK+Zd/CTyhAUICc+K/zg84
G9r6iEHuBd4TM+xV+7rsf/mO/gCcoAJsq/4JgPj3l7jxuX+BX3eq1jUqyIMXF//nx/CaXdgioRXj
9vzrlQr09J9kxF8ZDdAs/uyV7Ns7+eWVMssqU3rnohdM+9trtv6/+SAOEUKan6CQ/k7xRkIuUp2Y
8stIfdqqPy8vga88VufY//MXkv9KLP/bN/bLC/021NHVyU4qOUUvhY6N3IPEaPmNusKF4O+oPd4b
e8YPh+DauxTw7sBdnAkC4FtybR93i4tOh35j/TVf+h+/XPUPv91f3tXtv//67YIhI34yRy8No+Ju
nW798qfj9X7nQYb6mJ4HaqJWpvrfvvXbFfhvl88vL/sbXRUCJeYUi5dV9qrbPE67hWrZlXhpn4aD
ug9W7bXF+mWsiv3eevzzH+IPP7J1o8vS3AE5T/uNrClqkZg6u6sX9YuUl00xwHu57t9AY+uPDQvx
JfU5EWL8S/86j/2PX/a/sgT/egX8+sK/3ZaObGSjqLdLbfYs5JFmtTx/ldv/8vHkH3y1v77Kb3dm
qw2RpfM/L7ecCImqN6XGT7VKccxAyy9XxNhisSYY/+evq/3x67IdsSRcdfl74wAo0sQuVCd6gQPW
FPhcw3BevJFmerbdhMX1UcNEYpl3ucGJZIYdrgz0xDYk0S1VZLjN2HaGQ9+sGZOVp0zVz06H6Q8E
40MimndR2M9pTqNmjt10xbx9U0jxjf0pIomEUVzFve1PmqQnsmVTvrSeupCM+/NP+Vuy9++/4T8/
JVPgX++XAnDNPCkyepEbwpPX8DTd4xk/c1R4nj/VN21VHv7LK97+xd9vFXLJ//hef1s3ioRZ5iCX
6EVDIF8TgxEr3eMAt7Ivgjjjq/3fKhxuj6E/fcXf1oRgzpqBU3j0Amnyo94G3myvMan72RHNgAGP
4w1XsOdu7t18SGtKgVsAIzZzti3QdKYa4zbaZLt2m234/+lF/B/yzqs5bnTLsn+lY95RAW8eZiIG
Lh0z6e0LghQpeO/x62dBurcvSemKXfPW0VFOVSomkMBnznfOPmu78iH4YuH63QJiWBLcHpmVW/7x
nt6tW4s5wPXquMfmbDlYp9xNnv783PXfbaKmpK1kaqSTorqO93dXmLuS5heqaffknhzcyQb7mF6V
V81rRwueTUOWR4Xarm/Nx+UQufN5d08aTvDip+4w98fO9PXdfCFfiyznqHLvQzfwcD4m0jN2gi9d
Txf1VgQI+oZY7BFJ3SvdrKnkXZLFvOhf04vApu/4wJEVoaMdXjyP9lduUcrv1v733/DTWM6iWqI6
IUT3mt170W5wi3NUqz621/DEXLoDr0TSE/vo2tyRzZv9xQls2c19bD1tFMhPKO34Z30deb1tuV95
Rkm/2zDf396ngT/PpHVVKYju501yNu9xY2zv0m2/Gbb0A1NAM7vNtJf24lm0Vy6ss0r7YpPSfjcP
3t/Ap3lQUNkSB2rb9+SSz2h7f8xcbHGc5jBepM6NsU1cXOjc1Llv9q1rOeugAGDkdPv2iNjoMF0W
LxfP36ZLvNl9iN/OQ+9gO/to5jytaLKTY3kvX7WHEW3pcTz0XyzI8u8WZBMVJXGoSlzzGUIQyQDp
JjmK7zuXDphdI7v6xvpGq6Jb+ImPca9lV55+vXj9efzaOd1t6H7/8xz65Ef2c7WkFKkpiOUAk+mf
nqAchQL9IUl8H9/Jd/KbcKW+kgPt9njppIurUg4lnfWV9c0PJu/nFfP9VT8FF0sbphpJ9fg+8atz
bSvYF+1ZtwEoffhqCn15qU+xRFMZ5NwFLpWeaLvKj6wImDXt4NycWDjLLxY9+bcj8t3z/BRB1IpV
pkZZxPfqBjmhS9HsBEPVnc4mlwXpNL0I3vwo7lqX8NEed+116hpufP/FW/3txHx3F58iDAOTywXq
TnzPpNyMm2oLmPElOo9erFO4JyPjVUeIpckxOJHxmjd/vvoqzvpld0IUJVH/42wH4PHjulxkBULa
gGfQe4tL4/R55sYHAGcuJCmn+j4+Iqh2Sfzs5UPoNp17XMvqX8wtSB6/uwvYe+DeoZAY2qdTCY2J
IUU8nsHD7iW3Y/vh+vhy58cn4OcuIw4J7KG0X3bHF8M+UBm3JTd3PNn29pvKjuyLnerkzrnskDHa
5/aDvnlq7cTPNzesIZF/5aXO9ixy/dTO+bzdhafy/Qb75S70r3P7PNixCzv+wSmcxgW/bh9DLtHa
T5dHwz+Um6fL1D5Hhmhrtm/YmqtuRPtycrOzyT+eD+7otU7gOpntbGb34s2/eLz65s3nJkQdb/Fj
+3iO+NGmZ8U+wMXbnx9V7+mGHh37O5wC+3j35Nb2zV3Nr7817uycH+mm3eX2trRvMpvr25Kv2A9+
sBO8/McDkHxMmF0+FYE2y+Tb+RPJLfuyhFV/fZrt1+PTwldwD4LrXZ3bjX2WOdz2zvUv93elPdpH
vs9rY8f+7fYVM3BuLnMqe3vbO4Hz+hB4d0/BjmYN50Jj+8qc65Rfl845z3IdHdPhhfdBh4Sd851L
R7B3mn15vHYH97jr7JvNZD/Nm6eD8zq5Cv/paeJLic7CqslebnHn7eb8iZMaMZfl+LmzWfiG6bGz
r3Te6nyh8ym5o7rMO5/P72xPtTs7XX/xzdM8b2PazrRXHOfa2590O93sLvzJftzecquKsxmcXWtf
xLbKuD27P10fMudkX5wtDOez7d5yBKd2vf3Z3rs6M+295T7U9mHb29eNt9O8My7iEGnZTsDw+v5s
uq1DRIqPib15VG2VEXdBiWVv2izvx94+Fba31Ygl8JN3eud0LdtbL7JfF1/jgSr7b5G7ga+xV/a2
7D/bp1sMhW9C+wku4EbnwXlX/KOy9/BJ7evEvrNsw4UU4eD+a5+9GY63Rw528PaSs97ZW+n4Lnai
7uDo56czLsR9OpVzPI9d77vn7jdva6DjnV6PvbPvPcu+ZUHDrPbCK7zN2+Ik29o79vvL2TkO7uDT
8eZ37ja1t0eF+5f3d8zumWF1PL8ZXJ9OJ69xb++O55r9sDWYEYMLAHbjbTvXsO+Oh0vuPHWJyLzK
KezZPvTe+V3q2qX7XbGvH14Zyes0Muzvuettb+8c72KPGt4+bR55fLn9/W77MNo8XaySTs9ncAjt
02PoPM7+5O297nJ2TRsCjSdsSpfCwSGw2dv5Y1PYBHH+lodd7SFMuXzq+nn4UrrortcbuvVuubvO
2wfO9eXDy2gfJhcHeNuwmXk+jp67mzuRN6ZvTB7hJQ1rt6KdbatTsy+cffvFKVL97Sr7bn37xL0H
EqHHas36RiOC/SAcHhb35QgMgqfYO0zYXeQcyeTz6Evn5WbTefnuG2mDendv2mdr7Dp4ta841/9/
USHGMBxxYTgZ6qcdt0oCSaPtLyZzUOxEjwJVsKl2If0E14kPAtwdz/UtHcSFBzqHAffn3UdaP/6X
2OLd5T/twFZkRboKt4OYUL58Kk/TzmAd3MSecqIp8Vz3q316Xn/xNtYP/XxRS9RkTUQYrKmfv7MI
52wwlTG+x40e1ZUWXFir/65A50Bh0ABWLFXphFNjfJXl+90osEhY6ut5XkMf+3GvzXMTR1hgO/ej
B97gu/ldfRwf5AdOJNXRuBBuTOfH4/1bHkn/t2+7BuMAzFvsvnl77v+j/P4f191zFyOZ+NZ+zlN/
8FLC2+Ef13Kfu+cP/+L9yOte9m/NfPUG9bD7J+Fr/T//q7/5j+zwzVy9/e//9a3si279tBC8/fvE
MS6s70bV+vn/+LnTc87PncVv36LujRTIW/zrz/1MMCM2h4v9w8kXMBm2AozDn/Rf6y/VMJCho837
qV0nMvmnRN34SyYmUkUibVPG/4TX9S+JOpxgkzcpyRxmUbf/nfzyShh+NyANmgRBUovk0PDM0X9q
4d+fjXsRrIUIx9qu5Lxxex1G79Kp54gyaRkJup7GvUw5QaKCT4ZzN43t+IspxZy6otjrN0aqdDT6
qP1xKZELp8vgyF34Iqjxg5kjxpQha1KV0s6xsRzhOFWoDtKzYYlsAWD4PTgpEOyZKe9S4m+btCoI
iAx6oleRq8eglWZN1PF5iXcDMAq1HFp3whCZfuB+uRVA08R2Khu7KqERjthOt4vQLHwYvOo5ZjBU
PIe8hV8WXdBiSYZQJKpPpZEkrQIuoiuK1bS6iDZBnRhXat2r7t+fBdiE8efnwU6q8VtZ4YkaRt3/
+a95Om3eynXY/feYN4zyf1+pOeunt/yFuln4cbLxQz8njf4XogaVgbmir5kIa8Lj56TRaNCgnwLb
MM4LxjoB/nPSaKAEGcgq7noGaUjZ4uP+OWmYayqNIkxDrJ6Yjn+rKKP8MK/81zLOrGGm0NPBzEaM
ZtJ+8nE1nQERhEof0ivZ4sWi9NPsdXlY2JA1mm91VVkOvL0cB9NcuqR5Aw1+LSheIibYHEnUaYd0
AXUaNEgQG5MWfWCHd5S2X7R26bBjHJGY0RFhW2H3HOf6c2UEd2WjPi4Y8kY1ehRTi78rsn4jzsUI
VSUDOR+tYtVGqZyuOOsizQLSEF4ZgvmqQoGiOl/Vu2mpYTJFkUH/xKQ7spwJB7qZGvRdwUs9WeMj
BIPZmXAHvZ7GeHZozwIOFIrGsZMoluv6XCCC4yg44D3CSlymfM+2shGLL74ZSqIblbl6TvXe2gb6
OJ1ZDUX0MMLQt+2KjaHMt2YRPIVIoPapnF5GgUK/M8wG07G0od4kEDz2vUBvSYo3iJP30hP09EsZ
3NcGWu03WBzZ3urWlm0UBpMUHMxowow4VEy/KPMXLR6VTdxZLai9sPYpDQf22FITFxelc3g5Ne0f
QwvMO+zp49dEvpL5PHaYCA5j3LlYkXT7aaKroO3Mp6ptUKEajfxS4vGC401jaFuVZRLeHhAeaP5E
gqNxW6yGKOjS5mMG14aOHjFxEpTRDj5BtDFkyy43hbMxbiW0GU19GsuZpg8zATs+g4jAnuQKfb2G
BN9q4a8jEJFj+ZhpbcKNUldqYgQ4NQIRR6uaO2WWyTWC3eZvHb0/Vn2rJHNmU6vmrNNrd3pf3pDs
gt2iTRyro+GuqrrOT6X5SJ+25IzoAU7y6pJKW4SJjxcLbxbNiJMEWo8DtDJqkGMxJg333Yi0SZXr
61aq0U63w7FTUd6WRVF6YpMzeqvZrwrF19Y7SMzsOagCYGHSmVZ3Kp2W6Odr7ImXISCzHMgv4hzq
qDASnl5V+pUqPvY6HXmpLFDYiHJkiQqIAETyVBzQvlj4TQyogLJiORfC4hbLBj9duefyJHR2q91n
aLr9LtAnf9bM2uuGlXJWgcxsZJRFudI3N2Mlbk0lgksSqK8hSDmnLMZ7oFQqzn2oXaN2muwMsYln
Nf0jnPibKpqCaw2v5y10TMUDFLWhIVt3Z1Xey625ZZMHhB1UOkoYQyZxnmO2FJeQ7vGIQlhYTe0O
4S+sxrh5bCF30FBjSpBujWCb9LTLNB29D0M/bYdO2dHBbm6tmd5ukJH0Hcn5vdg1L50upq5UlL1b
ri8hjJTR1wVSt8SPT2IffjOH+paOIgCV6Hbh8NFR2nJPwAwWawNpk3O6wX1mQ3aqrCkCFcCDLltI
ST1iRvD2y9mEL8q+LXBXK+BVuYkGaVJZDVnomn9iTQD6jC4W+YssupKeUlhsMh8mF71p7XitaMlj
HI9et1SLa6I4xyCkydwgqiBfSIDAWRvljdoCKyo1OnWhWUQkISiY+6bQnbQGlSR2LADqTCogqLC3
WtzHPv1ZOeh5kXSimapXs9FqN0ZRkJ0NsWHt8RxYO8xpL5ak+UCnzQ49Y8NU0/GEy6LFltMWywEE
NjQLHuSCLh88UyWneFbHZbqie2sXKBXyY/rBoZ1gEGUtJO9H2s2scH6hcT/d4E8PmUcLgtcIAAtL
Bn/Fxq1lJQCZa3Rzcohrc0wE0hfGyxDkZ9mQMkXLEBJaUit+ENT32UiLKLj6bZFaIXAg8WVBmI1H
uw5MI0sCPwA5nTXdBP6hnw+JIWjuSIse04f7keCTb4PYeEubnh60DAGvqQzHSZ5eS9jndgIOTBnb
cqeEeNZAtjF/Ho/+Vvz+PzJysQi1/33kcvFcPOcfWcbrD/yMWgTD+EsyiAl0vKDXgNrkrP0zbBFM
5S+CeYPQHV9sGlbXHP4/gn1OCKpBrC8CS/8Z7f9n3MLnWQaif7xLOS6Kuqn+nWBfXo/6/wpbNA0d
jWEo699WyL2ucefvg30aa6xWtSbVq7uIyFdTpWvZmEdYTnrtyuYknwS25t2wzLLiBIVsXVlIiY80
2yVnisCCBGaTZbMDnSsacOS6LiQ8z6dOcK0+Fjd6xOfQLUPbojEVu3cP+uLnbb5Xj6x6m893j9uJ
sR6X1uBf+VQMkDJBs2jjV2jY182LPArig2XlMqq3kD7VrtAeARYA7vxh326kRYSae6mxtJRoXaLb
UtskZlT4YIn8BX6oN6mwyuouT1kDK+TDev/URuWVJuv1A3aCot3FhfUU4DPhSomSYK89JZZTT/O0
qSEBHyIL+E6wdJ2bWy0Qe+ynT+KQx9uyFFqfCT34KT0afj2VyaHJ8+lv5RLWt0n7MilrkYjXWhuW
P75NdN85piQpxMMmn24wywbCsvQ13WWICQGaKelDLS5sUH0zvPz5XXyqlqzXXs+NOiJQXdcNS1zf
1buSKqn7PDT7FmYQIYW3JJZ122VYbpdmPPlVBV7JYC8w+hzP3GG4E6Y03c9S9e3Pt0FA/2lEMJxN
QzfxdSWqV9akx7u7KIl5wRSbKFwGvBLocUYMO2bfBcO8Yx9ddjyH2P7zJT+el9cvbpgcPygi6xqH
jx9ZpXeXHCp8C7ra6DxzFAmhdfMBxfkVDgRfXejX0c6FdBlPbXjRCrDzj9+toK2s0BaQZmqSsQkv
2gKerNRgl9YycGKQDnbL2WGfDIn2lVDhoyTs55f8YUxECkLWldUx9/1zDXizYVX1nQcRqNzACarw
OCug/bahAb+6uamKgJ6JrHVbabkrgiT74in/7suvDxo3Xx7CL0+5FUJ0wEPTeSXd2Wicn6daf0iw
rbBraKBjJ/m4gNz8+c2yAH8eTBYEAdxIFfIy0JY+fukYF02xAJTkVWOr7eI4pDU9NavbP1/l1/FD
xmdlC6yuw6tO8ONV+gkSaQHh1TNSzN5nSyV5PXctkGA1/pmC+7cipU/KvvU1ci2SOtARyO+wVny8
lqHTWlC3WsNrVA99bdzWkvYmRLQCxyJtLkvSeLU402AjZa7ctfd//qafEqw/Li/LqkWmSl2BCtqn
B9qqi2mAw2w8xOevTVqeiVPzZIjdkxL2WynI/bIKkf9MuptExrUoWE9jYs0OdnkQmCZtU0NUcwBC
Qa4zHv98b795Cx9u7dMA79o8AlHArUEI2MuFdWGp3QuvZvvny/xmmaQHD1E/sSbLE+vlxzegC7kJ
0GhpvESdro2u3ZgltD6FY6HZ914rJMBpoiNoFWJKoPU2VLJ/BHL/dhT8Oqy5BRZoiYGtKrLxKf0f
J9gKlP3EIDCBJRsqHl80An+V1173mo+RxXoVwgpRIi3JgPv4RcWSBBwSC66SGLfhbNx0kN4KdlsY
8N6fH+qvi77J3r9SNVgeV3OGj5dK1MwSa61vPGUBJriExkNcYjgk95G6GbROs2NTnr9Yj3739ZQ1
spNI+qiS+Ok9Wo0k6VPSNp5a9TchnrUkXTijqcZ+iJTXP3+/301bUlskiw2NK6nGp2lL89ciB3MD
a3tOkGYJNa7CJp3y4VxOTgR3dlNhmEPzkPlQhqMj1jTCf3ELvwaKPGNT5Nvi1ixyuv34jPsxEMS6
qxuPPpmjxRZ/wMONokywuNPcv828ljMooVDU4nJD3HoVD43wxTP/7eRBdc36L7IPYATy8SY4NoFi
iGC/0Wz6oCji1SzJx1nqbuhYuiO0u2DvQqmjfVdBBSlT+fzFQ1jXp89jWkV3bqC8EU1G9cfrDznY
4LANG29oh9lLBuHMogljk4Lz9IBr+i29YqtDLV26lkBjdBcIdkRPgSvIgtd19MjDiHZSnHBI1Qjp
FvkBnplA8dw/3+ivgxO/bfjvRCTcpPRDzvkuJBHNwogWrOfZuNTbuFfMfYJZpgFAy4ZzP36xq/y6
dLKVQNtRLMy50W58eiqgrPW+S3D+s7R2eE3T+FpTSuX7IHwV3sq/Pn8mOReD7UPBDPOFj88/oT4I
YRfjZKmWd0JWPSxKqjrkGi+mkLgyDkYgWM1c+HVe7KdQpgBrieO2ykkTiAAaChDmdhJNdOelxlOn
m8jNRgyYqiKXtx1unCRNo8tm4P3Q12famjw1Lg5GLkh0lZbk6RtN61/U4T5/J4NaiyYjd2RgsyN8
dlvsa5WmsgDEQ9KCocc4OHeUuq1gMizPsjI/JD1l0BBrKP/vjRGuK3PwY4j8ODF83gVwaono/K9R
iHFw8zQtN+m4LWH6LGrgxmPx1X7wedf5eT1TIkWvcYAV199/NyahuyYDPNnFw7h8PpSJiDtKSPPz
n7/V561gvYoqkc0XLUY/sfLHq9CLS+5NhBYr49fuLlX0AoDlqVOrszYXPYs+zy8u+JvXp3D+RK8k
UcBlFny8IEn9yNSkFF5LaIT0EaeyF/X1Mwynb1KWNna+UgWSUi2+uK70eY7zTddYXFmDU/zr1U/f
FNvhLulMcN3Z2rtcsfvJpXITdIgn07FV9jIMj0RLbs3le6Sb14UYn+smtCEir6XMH6gJU8e3ovKL
NfrzYsBtcUBhbTRUKpHYp316HkXYtQVz0LPqdrUjDtVdBU6Udu252v35XX/Sa2sa14Io8ePgtU6f
tST6fkil2AZ1mYBNWKeFmdMsReiECjVBAzuVkNOJtxjkKfVFemaG+bRytg4nTgG3ZtVneNBtOsYv
X9zTuti93yKoBLFJchLUWILXQ8PHeyJnw3o+Ua6c2/Q7boj0glrg6nA9gqnpyWaynI1FXx70TCHx
AKDWsOu87l7/fBufJGzroyFQoPaFHxaW2L88mh5kMJhPYfDUbFRetSp4TIcYkhYteYHRvaUjldqB
2IYGWckKrxrKrNsso0NOtqJLwWx2aYa5XY/t4xbpAQUAI6SYVQhlc6ABtPFVYSkvDYxqzqtF0Hap
usBRLpbRo3+1eNTyWtsC1hPBMdBaS0eftemjvifvUNR+beT0UWLSls9VDjlnyKGMFJu6LvCJn3Gn
0MdC3k1q8lKQX9tTLlee206arrq85CYpyVqJXPqFLN/VozJdUU+BxT6mw1bWWw2uppbY8ZCV53nb
LeAac8NDDQ1EeGiywA1HvLDInqonCi5kRah1m4dplNJb1JeJtqmMjrT4F6/jl0HBxrgW7qlUyjr1
xo+DYqkTU00R3ntj3muvZlYHt7IUFNt8Ee80EFBfxMPyr5OQ6619aJIkGjLr4MfrQQwoMISESlYZ
YXDXS5VMv6mhubkhBt/iQYaIk0214FDum650miLvM0FJbqKsMQ6hUdLIngyMBZowD13e0p4pZDFs
9qYu6X2l/k7qXZynK3G2ZGioGPd0Bh8kai14T6WUTmrbx5s/P8JfYmDya6RzTI7jJFt4jp/WOwHg
cqL11uhhunWjheot4/KlNCqaiVOki+BhaOulXVTxwln49ueL/7rIq0xcGes58mo04H2a1Bm8eeqW
WN+qTVg4RoUHcGPF5jmtwowdPQp25gBUtQN9+1XDBhvyOjo+Lims7ya7CHdg4W/36W3SQdqFwLw6
LwB9EsP9h38iaWa+k0sTWEZV6dVjGaetbg+YiO6aCmirredCfh5oefE6majcw0JHPzXFq0uCNl0s
gRasvuK9egB0Pj+YOhh9cMvfs34CghSZ7UFOpexkjhInpzooNNUeIpj9XZ9Pgw/jtbzA3faxkKST
iNvQVpZL9VCZZeNGY34Le+JZobmXeddRkGhb+b4xcuNpLq3KqcoyOxYTnIGM+umW/qH6ostkoBGE
w9AG1Oo0qlTVVkd37D+rHBSEYGXNNjIT+QZHC4hkA7XzhX1vW2h99Rh1tNQmgV6A5ujRtBVVPWDB
O7cPUV6Ot+RtLODlmA55wVyiI66TkMYMSn0WohKRB5HnDVY+bdaeT3ioADMuh/IQJOMCFrYdlmch
7YVn4mzpBv6R9qxNdY8k20rZPaVWzr2kk6pHqKWJu9TjdJkmPXAkhU5ssRPi8yww50tpgHo6VACn
hFY2yJMD6Hcj2TCeI7mXRmj0AxQq29QWzauoo4N/rYv61IRkk336vgNgJMDjtUooMTgQ11o2yFcE
cgJeHpsZZ+NtoY/tTd5h4ECfjlg9LkNW+W2dl3SHKYKFa5VUHdsetgn+xsWTqdTRQYuiDteE0HBB
hciIY3BJhQEExrUpU4BhFWndR2IK4B5kTseVSZNssyXC5hOLPW9Wyno/4+a8leM6fcV7pr+Y6Qpw
5tQCx0s/3CkDGL6nUBpvjCQGuA440THFRAEelzPUZiXxokqCry4KAJVLutO7wdIhrbQmgHM8uN4m
8EpIfnQxjOyFE2/omR1prk2Mybbq6HJTb7ohqOFbYWtKDknHZNmhqwj4e4WaADtD06Qfx5osL8G3
1wkhPW1SPVAwJq5jTNni/gSrL95HSWhus6ZdrkRBpkc8HqwhpqCfzfsF7cSloRM8LFplneGbEZDj
jq+lJJXOaq0qNl3ViHeNpRSHWK80rwTz77e0BOYgO4p+PzVpjSxKt0D4WgOuDabxFPc6rjWFOtWO
CvrdgSic38d9sbC9FvMxEPAikGWhg0ufW/IeLuVqkGiAnDd7d5l0gUkmxfS7TzDLaJO7o5nM8ppA
m64agfjCXlZeYTNnATxKVNUDOPFK6aRTV4S1s5APOwYQO6a6HfdlKhmnsmxMZwpNydWtLt60cU5t
v8E9WbdVRcPNbh7rE0SJ5ppp8tgbjYJupII6Qmy/6RpkV3T1WXvRjIXtonWxu2iCcROnHVZmYWA9
TJiOXE2RvHzDzi5iuRpNv2LRvErJLx97saKXJUvNE00I+tHAM+PY9IvxgtlM8c0qBF5dkCcPlZbK
IJ94p2Ob6l42taA646nkHNfNmANUVjRtjbW9sM0bjn7QtLtjoI5Uq2JYKDcSFYKruTC7raTLFn36
ImDAKpzPhTT3LKWdLvpcnq7KSYkPwZSU/kBi35eNYPZoAxc86ri6M9E+cKg5De/TPHke9clCDhck
giNCJdpmunap5y07YdVYsAzxp8DSK8fyPg1a2D6RCDd8ERbww4tyHDsoWphLlQSLSapZgLalFAC7
1itHPdbopNSz8bYQak8vl+Ua6w3pBP8CElveNuRNhwoHhFQEoN80CiYL6xYMVZxy19APeFAjHilH
D/lN8JgZ/GyBE8Gj3DfJoVUi/XWcCtAf9VgeFKOKN7k5Wl5e5NIqRUrxPQJyGD+Uoso9StNQnLQS
uFIXDPs6a3cV7K3zwTIbv4BItldJJ57iNDMvhaTAHmju66veNJenpUFXq8/qfFlY0TVMZOFNXwyV
tQcwEzk06aQA1HIwKy+cBKOyCyNoMawTQqmfj1WBT0UP2EmCTJ9UxnmVJI20xfLUvCKZUu2XPIXi
OZv8MHGEcTtAl4i9ScTbABPncJi2BfqfyzhTJ8s3OqtHdZCOGkc1qZAwcpUhT5krrWqsZx1gmR4a
foTTFNVAyruTk9bDsqsWqfKDqiguq1QfalhXIAGbpLnNJnF0oqbRzzElK98SSZjuswjcR9G3w+gP
0hTcK4IKNxDLCkxS26F8SMiOG44+CHrpRRO2QK3VQO4b4WocOkN8XfrSQLTQ4T6tLThGgIdzQNcd
22RK7jF2pP0yMCBHQAA2HXaZ8YLk+PBkpEL6DPApvkH0Evp5ocCcsCbEDL48ycCsIzzXHgVQN7Wr
ph2eInx8vtXChfVGzDALVbJL6qPl96VQ0CtpBrw6ntd4q0/KfIGNHFmRcJwcTMNKZElJpewh0sMl
LIv+MOjUZNJqs2ASjRjLVJ9HCxnFgBnsbRBY1eJPkhCdoO4qb3g5vVTGYJyHnda8ClVGkNpng3Y7
jawpVGfn6aKSJqIa0DfG7bLIVA9LTTxBCkkxYOnxfZi76YZzEM0AVZod2FKzx34RLWcYcNDsCvRR
TDqnKcNrESol553WUSZBcqw2PKApvdS1AYXeUFtnAkS40xCKqG+IxRRPDzjgbKROoMxdjQTA2lRc
zWImb2jy7jCH0M2nKVny+M5ol8c5ViPRZ5MuQo44a3ChDrygtmR2RpG1nyd5D/pM3eZTU3Pk4Myz
aRbtIhtx3QPR2nGAieSaXU5pFZZgFdkMjDT03+szMaeLcUREg2sBUZDVh9FmiCpth/QVXdQUY30m
TfHe5B6PhCvtBQsp1nCdcZdraxzTgFPXVzNvCGSXI9gnhHk9lPVuOYh9HoIiq80bfNsdLRfbjdET
zwvZIAFsy7Y9KHQWUCwNOOa1di8bmCPm3oj/sdMLhsSGLH8PGFNbDTdVuxLx1TQrw8uFHrk8juq2
GRQ4c5Tjg570wjZroQdNY8UFtTS64wmlL6iACjstRMNPTSM81VZNdG1au1QbJs/M5fa8U01916/J
m6aOpntgp/Eeu0RWoCaY70Qx6w6lwVQp89Ibs7iypRE2Tt9OhY3nneEYEyYioqJs6j4ZHKUdSyiv
27iaZozFkhsmMzbp4XJKqwLdoVilXjsrF52OT2BaS+qlGUgYzmiTWO6mGXfaLo6Kc/wB6QFeqjb3
m6aKTrPECqpRMLxskqjcLLoknpY5OWdv66f1yRDBzsQbeUM4OuoWjnyGnjsWC90lfoqrc2qunQGc
B5KkhNaZKeXfcMmZD1lGIsnVe908m9bfEJsOpaAqIviRylCCTqZiyBC3ptdOKX6YpdTbxlBPwHsn
jbxU2N/yOYeB2bUfqLatWXupew7z59mINV/s0GGXjNp9n85EZEqAL6SaqcTJQXIm95rOilXxDsOg
9uIgP01aIZ0ElbGZEGMAeS62QYtrRNRahR2AVeHHx2+KLhTehO3tCU3n4moEgztxTJVbISjrs6wI
56shluKdAvzzIuyDejPI+H94JVhYHdjgiL6SgunE8inNZ8YC3rtu1PlWH5G1JlaZXKmJDn67ztXW
MQYZz3ixLLSjEmJjYkf5imIuoZIBV0PdbVhGfaBGEjfwQGcF7R+qNSwmF7w9HQmAm29FQ+SFCv2l
zgjHBdNWZXnDWRpvhFy3Uj4nDAbi9LrTL+YgUhg6ZlM+JUYWXg9CWu26ZJqAzAajGbqkLIbLtuKQ
7STiMp7qLhhPQwlUqpYF1HDhjCAWF+8lv8HvRDjLUDiz3S86AUApYSVhkUtEX+P26lLZ2CCZZyIs
rKu2SrTnaci/C0mtqT75YYWXLjauHKOZzciCVC2qlLnKNiMMmzNSUcI+XBQYuWmR4MuGaYlUS9Zj
lOvFfT6gmaQmHG/Kdc+XooLwJYt5qEszs/DiPGm6g0wkqLIL7gTMiM9FoMSE2Eu8bUsZfWOnVd6U
CfVpAkVbDJplz50ItKvVTGR2ZuwM1IJwhpq9fK4rX7IEM3DaLg0w6FGM7RCFnaeD2vw2M7xcGLOa
H5iC4WtEjdT2uxm9cR3MwoWWh+2GM0J19kNM06m4ZKKZngdbCkrxuZxK3dUbE8BIAooznCPTqcg3
/z/qzmwpbmxb10+kCklT7a2UPUnSY8ONAjBW3/d6+v1N8Ipt8DomKs7NORUup4EkJc12zDH+xuOA
42xaHPJAyIFUqjN71Y4mQR24xpWaBLjbpWGzyXQ6pxytQ+3OJ0p72v1SKT9sFBruh1HEz0OH2uuC
pcdLr+TAO5BYS3207a/HrA+R1yuj44wwm2cZJpjnahaeaYw6cglAVm9cI4wnv1pMb1bkLbUWWYoh
Ozpdo1XwpBvskBHf9RtlqI8D8O9RENN1XaXsaixO14Vu9weVLPJ2MtHO0haRbUOlq4CDBuoKuT8m
a0PFSQ8LuOYsVniUN5xflNY9J1G+6H6E0uqmIPm5Mzt3QjBXiW3qIWXQsb/WYXerzwsoWqsEae6l
eVSv0zHbNqREzl2VTClGBAfNGoGii4bwFqg7rShKA7cchNlDMYNzjMXwzdDTcV9VCq5oQZsxfovG
BBjsFGdK7rLfQVQfoluEgKVwmFaq3hQRMAaZQ/mmYj/1BqchuisEB4HkNhzjYB9oargqSEmQgZhv
wjZGRhXJ1lXsAM+Uudwe/KY2bAoBtjhXCjBWKkuSm5VolqnqgjUiIfWWzEDpu8Tua5T80kD1HDuo
kGDo2aOSVrOPTdqdekRHPbYdf3DF8BJSqfeJoB9cvZ1Oc4aAnQdg7zI0AqyosRP0Siuz/CEIjq4N
4Mzq2nGzBIm7Fkq5X5aGLdtQvk9Nsm+t6LXQctQaDXmIG0t91SWLtUY8HQaxMbjbpqv2Rt9HPuJO
y+1Q8Mt4TS1+N2nqPtTAsqoUrzir+O2QDmCAQywWlXlhxroJZsC2gnbgsiHPDlKbkgGO2HG1rad0
PDoJ2THUwE0/cIJklQXz7dyIQnq+pGsV4elzTeAEZMbVURRpvE5jKWYaaTN+2ioljHg6LxI0f5cw
uw5QofTMOHcZYh3x7rSVypZ0wlMXJjAW2vvZTHej0WznyTob8WU9r9mRjTXys1W9igOnxXwZGW5C
lGV2Uaew58J3DGW6FFnSHjSdIGhZEs9mpUQM3TAVabuczZfO0kxXRlxPkC6HArkBEwhsHSY6ksPJ
8IrBrumrWvFtoUZZekaKOGobkjxxW2Vaz0aHoGcc9Ntkco0X5pPrJXLZnxksZ4gc6BjNkizyQ86W
ReF24PasyyCzwMRrCEEOmrh1FrDJI1YLJxNQn9QV/RbnOuaS7pyC99KWs6Kp8WWmN3f4rmFd4wpO
Zu7QEgmJERn6kPN8LNxHHb+CrMVhMZPiNiAJSbTMyQ+SE6lfu/EdYPYeMCbuMXbW/egD7O0bjSFn
cLgmt6pfmkj/r+PEVc/RA3KuhNMjsxpp5Uqr+mQHNi4/hYq2Tzkln2TWO/LQxccJ3Mni+2CeS7bv
1Dx1UQeroAqzk1o34CVrxMpH8R3aRohpI7FDAHHw3JqanMk1WvgyJsZ3W5umHbKKmI7JDyc0AN3X
Tc/uqFTXZTJRNbA4ugSLthzIcVM/sATZMnOyq43V1y18CT0/4SQXYKCbuc82hAZsaOPSVT0agGxa
BqCgAVZdYKrcRqoV30HHaCzSOFOA9umCoSdCf1aFcVgvxGlQDQLiMAxXldpHTxhVaWfomSZXNn1w
Fo51cVaoYnZWzmK3r641I6bcRQlliRkrQxyxwgvbrsaTyZ78Y0oS5aZqRPozqPL5OGVh9dDmIr3u
OnXATUElo2VjY7WaR1PbIn/aU/Bv0SUiWbMWYcTgKUNUp5vaYSrqzfdQb+dbrYib7eSmw12LP98V
vdupftfH0Q7Z/3obQgM62k2IHKVwqrOiTIJszXkHIoE2W2eBHYeczzvD780J0WwRlctK59LnXTHF
VLKafp/UU0beMQG61RrOBu8q/MXrAQh7agmUl+boskfL4iZvhmbXxCZRjZOGlC3rBJXZFMVQciJ4
iE3BpnY1svyphg9EuMQkKkBUogqUT3RTT8iQnOkdy4vu2Nmz27BPLfZYJd5kmu5tjZ+zjx4ljpRZ
btwXswi/KYQ2djm7aydFydQjOaesnLouIQlNbBPIYWP029niHudV0mj2FN6wxl+T0fNVDGnwgpsI
TW5Sso8EauamturtJBqcCGxnH8ZsYA46X8jqq76mMUx6N3vsMBFcteVkUwFRfooUVJkaVWS4c7yb
lx7fMn3eoZ5KHicuEBF3sKsE47hx67S7j516z9TtX5qeZE2TjS02u1aPdFV5XZU4R4YBOpg17lWH
lEfH+NI0j42mlNvIdsv1MmXdCvh/t4/IYq9MNtlXNWCL7sxc3xgo6b7iEOL6Zo8zcE+gZw0YaSaj
O5zFRVkdJQB0T75e8ZVQNzFFHMrWM4YcopdbZH7E7x1EDcSCpiPTRwq2vemhxXmkr4bzKmShQAQW
jfC+d9dqL6w1IqRFRJQbcjBqnSwgOlMVrBmw5+E87FzVpLWObwfuOSrGuzAqtKMQ4bAy2gRV/bmM
dk6SmWy7aKHGrXXQDSfDBUvfzE5HzqoG2464tN7faAYmtIMx42mbEBWii10mWzFk7s4Ye5ylRVc9
JE2J5G4Sp98brWvvyatZ6NXHM3LfiR6VZ/kwtT8CqgRnKASJ/aSQJp6JeI71YlWXbpgmaB+Hl7NT
JJJ2Gt3/vdaj/1nBlRAyHsGyoRuCM/pYPEM5nyyxqtdrzUgMX2lr9jvNvUNeGW336qIItOrG5K7u
qLm8sj0RtOi5agPVE5n5ZMlwegwdC5VhjvqZmt1pY1Ie2hJiSRrDLM051Xxxz/+lEm6yzgPoEBYF
X2AkH+/ZIMMUoNgNerNMjLs5nlC2mETEIaBK/cwAqNXKFUfvyx+RYCK1FA3OcF81zitMfWDPAPok
OGq+qND/WTczbZDYmkAhiLvSPtU9hVrU4WKHNXJEw6YF8UE96irggOkVmMeujCANPJxLv9J9fGMt
fKyYmQBN4EjIEqgFHOFjcyBny4ju4nq9lBr0wDJAkt+asIYNIvu2SsQT8PQ7zE1xpGuSgSMCgbpJ
wcDraqe4zJYqA7VoPpF6SDF/mJzTGBvl3q6RyV8Uqm3oRZfAZ1VZpGo0igmTNq0odvxsAN96ZLRt
IrWKZUAN9ZcAgl9Q9NgaVNq6iEZ3m2OU7ZuU54/uUuQvygxrwM5S/WC5WOd1/VJy7LasW9Ix0V4d
luGhSbH2aYIcmxP8vFbgejKimfzBgXqAPF2iWS/YBeEXbZAAN6AVvf59UvyBvMMmSLILDBTTLOtP
5K6L2Wc/jcBFK8WcsZect67quicy8ek2Ky2yQbVlR7e9o2B5PKQ/Yg0zVJGYY/pFKd34XAwFWKFD
5gJsQwkH7byPXTvwkyruVXTsZ2FdWUHoUKsQ4+Xb8/4rrtP/HQX7A5v7v9Om/l9UN5CQ7P8z1+m8
LJ5eyg8MbfkL71wn+x8DBKArQfqWZlANBQr1TnXiJwAZSZrQXaxTulwH/iNrIP4B0wqdydbgrrzz
o/7D0OZHugGqECiRrULv0/4N08k1PiJYQfo4OuBVHWlewM8EmZ+K+HakEuEN5Atq/aqt/XDVn12Z
qAEtm8hPVsMOGwJQgmQMbxCVOozrYoXh8Na+WBDHw/Z0RFHmPhwIWEp/K7YdBxpv5mznHfoNPNVk
M37HBuwwoMczhju8PtR+haN0e7pv1zCidhiZrZ3N0hznBusNscZBRs/vVfzqfEFGS0ockQXOzwfz
uqIGy43Bu0YUx9FQZwxGL3w0keG76rmLK7SR1u4q20Z7ax1t4xWaSGfRFUcMaz72Z+gy9t5970VH
9aRfZXuVx8F7faMfqqO11bfVynxAjokVZK2s0N3fNYdsrT8TSa773f3oKzfCE568Aqbv9kVKRf0Y
bERMvtJTr4cHHZWY3rsiOF9rF+zdpnd/uLpHLej8TH4x+80Rgcj1o4GiDIm2Y3MsvflABo1759iE
etQtqkPPWNcd8chb59f4EnrpfU0QiUJ7i6iWutVxJUHdDI6o6/X30abgmMVn295j7N3SVl6yl8p3
tjet7BfXUzzLtx3vuXkQK2L1FRIxRzijp9mF2XCHG9U15g3xFuS714fjyi6IXq7ql2Wr7qtdd2Yk
q5TDvNhoXITfO5pX8WXoV9sWLSbtogMHEOICka/1i5hnbw/8sZyL0b5sviNKtXJW8THcMw7uOWmi
yWU9Zoe6gGe2gUfR4vfqF9RnVll2CRhQaf30qno2RnTevf61utBIJL0S1171236brboXjI3h8pxh
sWF6wtw/ksY2FV+rVzN9PWDF8zqcm4R7W0HmYovF0zcQDx7+bXdYN3U03Dnukvq6eQz3U7ZKoz2M
0mh/WUT7h2baRz9JR5NVY6dKNoBWztQ9O8qxeZgfx9abdGxsvab03HoXGUAEqQ+E7G3bWl3Zx1Zd
D8O3BaxNdnKvEPVdVVvnW3UeHfVzcdMcx21/Z9mXyrP7XC7qikIwmRSPnYB/qIf0BBL6AkaWnyjn
47hW/SY94rREUJ/zt+Pz7waoEunDajse7T2uyIvpa9HacFdzsda1c9HiK+bFRPk/4VfpjQepejQ3
1W3/FJG5OXYXLZ9R7sf50EOUjnZiFRyiy2SfHE3gZz+DKz5y9YyDgXd5eTxw/5wybmr05ZJVOXEu
9KLvFDuqW9SDKaXGZFt+Wo/WeX4Wbd09RgSZFAcVh3SjMMCkWoOyNl9afttZadtVtLYR0/ID8sB4
Wnod9uDjClzD9J1RV0NE+KZdpq1vPqwUbGtv1Jdkg5oY8vfbfmdgB4mGpOQZv/Bgrldsok2/uZx3
uuuRlzhT6Rfdg08+rMKTuAjulE2KvpT6TRV387eIcrfqtc/cFypchV99N1k3bH/4Hlwll+HZ9MPC
RuZVeYbiCBRFx/BWbOppZ26L8FtNfmi+1cVK283nxcbwN/NaWnl43X5ZXWCed/aM7t050yY+I09x
sg6cwa2nYqV56SvJMGVNBdR5yJ5zxWt2+gPaue6TwL8Uy+FL/Vpcxi6aBHDMH5Z53/nalTjXH5xj
1XReiAhc772oe205dy7Wi29vne+gZM6xzfIJpp71y7243toI8UY/xcm5pICznm/E4VTvk1250Wrc
06/tdE+e3Lg3Gh6oOVFJi3bpimV5/fQU7ZLGd/eqdxPtystDgnjUt7VU6jvNq7WJlsT6RV/pq9Bv
f+hH/uWpK+N78fQgWMw5sELHQjG7X42b6ImKNrJgaGv40xrk7c70UUE+nvSN5iO+1ty30cq4WA48
AghEP9+XR0xa1s5FuVd5C3I26IUhl7YCUenyHnebUcE9mYdxxQ3x59tRQ8YuozZVe67AeMBPz62H
dG8Eh+4nnFX+mf18sJEc4y5O3T1sgvYs2yLXcE+1mHURuxu8g471cdz0nLU9XKGHn4mOhilmnxqi
1P68gZfe8yJlvfjn0d0OMMdNtqrugCNjcJEByvQ6bdvPm37F7+DWs83MjQKeGnQIw1M9N15CEoOV
uSGPfWluH5RzjWfAshDvJtKPW0blyt5iO7d6Ek936EUebvzdTwWfEuSCrTNnc4eBKmlEEpIeeCof
h2/2TfKQp3T058uYJkJvbFWvKNnxf7dWruzKVx7ZY7l9eytlc2+LpzT3W3fbHrkp5zvKBqfxiLOl
RcnHi87d+nEOfOXHYOCMglEGLjEXwfqKOt7I9pVt5/hiCHcGxofshxm3rJBxxT8aSIqyE8MOxyvO
THhPWWTW/314+d9jwg9h4/9H8j7YWP0tcLwr4u71x5vS12v7e/z49nu/uPKW9Q/ATgiQnBmlv4Ok
jL0HkKhd/WPi/KA64B9Blcuo/1cAaWv/AIO3OfdCxdIBwv6KHjX8GITOwRyKA7Glrf8rUaw3Ctn/
nijlFSGxwXCGLsdxgjj147Ej05Km0MbUfHVAY5JX0Suj4tyqVkO83OM5VKVPBmzjlqQbOHNj1emU
PidfKQP1Gb91g8oa1b/UPriRtGBOXQWCxejmWYusS16xG5TpZFbPZkoZsVwplpUBkQuxj9Ze7amc
++sMz5nsiQC7Cl5ELnA2CbGpRIgCoI48QhuV2eQXkaZ2Y4HnrdmkgChGEy83zZ5rbjnMc/Qx9FwU
yU8FCMqXx+6P3AsDpp88IJowSy3JZv3M8LBhXvRYnjuveOoWSb3rcqrIWEkOLTDPhVw88L+FY3H8
M1MD/MY2v42oy/fO+F0N4E2E/vc+cqEgwcgzwGfQU9zMxz5aEoFJJ+niH4mWCjiigChNaJTwxMk2
QzscQxRjm6gLDbTGALBXxeVoiLnVfc1YrFEcOisqCB9KxMEb7QSNteZnf79JhvBvWF7OMUIAXWYI
cURy5bD8eI9TFEtkoVB+WJj+qWw6pEdw9cwcoxMsXU1nWY+piR/qF5mYT30jr2ugg6UjM4iByh98
gKqf8X5ThPMjBFsnkcJARIDHGoEOZGVMkFkhsRV1xMdRVIIo/+LULhM9v3UNlyc9hWMLxX9UdZlD
Hx87NIdYwapH/FDszK6Fb4KoM5+YSEq3L5fYzk6xopWEd2k99zdpS9ku8toozmiUv3fAR2g8HQAt
yHCQy4OiQWt8psZ1Vqwmc1oELwG5F7PZlnWVS2Af5l2utCNtMAD4gqrz58M7pGwRG4OURD7xMz8u
sqMgSyik/TCskVm+mTUoKenGbEa0M9axExjWY9PT6oRkEIysx1KdB2CDuC6o1fjFQHhLBX7oCihv
sH7lRCUtB6D+U1e4GBy6Vac8RzGYbGWH36KcEPlURi1WGWNiLIYf5+0M53rizM5dmbEa9Td5ZYGV
KBStKW5cpJmagoi2bPRrKE5F+/z3bpLr6e93qcGNhqaOtjnpAWaLTAP9xhaDbuo0ar1Mz1PTNQwC
tU9VGkudwF/DrGzEQJlGT2s5adCkki9xFfb/trHIHsJphG8I7xAIxufbcGoUi0BClM9FZiqs4Qmr
F8HFMKvdbJ6JwGTdb8O+SZ/yxCxYUZsqbzRz5yiJMsgaAautXPnniN8q4gWLcrygKqi7f2+ut0zq
x/aikWxoaFKzmhTdp/1pEmNRwb8Rz2hqwTEHkQ76pL/ETjnmLACqsebmFJvyTb4u4diUCETh8abc
jEhz7MEeZkCK8mVRUVCK6qILkNpSraCj5KQq2bWVu+GS+xAKJ5ZEXUlmrTioi5vxqSm0y7r+Ypp+
SjiyUllkhdAUIY8kuVRvenu/DQBGJuUrVPofbRM+jwmWAxZl7QVB77qIO1EEZGkP5vfVE04QP6Pe
wXJSaQHiXmDMOmHVm34UX09o4/MqjgIGwQhqDRo5KxaST6MTDmqbB1FZPVYNs6heizZ1jHNdAxV0
Jtp+pjncYMiW+zya5tnGlqUZ6wgojD5a12G9BMquyY1kuW8UrPBOTmzJAGGiyJO5mPGasnvKVrgM
oXmwzeG6apJ0uV8yJDM5KGeZ3LRiWp8OKsHT8k2BsORy7+TTRN8hxDXz0i5qiMVnZeKHt7FsHAV1
H1ArUOkVqCku7zpo+I+eU0JYY98jeODOY6WQsUFXmXn6BP6yALaDN7g23BiiXLpj06QBhY0sb/Sc
ElWAik1osLk+FCj5GfcDdVIGme2ExBlDTUXrKzeaz0s4rU8+0NaoLNhU5t+Ykb8NDRHMRaiBH3hc
NPDPISkL1ebAN5ZJme2pNY8sFH+fXp9XIykxJOl0Mipl7/58RWD8LbQWMT6IpZeDcewNufzprZ2y
eQMfNK3HIBELg3DU+64Nz20WFsbp329DhrMfVkU0AOC0snFB66ZA9VnfZxFDXyuuld/nRpF3wuvK
3lReyzqqWY0iZM400P92GV8OrROy4lSRWeIE6nT6gCW2bY/IEnZ6WJ9BSbFuKKJmzuy1o2YN1x2+
dCTxzWWiAjdNKgrXqhEApTQCaixMdtKnw3U5REQX+yBJOznzB8MUFzr7PUAaqk9iGr5ifX3aO503
xpcun5qnFZwJPu4DsDSoSNYtiO6+UAlizabBDFsfFjluDYIsYxdp48SwnVJX8BJ2b5EtVRo5pEWf
jHpwE0yWHNJ6HS+gMOOKEjRLZL20qraps6Fq4+2C0CSzDk9WGVPDsMiZnbYGcO+LlU3/mIdGPcFE
B4yjiWXSgxD0Pi3VNe4VS5kU+h3kLcHc6qpQ3kCniF5O3bd5DKt/5t6CaJJTnLVSLilNVbPRKBGg
gDMNyDjfKuu0TZ8AO9jGLh6BG4KImcfSOgX1xLviSMhHnMPcajepYjdiUznNIODBsl/wuF+Mz09R
Jo+GgA35faYK5F/ivY+91U2QSLK+nO8oHsuVqkNGeLhesiUuXzrVSXVyKVjvLPe2jospBghKqdEh
k5Vn4bxeckvrwo0rFODmRKlwDLzRTgSjT2DznJDxU8CubY0xq+Tq1rNs7mK9GlnWOiISLhgjlcdX
nLE0miIPDZqi6+wI73aMGROZF0Bdm6/e20cuhekXIhGf5igatbJ4jE+Ww7ET7PmnUFcbF8OarVq5
HXKsq+rNe3irA14ZUvKg2KYUXy0Ln7YjeUnoN2jKsC0h7PP54AUwkBCymuzbttcYIR24FgYUez/t
YyQVwK91MCrlJHkkYqbBsyEoCFlY9GilsQGwcGlbLdiwTQDUmsWACTlcN1nJu6ZcYeLjn8lG9avb
wnqE6ovak9RoxBge3k7ghekkO0JJYo0Xd4bldK0CyOZOTDQhlvvU6r4u9UKA/Lgm8vByE1B1yssQ
//84UREOog2FMf1tFM0W2IauT5G8DUY1SE6WvhhQ0euosSSAmboilr9NU8f1Qc16gcJqRbSjnDUh
VvPnQR7ZwocHM4UvgKvV3Rj0hrVK7aLMfqC5tTTXeWnlzdOIPNJ4YQyaipyqkxSuWfk18WPbb8bR
dIYTKPVggsWTQ3E7CrXR3BX8E1fzk6nrm8ArJ6cG4hYVQ2NMiLunA5NhWJoRWa9JAWWVbBA3640b
K+tmI/TVSevHflu50k6U+C0Iu30X2URm+Hxn40JtGMSCXe1hkAXgZYEJW5vBtTGPNXNlWm5Hq9Tj
+97IwmAljA5s2sz5tJw9HEhbd+XG+pj66HqHO/SZkO8u1XFBNK5Q1a02apG+CZXWidR1laLmezeb
Q5gqdzAop+l26ibRnSuo+SpYSoFK+mE2ltXcLTZyZWTSy1KL2it3WrJ0C4k1mTZLaTg5BYa0FHrk
283S1s6zluMw9yPSq3LA+8bq5vrV7TsEuPwUAI6W7LqgqE1nxTnAzKxtkCupdXI1W0nT7WBVeptF
r5FTiI5WngAkNMb5IsqBIb1oTVtRHbPUzlLXRWFUlb3v3SCOsmNhTqBfUXIJu3E4QrALY8pgRj72
5jVqh6LeW4kRhc6GsYKpPcBD6CWNn2F9jkx5qBhWDRkkaJZk3o9hq0RgP+Kc3cZP3dFggR0oVpvf
0fO0zHbP4BjBtI2CsEU79RVRF+Kes3Am6wICrM1L9/5NJY5BqnpwUQwuJ4XU62eE/Fx9OCRWU4U6
jA8FcrwPJzrt7S2sKMClQI5BhI7UU+ADDcdQmGwqT1MwW4DNEzNyzfBiHquxsi+TQElGfJRToejV
Pu1n1xkurESYsevVritzEnaDZ3B6D4McLsyZYWQtLQUNmyX7nFW7jswzRcDgzY5aXOO2ewmuNnHA
dScsBOG6jEFoND5LlryleVAyVV9D4ZxjYN5VmjSIsHSqYhbf9VAvuF6eZGgG9iHYML/hHEzL6k4f
s4P4mhXJD+H+CVm8unZlTG9ELU/vV5FWCGuTRKNsMYFWMC9lG3XKTZHbcsk3hi6Ea+XiG88AWNAN
sLad2+S8r3p/1KiDBMUHJzb/sZe0AVfLIlwHbyBYyu7RKiPSzW9ahj9R5hWGm5BLUnqloSuUInUi
47WuOdDUG1zliLT80dFmG6SvA14L0igA2bq/7+DExQXtpUSwi6J+MbTp3ElsecsxPV0tNxYjiysI
flQ/B8okB5jVKLLnzRlTiOfMzWXTDAPAl5gt1qlH7mHAtoJn/PU8kgZYP5Nwi/ieOVWldZOaBkKZ
PnbPJIC8yo4AaKx/jZ5gaV0+0k4U+XBBN781Rs+oQa7/PcYFRG7Kr0RrpudCjRuKxO9Nrby//T+N
/P4+MgV6em6Dt+MGtEKJhmdAxRUoyLgQMw9d6yiXI9ajo1ar3nAAD1EaNt87qlwGoKhrTt5wqfaF
5s6BCQowGmbrws37klYa9DzjLXpFjg0vZ1cElBnRJJBBb4i1PN/M7FCtn933FiwrZhDr2vszRXrM
GQ0iOoxpCl69I0/n6nvXvg8PK0gz2gdcC7+BFE8mH34COso4DTVI2QQSRmTxzbmsVTu6W7Bh7/E+
UyIhm/d9IC099Efib13IT9FimMUjZzNbMLraLpK3/t6gyjIufFFmIOrttaKaRZrsF6TOpmobyowW
fn1xXzKn3SSUmQ+w9/VzPNh6/axZgP4xiEIQQD58MxDsXrTksuUH6oN8MYbQ4SUrVDkdQA3K+y8g
OUbjXZ+FGYwwTBL4XJTktVDs0na2te5MvI+VOGndzt7+anI3GRpuZ0JLlA9hByi5eFIhPxBvBw2I
ngqyuUmcgcqq0hWUfVH54eImnCiOTF1WkdvMSBiQsqGbon5vl6Gczj37K99L595KcMUlWJzmg3Db
bCp3nVGq4B8zF1WmwQtATnd7zdV63h91dcsLQSMl6bzu+XvOR5JopjpqpIpqcvnZCTRmQFJgbBKu
rkVhOdxbRQCID0WARY790WUpTzaTqHVWGKeJst5ZZ+hl8JYJkp7b7rF2bpbpQUX2jfUmzEoI8rtf
6eSky6Im2fTo7pdQWYwWZ+ldlUQ0x1a8zZm6dDIarEVNOljuRYT5SndXizECV41Oqnz0yQ1bmkhU
05LyRKhbt+baWlSNVa5rDNl8mJTLUUO+Sg7x9/yp06a4r3par8vn7eJY56VhgPP+OiYVqnhxtpBX
diFnFJhrRPFs5eeQPBveYc2aPMMOZt8yrt6TLItmZk2w6QvodfoeXg40bm95T70FHMvJGsI+SsmX
osfF0TfPOTtBIYaoxjk0Ty05nzpjjEnCh/AFWCqFhX6ddkKTwaWZOevJxutjIVMFOoqO5OITyQkz
z6Cr85QPI+FZoBzGoG2a+OSKRCYpy57t7txOA2F1VwZprBnfTUjXc7SBFmaiPkrqAtFD0MAccB+N
UGgcydkMXTp/UYyFp7KKXG4buRnINm/0BgLp6r0lk64kEy1iNRbDYVzMPLCv0qUflZuGYJqswlLV
rvXIesv4UsZqoQUSkFByGFWFwuLP8VJmqbKYeJXI2oVRUD1a7oz+zLMxZVZ2sqy6QhnA0Mu2U36O
MYz4YM2OBnYU4AX5b8V3Ms1uyM0YY9rdovSQhFAXzFlE0/VoE9vUP5AlGGr9oYVM0ajbJu0HyFeK
vrTp/WL0MD28nt1B0nw0rSSmRKfI7TVK2G4ueZ4D31RsSHEjlalp9etJ3vsSFA4JYt80xSwf6225
yaDlMtxcpPp5IfqXkzduc/mO4i17HyS6/J6poanBmhjO8o2BIDuRrzm5y9pGnAUVUzkkWgxOS4cQ
0zphospZ6ebyJ7+GLDElKxFYMvmj93y4XE4VRPInWCsIoeuN6lz2kR2OQAfUguy5MS+Bq++B+stZ
HiqLTAe21Il4MQjLun29qIxvQ6X+cCJvKe88jak0Pv66ECo8bGk1Q0W5eT+xQTlf7BSSSNUbV+n7
gpW+JxprR5PJaAWvAXmPjdUYxioP87oMvKi2euWmB2HPM3cjVbzhEOuhDOOwdOAa9pDJ2+rfJpzU
u2BcB2YvJ3mlyzIjEvFQfvSVHSw6xs5m1BZ5vo4SnCJQlHgrEJAHlote6lgyxDJaDVB+pAskm75I
fH060JPLYX1gBOP6bFvaH2nlqKOGQL5av4nK0uKuUYGamA1jyTJbK4acQSDd5ewa4lre+98TCjKP
+ltWW17ekoUTOGqmtCX6lGdt+qlUxtYmVfW+NEKal/OKcwAz6e+X+pRoYjYBMVS5Fikr/v6swouz
QO0EhJL/GSNqOpWlX1eBYVxI8ihP6lqR7NQ+hsh8UxqNQZf9Whz/fi8fUwgmqmZkhVDaBIEuBONc
/5hGCQahk75NwhsEF1nGYlOT8XjbIi8FopnQ+at2/vOCugsyGTV5F7EoHL4/XjCNGlXLcjW4rqeC
jSJM2fH39pyyzP2a2X9/wM9iTjwhuVt0ANE81jXKUZ8uOGWJERZdZl3/WjHGaJFJ+9kScCk2k9E6
A/o2MFuu+lHMySrvC7mei4alQYFDw370xR19HOm0uZTQw3MamX5M2CjVfWyC2VWV0Z5FfZ29T6qR
uI45Di87YF2PnSGmCyKjn5mZ4I3ljlgrkbwRJBDqfvGHmpP9xswFGgXexNKCsXRd1byd+RFop3gW
nCf98b2ehYiBXGb//hCfu5GOM1SBmwAAXDQQP6ee2HfrDurYcIraVK5My1sgVLUmnPRZcXrj+O+v
ZyKnocr/UH3/1Gb2RDSC0mN/+rXtTWFUSxY2K2vpofcR/qvUmqmS8pfKjkwMwVT9YzkQY0AmeoiT
0/u2RJAse8NGqk6si7aWG8bfH/Dj+kN+FvFiKf0NKIWyLV9/HBTjvEwxOg0ItRZKA0PSznNbPFoI
dXw5Bf+8FF2HsCyGDpz03z1pfytq5IGez31ohShsySrWYJIdYRzpdc7L35/qU22NTweh4VKMpxU5
B7CyfnysAmPwIJkq90VNSFP/mla6lcpQsRG5PE6OSKnkPpxzRH08hPs5BXoZoWjrdzAD7btkVFkE
v7ivd4jI/y74OGHAGmMpIo0pAQN/EDdUlXqRHUct6hi6GrVr3ZwkSqIHz92XP2FxU2j3S6Tox9b1
8mDhFOsh/thp+RlRBNCgEAxpRUbqqBvkRNTLPDDDsNzNxCxmeQqmONWmGXAspbCHtkZ5MVw3iW4U
9TrP+kXvfLVUrRblgcYkBXgUk1YK69J9rzOmCMYqAC/Rxqmn8zSMBoRkCL6sGBSqmgAh2XEAsmPw
c0pSMUR+BU74PsjpmL6HO5wc/oe581iOHEuz9Lv0HmnQYtEbCFd0SicZJDcwqoAGLsSFevr5kFHV
k1lllTVls+ltRpJ0AVz84pzvuDzE7N+P118tUPH7pzmlRFdYAS3rVp5Mo65QaDfwXcqbWpd83JR+
tnRujL7cikzlV80lWNryvakCAyrRd/1Qaatf952HZNoWTonS9++jGNAFvIy/FVi/V3Zs/GBCQi1z
t+LCaUcmXvQ8ha1HwNz4k1VBt0M2EVsUTIjlXPX0eewZyrx8MijHPePGXgbPFMfcBprFkKIfO+a/
W9YETYA3Lb3RhmkhK8bBTIZwZ1YQeAe3QZongVWrld9u8Dv9zms9ATYmabHQt4/W4o1r88geZNu0
UZuqun3TYLBu7MdMMAVPkFWbyBx2adcCng4qjWL450JL3LsnywZ586ZZEGLcG8Z5sQA75OXAWfO6
VxDSCg60eSB3KWXHH9XNwncbTrMO+MBXFSYmY0DJqJFbsphLPJ0Lrx/6FTNgPmV0+fCO2NdmKbwU
E/rI9GGrVbGkYWxufCC/cuqqe6mZCKH9dX+tAv92Rrbs6RP77MJjpBGq09LWUfP/qv8YyG/161IP
28Pw16VR/l6l1tiDaCU7D6UOCtJOtStSwPqkcXgZelHo/lQoo/fIw6VxL6L2lHJXZVZi+WmSTBdr
yawcjMsU7zNzNA6ZahBB1s3jgQlL8+B0th7M+I1vnGwoVWbZY/cYc1EfzMTCfMjdl37knShfEjVr
wtnTYOS5pTHsacIZdem1BUBLfYMhRtziJOwzJjgROmaa8u2qSkf0CekqeZPJ2zUvBzWiW0AWu6hG
yRVrV5+pkBfsPuKqM5UEB2A/RFbPaByBTHIYG+mFqTe5aEDTFr2ByL6yvo1JMsMDvJgYOK3Ya0/4
s6vdEtdsp2FRgf8oXKzlZl47u4lfeXTpEz+6uZF79BjxVwvUY3NulauPTcDapbnaXITJzsAvGR31
IPma5GmaV/e9VGqLEYOsHidXzyJVH9QTlpcUwa2iGGeT8eGug3v73edOfM9QM0NHNRjel8YKij5L
E9rDqOdpthNLrURaXw0P/WgyCOEoCPtlliej7xbcE9WEpczx4tR9gdPpLUeUEfKz180cMa0UA+1X
VqWLPyLY/XYHy6lCJVa6U+UhkwhNbcjv5xFwEzxnYDT9oLVIbNPmXc17cZ4dU73qbW27QmNr2+0m
4wSZTs7XoABGcHiNcsoKI9VDl9PvCxbEBpFbXQ2aEnrH10m003erKJuNXVvf+z5HH02YIbLGde25
ctMSWz9Krk6GYp2K+WTLpCXPTxMZfByHg5hWLxhxShon/IylOHVz2+10IfUrC1IgXnjr2ZqWT1XG
8Y2pcfuMvSROx2lVfLdzNTqhtTRGZDpDfSNSE9eCAEiZA7YdEvhEBdqMIsAwbcFekIb5zsYc36Ze
1vuGAYavq9VwP2t1cd+nywBSaxiSpxYuz0s3C1TF7SznINY6vCg5r49NsMsskBtvTtfAnN2JdN4+
LYN6HfP3vBKrz/Kpeq4bBNtCjNq9x3LjiPHbDWSnxiczq8333rXnc84eYmQdYkr+KGFhsVRaOmWZ
nG1XAdFYaoX33ikUW7ijQVT6Vt63d/ZkF6QWtrYdeKD/DoPWpHfoh9CcTGn3pDe12I9yBn8pRvu9
M+KnicLyaW2r1d23wlz8vK2S74UPZJ8ODhETlKfLZeg8K/Y7s2WTXCR4fInkOUK5ARhBfayRttZ7
T149eB/GLIzHvIubD3yI67fkAg9HnPXXJoKHvcqTImzndrhQ9yq+NdXjWen64m2FxbM3Si1GMcaY
+yZdVJNn2cyJpOaZy5zKKuwDrDa8Cj0pdwXxDU9ozgxe/6ifNJUIwdw2+lfmhe2dV6eQtJbSu0Dq
XK+SPm+j2eHIpT2vspvaVIdTJ83priZB87FzXfPTKEYOB71dxhtzqbh5mLXdasYgr+DGTscMqF3D
PMmt97FdoVtvbZSfjGO846p08TmO0+5+1d30yWWk89qu7vDIA58ENqVzrldNGdBW2dmu9GLrzOZd
M4Kh8nACrUttcL139W5NlOauYDVwB4MKmwmKFXXXTXn7KgYJdD621vXceSaGLYaCTC2q5jExQKdy
ZldzZDgFwYLsIoNRrOatOyYGG4NO+VJiHW3cebHMNfOCZfPlu+QqMWp3z4VljM4QqWC1SmJzPRGf
wTIkd0x/SpgPS/1cks/MzyQMoDPtua+oYHLp5DezlyMLtYSW4ZcV+ptUYgmyIp3UayRI8inTx7Hd
pzqkosBLNefKjJsOxoFa1d6pSl2BfYZ8F3JAU9ACHgQ4P18HDz+CEdc3xF+p2tWitA6fta1OQ3du
vZEFlDZ3cKFq0shvjdlE5V97mQhATqRg8TzRPeRJNlYw45slvaqyoslCpastlJpxrCl7Z+z79QEr
eCfT/VZ6qKFHuFYJm2cUIFKKU8GsoCsDDeY0vptKxuM1Uxz8fIbUksfJWZslgFltn5ERxlo4QVIr
rgYGBMOzldGVgmFROjFYEFHUpEbuRESj7ZxIBlDr/HE1llgfN5CB6smTzmGnHl2TTcW+LZcaGO7Y
W/LiKZjWUQYlpdf5nRInZREopK5dMrCstq+nZnlPAqiy7ica4DxQnVZXz5OXz1j5O/YL107JcRoi
3FvDhonbKQfKFNiaU5wGZZn7/LZcFNtbDT7+WgWcxfyoKjb1mNCt6nYYzNwdwgWaFXxioIQN94PL
2jWQ2gJww9RkmZ4LgkQIi6wZPwfrMG/+tWphIeXIvDjUGby/KJms6brIGN+G+ZzNByMxNfy3rpo6
jOpAMh5BKYG3EtLCD69PbOXtAQCgAsfLCao8NnvfMQuDESGzxGdwRN3X6FGaGJ1Y9H3TxNoGRkp1
CYzOnqElBmgGkMhNvpPaD4sC5ZTCTLpLRmgnCxf+h0aFAJ99cgi1Lm5IOIIAClt4bVFREaiSRkKf
G8u61pTRlk8smSsyN1vQhMk4vq1rmsA7EG+JJ6CG0yZUlwnNSQQop9urPDxUDgm7Yy3nrFflopc3
nQEAbkw7oBWtAM7lIB8VEISt6tLVpR12nb340s1MztdxqD5hN687pwG+0iZzfM3m0wVUMfdTG648
bMw7r0+Ni4OwCaTRyAyK64ELxkenN31pjcAr2ALsjHrHSc59UzcX2fZDEoEqGuMj0+zE8ZVq9o4V
QZOhXrcluODYutQF+R/eAFABbKRyrRezeaULlqlN0rNU92iLQl2Px/daOnK/zmT/+qrDQzhUISL2
kdDs5gZd44Skspti3+sndQ7aArqhafdgPzytitG2ItSU4I14c9HC8P2ykmH8FbOP32I2iffsuCmJ
HVkKXFlS5+Gf2UUZZsRVfvES4geeOtlOkuAcyFqkz3mWaG9MBOcdYiJv36hetXOEk98pudoFY2Wn
L2pdPZUkeLM9NOudo8f5awPgsvFhYjSvAJ27k9SNePbjbs7dIGNoe4qFzptOVCbv2Yztn2CF25y2
5DROWvZZpIbzVsSJ9lJoxnQe2SiHlmhBVzPKfmYpoEPn81bIQ0auttd2TPRxgeJgs3BK89MstiZ9
qavtqT3r/Uczbj740s5Y0DLkbuxjbdVZE/RdNmNbLdeGIaYDxjUwYIfWPhy73ILE0+sfKbyywtfh
L9Z+XjpQzAp+b8BYjmsiXYR1rGypOyEt/Fh21FpFcqpEM/wQdG1pUAhicd548E44CBV3Gg/KUNjh
IHLlkLWW/rTpGXbaOhYEBQMju7WsOf+Qoyt4PNB57hoZo9JqYss4s1LsrsSC2MWH3aR357mX4qPQ
hzkLesafMLbHcv4choV7hZuSPk0KpqtfI9u00WdTOEZ1PhonhucAWKZsXinmkbN+YyQf413lpFhv
F/o3yJZWDDSFUBwrUtoKLbK6jtbz0JflqyPgcRW90YelqrTqjZwc7cLWz/VQK1HD+fYwpfDuKKpO
nH415NE2xQzazh6lJ+oSpbkx0klTAhlvCsGlUmHWdTCkIJeAtAPqZKZVmpvFuEtGmxUPEIa8oEjr
oq2NxUsLtpHwZsuo4/Wl7mVd3OqA0vqQriIuONLgVYMZ6zSZlMteUfW8Nm9taWBuK7Q2M95L5KxK
HYwK2V+wmLu6mNVr6OF248EL5s4UkAjTqpeBwwMXwELKXs3FMI3K3FzCelziqrha3JiRTgDB29PE
XTluMBB/Rn7uyV0nRZu9JElhNkk4cauw3sElZBANMs5tQ7JMQq1WH2Uqlepn3/bzCP0WXVZVR1bL
DvASqzo7ob1AwDXUYbeYiprf5VIUfA+mgoxLguCV7CZG5Pe8/e9K8RyVz7HP6yX0iEi2XqzO0tPL
ryGyIrZFyFB628iWtINZkM2JhYhVMOc48wvuw9X5gqWmzsBSKmXlfmu13steJaEqCowQlwEcSF7i
lSabRwTH8fAsUwYKLnnmizrfqBCwFrBISS/bYg+sSOfb4pGXN/kHTKx6rEKrHORSXxmSt7f6WYP6
gxQ/qzeq+GIMlshsoMqwfIyTKmW7NOijsoEah94haXdCuDnnsTI0YYE66lpHZEbpLjxOzMXLKKJc
c58NTrUsgukwbCPgqUi9ZDmZBBXMZgYPbEIJ5DE7qBv3vFL6uVGslHbMdm6EiYvB3Gw9M3Jg3JgQ
97rqWbiyfII/25PfDhbL9U3JvROhgqm+VGIB4VZaatoVUWP3XhqORFs7uML1lqXoakuSqVD/n7ws
Ge/Inh0PzKezc6PGRlDotrzOtWWBq29UiMhGjwW1UMpLDiTYObaUcL8D9BcT0vJU1PtuUFFXzu4G
wUXaXXyJVY1xEHdmBUeI5ygGV2NdHnrSEmcKBKWMqEDpEONcWFhxbROAbEzo3YeyxvMCgQgil/ZA
hl9BujHwpc+O1AUysvOR1qBelZFupMvxfFNOdPjvU6sYvxJl3iYuVNR6HYBKT3b4x8ZY2REI7yIa
0luvDmLVbJrIXNT+oJEx/UrQtcnA0on1BE7zqmcWHaqz9DeVawNn0FVLDi9IMpBz+J1A/RegNWkJ
bpeajt6J4dZNQudd+WZLHX49swicgfwUpCsXdnlSkr5BYi8tTB9o/sCFtZioZR+6teWxKlOGdI+f
gi8GpJXiA1pqoTmWbR5IBmYfK0IKro3Yu5eK2vA+V/hompjvFr7s0PRiF1Ihmo9vBVEVw8NcJGeF
Y7h/o7mc0nsnr7qt6jL07EAFY586IoWzD45IY9kbo5k/NJMRXyPfTL6STuOTd6d1RkYXSyYj65rB
pM3U6cmdLXk3daTC3wjsdWytnarhNHUqTBTAyB80xofEA+TNdNQYWmQhdNrsx2SY+ButojcPtZnn
yCY769LGSbMb9Fp9sbteI/gGfWRK3hPOgX5dfHxZsDUxqWWhLvsRs1lZI9z3Ns7+MbE7VHN9vSJT
BaI683I9IFNTRzeMn91Z9B2bK/a/gEKyPkxGA/AalU/MFGYQDrJHI+lbioJ66a8NKeQ50bXRDVUr
Ec4OgYZ4nGZnQA091LxLVArOm9lBL/crCvDbVtkq3t413dqnpl6wtxexh0ymaEnl5IGeowhjXHK3
guKHmGQLYUfFiPAvNMBtRyspwEwoLGR+yFkqQWSY+Dn1KdSCuJ8JKLWWV4fTYoS7DNsxLNvRfeit
bgAbr1gWVAG0Riej0ptro4z1KzctCwf5UryAGdBi70pRUv1jKbPiNCuiv0NDmAdo0/R33DqyZv8B
hjDIrB6vuzOZ2RLKacl7v+zcAa5Hmrkl529nlFe5pi/WDrix9axAlZ5vmFxBzEVgUi1+KSrtNfNQ
YvgVApGbBuWLGjmTBWhy9XTcFm2sWlVUaXn6WFhzNwU8N6nqqM/DdMPebZ+bfTsZE2NoQ2/iG7DG
xkuL+gNQkSxfjb5qXrqhafwU3NmDg9ITAdcGG4M/9Zookwonq5+hn1F5bPx/PN7MXd7qRCrHLuem
DruscG4HOTSnwSIuiI68ODMXcA5KrLogVZitchkk9ofQV4NQZ7V/GLtFPxZ9M+hBPrrTVq2pFZKe
mhGP0/fuARJ+bYerp1A4VZk372tLH8sHXLwZCLa1h8jRmyZsO0tGlC/aVQ0WDc3ipL2k8TK/ePGg
+aKX4FhZGEUVmLWfyJ1BCVjm8ORS7u81M9Y+GpTxLyo/AsBj3vIdDOUFL5B7PSM+2Itx4K5z5TvC
6eFOSHWJfXdoVI37YIV9pkBb6zQTMM28djVtBjAo10E0w0+fp1bvfuQMO0Jyu9nPNxke+xkq5LPi
luYlTw2zws/OxyhErbGiQwFaGMbnIpn+k9MpmAcRYSkpZ8eQ3Tzuqhc62qYSD53ZN6Z1O+Rpyynf
u+6mmepafNmIF+Ylr1p2DSxCm1tzQeKz7CcdD4keGo06DzCsZFrl6xGB+TI8EdUwWZ9WbTbFIW/c
Cq5hbHYqieHuCDO34/AqUNmwa2MPlgMjtNUQQaC2Uja66gJUorA7dT7KZWaK6dv6bO1Ms57cN7uu
Bw4VkLnlXHKOkZNihdR56CfgbdhJgtDGRPuFTJoyHrXXgkebmwZ5PYzCBah68622yuL0IYtWBIRR
L6alSNmkZkmBiol02k3czjXYsgZJ8mRV2/vRAIKX7TJjtrvuGZJyDGiMBbFL34eVKZvzmzxvetmE
PWR7W4tUYci+hcOxjtri81tEtgRTY1KS+SuhLu14iLFvkizOxHp7J6adqB60n2QenfaHVJJVByUS
uwX/hkbfsecrZehpmK/ypYdZSjiF5zrj7q/Xc3/ekLM1RAECimnTHLAmx535560hozJ3UHEvfFeN
2LxN4y+Ni2HVHYvy3klNqJ3DqM4KBowsZ0X3b17An9fb2wtAKIB512MBjAz9H9FfmbXgjUoy56v4
9QKqX8qTqvBKrjilYS/2a1P6H2HA/hWE4U+khv8HmMO/xIn9b8SA2bgs/gID9l4OrO6/6yEbluPX
f/8XGYR/p4Bp5m8W4QfYnNEFsLJxuUz+BnEwf+O6wSIEqAH3At/h/0AcDPs3dVtH497AV4lHGs8U
y9oh/e//MqzfCDLjya5Zlu7gc3H/EwoYf4qr9P9umPn9WxwefmLHpRzCwrld5X/Ys6sTVo+kgHtu
GcB7XCfSJzOUVkyHLe+JWA+y5X0wjDutfF/TO1c+yWY/EJWI9vdelcAsc3jS+bkayAjoLwR3ojU/
dOoztqiDgWwzY9bMmUkuSBnG68HVmCIPNBwvqyDLJQ+2Pz2JR33eD3CfxitFfDZp6LEUWg7Jkz3f
q+Xe6bjeaC4dII71cUha34DloEu4PXHYNIe1LfcQkoDfMaDtTg3/yeFJY2dscIhIAGbI6UZ4y3dZ
5WFn4Rjt70SCVtz8Nps7m8Iua7vLCD+zED/XCeaL90IUn69VyInj5XZQl6PCao5JHUlSh84yrokU
2WVK58/Vi1t8OBb20yZhz2Jv/H/fziD2xwFS4KhbjEAtPnUBp926qDFJPeM7s/Zny03Qak47KgkI
z1NzqOJnb6x3miCmpEmvkhZ4kpEwESb1pRn5EIfdBNa7SYwIWjk2HHGYcFRo8895AjKaImK/X7I3
sz2O6eybzatMrlLorJbDNrxgxNjdVPCbDC+JYkx0U/zJfqeiHrf0Q6l+a+unuz4q3rsG2hWPeaRV
koytD2jp/pBkd+zgHlGGR4VzsDpUAvhM1B4km/OiZuuRUXZAmxrBkaAZI15o7OE77+MmRalHwaKF
G6s1WTGnJPJ23sBJJu1BP+8KQwtkauwXEmRokbdBRITO+wZYpg9IWNObSC2nKE1xtHKSam5Litp7
XSZYq7h0YNirV9OYnjaVRL4SpCiB1y3ZlaBPW5sLpe2cf9WmG6AbDWpnClkzzq7pd92bOlN4Nyyv
LAo96kQFVM7EWoEBsm9bZVQ7SbApBGp+FcX00e45VVX2vTWeO+dsV+MVliIfly8FOZZJ91YMFrFt
EaNKv9bLEzPdcXzdpqJVeV0C+pYpr4E7YfuLifWmSYlfmV19/UrUBB8TV6pxzLNPZ54i0WGXMeaw
5W5zBfATht0jlKE1ZY4dMxA2FdLMDAZ466FOB7+iOp+Qxq6wN7NhDmvjsyqyQ11NDE8ZSSAnDhgT
7HBCQuGipXJ4cjt3PKQDRWXGdxHFfFvF4R9OwrtfJ8kfKSS/Ezz+6YCx0PfquJQRFW5PsT8cMAYO
fS8dMskM72cGaq6vnshj9SfS7WGBrfpdYhiM5rRw7dyz2ebHxakijewJsc47JZ72DXFdsy12o0EE
S2L7iYmKBYGzR0OlYPHQPuoZT6W/uuHwneoA7vgZ9rwa6RvmUoZqs5tyRnaF5+vjVZM+rJgQ0QnQ
5gSLq/nIin1UTHQrukGXpT57SkN2LF/9iEUdlPLcEgJ8ts0vCPIs2JQru7+CGBCS9pSn7wZegwW9
Z7FXpseSF1G7fQAS0rexHaQP1bDgONn/9Yeq8Tj551P7Dx/qPyiWpLNURUOD5K/lE3kld2aTE7JQ
IErHRFq/LUILtqbT4UPZawtzu/bf5fxCm/znlwA3w/6dYGnylPrz91qPCuPUnrFpoTmRYbMsYNo6
h0l/V6Zhbn+wfCHWdEvGs7oIlp2lP5jMfZWX1jki8S4ojTmX9Gc1O3PXK8txtq4Sd196uN0yX7UP
QiX/Tt7+9Se3fTD/cDV6qq5yLW6v/J+4RcRtOOw0S+l33gdhuSip7GB1zkux/pvr/s8W+d+fq/wh
A8WqjupG8/7xG0pkKVXiTX3uMpKaGF5WSeDO+8w9EFTw12/ql5LxT29Lo0gA7gvtFTWQplNk/PEm
m9ytyoxTrI7K2a3tByfWjlk/HRISYkd7DGtzDeEi+FpuvEyi5Plr7DViapuIjCPyka9LxyEgCuBm
sRCR3GOfKMpdkuNPLqsfaqKECc/5VLF5dlYHTB2XPKkYfDyn3LxTNnyxhIw4/2EmwwofIWxupznS
HJHcTP2nZuLntpa7VQt7d7qmMTjNt6Z637oyMmD7Jct9l2roQqzQs38ulhF0hhck3JiKU/huztCW
eQ069QBxxdtYGUf6KGD0g89Ay59owZDkHfTkuYQWKNOWDU0SKqlyACGfrz8r5Q4J76lL926P/8sl
qCeew2G80UidQ8+TVHqYaRq1ComPLUV7/Ej0V0bqljUgdbxvjIVTXeymrPc1BwQ6H4PzSubGbhI/
FOt5eww7XbG3oA6atm+0KOqq9eARmTiaF+HQUjFdWtTraQZ9uHxp6rlw6RARhKXK45LDGSi/cNif
1Cqyc7jicvQL76erfTl8BIbKCiALpvpd4h9JnVtHe8ir23E4SPVYDA8jTw57XPnqfyQEYagkGfIE
qJofKCfD1t1CILJQKiLo9fOkhdC8GSVAYEWfULqShLVlz9o2RMwd2NytJkXb4J6KZN6A8Zyei6/Y
TDWA6Jn4Q2wcmuvst6txJH/q0S0H+jCoCeiyQnOcwhLnPWPesB/yIEffwps3IG95PNpWKbmkPvWW
+77UrlaWrsgEvOyQdvukZBARa3tn+aSnDnMKHoP7pIG8lPDso5OyknOZeGFjQr+kNuPPEdgeeZ15
zEe2cd1z4aynCRZ7v6+NfZ9apLkwl2WrGid4LtqDY9/Ry3OUO4ftkWpMOZCfPBQUMgrJqSoLiZJe
0bNvLBZ2EjJmEcW4ULR82HPp7QjHqPQXVIU+A/VQyOTAhn6fIIkbLbLUKB6X9ESXerTY9U9ERBZs
UFM0iF1MUnT/QJN6KY2n0RqvDVP6sDxOmtjHyZOb1tiyDL9PCAFlzuvCKNUzJEkPBe/EVe7SWAs0
ed/KT1QaVF9TMKq5b6qncaEkIKF0QtHl9qfeQ0RIFatXP+VkU4/YkdvoD7XZRSXgJPaTgS5+NurB
Hh4E4pvcYDXS+aTF+JMJubLYQq3QWWFPVYlFAfPXNPox9e4o/yb3eyWdy02p6zxc1jwitefWvZWW
RpbVwaDiqgwe4pXHg1p5tLIfcn5EnH0k3wjZI3kFrNrXMcH9iMxQv41VJXJEd5D9J53qvjdfgIhA
9E9JkphOaZxctpJyyvtIenVU9aOPjGCXis+6/yEKcdCpNZfi1rTV3SBf1Sx9AiQU4r1HZU4gqukb
PeOva6LFEvcZwYa/dmmQJT91QalpLYGaOQHJd64LJLzeLRSk5DT5jUVvUdkBk1Eu1buy4H6ZuVaW
h5Vy1JU/HP064Zjtxx8x2j4z47rUSDIw1wihXFC7c7joZEOeeiUSFvf8KMO0OdbQU2Nl2Bn6nXYo
UhmaZqSnzwjmT0nPGdsUzx5pylNcBm5mRVsrgUDllg13ZLfLzqjXfVuRf1kPkbGwd5DYa1JiRssM
6AACzbi/bTU3SOz5kKOXKe2j0VG32MQe29zGgG+7ZedV7ZFvCxLQs8yftPpnTa2kEGJp2WUII+sY
I7XI8ueeLRac+DC/lPOXRdvTkm85V4I//aAoWIWX9URclm/FggiI7l7pH9piPcY6Na9DZFJHBm12
AAsVaiToJiSm6vXirwbZdfWFR0OPeq4cykd1uoJDsF/L40hyqPKusVHZXsrQDKGm3JG3FDr0Kwkk
DLvjlTYYWy2SH6zPabICV+O2JejL4GoFS7nMIsLKgRVG2XEhIYJFGUjyg+Q5VNDZul0ZMYz2deeH
tVzAxYRuX7I5aU65+6UNoGndE0FRVzzY9wnA6BTscRs4H+56Ir1mMkFyWtdAtK/i4alQD3KCI9rt
iVgfVax5PDaHc0uWmnDqo2XeKtZ+Bi003XcKGoZDQgw40rcB+fQFUWMbH0qqAlcj40SE+kDmneod
eoDCvfLdzy8xvRe1j2fBSi6wS+hXorD83N5P7dtaP+Ma9kWFubPL3xRI/qPVvmFkCWJJUuhz27Bw
IcmN6n7Xz48dIolsoZHgovXUGbEZgpdEDeR8W2zg+okVq0iCRTg3rM6DYcKzl7L+GZs3NzsUox6y
B7gapjwqSeGlhy2iRJ0fteYISWQsXkfnTdOJdOjswNR+VvBCl3Un8iZcUsMvZ65TcOJp7ENeohZE
Wf02j11QrDsguYTkMRiDUIRoMI5cF7lih2KYfEWV6aPDAV5wEgkSKe9XvrB8/V3iE4KF8nUu1Vlu
QQ2HUth+PoazxkOGTb1LrlcLzxfaAlvjU8dhaol9RQbtqJHDbd7r0D9mN+VmKfZFR/Kwu9nelR8t
R/3UENRBe5WKy9yf2X+yyh59jHpnrbz0PJUHIphYNkWe80Jzf2OQ3Va3T/H8rSjLDTvUowLGWicI
a+mLn2pmEdhGHkx6rL2IqQRfzCtUG3/wvKjOuPHKORjU+tpjdRjPHMSFRLlLO/84GUOAhIbxgozY
7+4aLmu0Kn43W8H2/t2F/iglf9ZELKECvWqTvUR/lSGkWMBou2txWjtu6wF/8xhH+axENokoNUpW
DI/oqCo+H3WNo46LPSfya+bTNXiHFnvYdq2vdV1EdppGJY8Y7I6+MvI8R8zaeFVYqwfm16dBNf1C
LAC1yTgoqeSaq7Hm4dsEZWFSnECuJcu2Yi+tcC+nzFWG+GeLGqvXy0Nax6Hl3M3eSdid78KSyAre
ixFU5rpPTIVs04pL39rDjwPIxSS4Ws8GHb8S59+jagUjyatFJfYdjG+zR96tujfpVqUY/W2ezU+G
UMPMRCWJBrrHfU2AqK2Ka+bdIXgYmnZW2PJ5jitE1Tn5plyp0L0VEpzz+aYkAsgtqmsivaqC8qPq
IoLDoIHX73re3kh8+DrYL79Kh7AYKSTkFyKycGQNKkeN3V2yw65Ku4pLvr1blyzqqxwB53r0KERT
j4Y+iRy7+jKcdDdy7Le1xtDlrZ9ncml7v+B7bEorjB2eDpXGnprqk8/ItSpUEzsO40G9MtQ1nJUZ
pWS2M+3Xyr1IdgckP3HQvnA1oyXVFnVvEvuWD2m4xUgi2URV8gY/hMqzOpgLrTLhSVPz3Onrrjb4
vpuntX6iKdBFv1NXVgnlyhm268R7UgJaHq8JKHpJuuIkTXKl8pfEfamQGCvTuJ+Wa2NGuotJ/Za9
0c0EnXwd2j00lf2WKGKWp5HSqaqzh98boP9oLv3/M3L+0+z6Xw24/zfOpR3ayn89l775HtLvrnyv
v/o/Tae3n/p7RoWuOx542F/eQ1rIv0+njd8IFMGAtDXLmsOOgbnN3xDDlvGbtf0LP2haoEw1/X+m
05ZKfIWB2Z5xNsNtyzP/o+k0v+iP3TpuLBPUsOO5EB34depmUv3D7EhDkzkjlGPCIgBILb3FzHdg
GosyOW7JESgGm0eviTuCdUu6ec/zKgLrxUxz0jdx+ywZP076CdG697qiH/3RznM5BdbACnC31v+H
vfNYrhzZsuy/9LhQBgccatCTK6k1gxExgZEhAIeGQ+Pra4HZXUVe0ngte9yWb5BpzyIgrsPFOXuv
HafL+SIIH6Td6dOgMvt1wZFl9+atf1IDe++l9ZbHcHgZFNf9BYZlHZRKTDn5NQQen5PsDHHM7mly
mxHaTztqw02T5TXh6jI+GYyAWN7ZNNdfX99eLvCmPPDPDfim5dIzwEt2CMSaJE1LYEogzSGvXujE
TC/bAd0h+T5tAkPS7rBtI588q1LfOPHIvd3EkXGfuRQ9iwrw/aw9CsczJ7u4uUYsV19bkC/3g66D
feU3+pSOoZDbEuk6FKcKFpJpG2sFPPBH0uFPvZRaJO568lj5HZRpZ/+86nzujzyqOOjKLY8K7IHm
iedIegzyoNxYRJ7Zewg+sSWn1V3aIFohEBYQ9TxXgbsjKm68GvwAZW86+n5P0XpkA5ZiNFpnfhA/
LSrsZ0+HLErmCG6DJI5o4OgSOZ1jcFxKGHFf/zrCPGjkcc/0OQPhQlC28AAfsj2RjvSZQIUBq6vO
roQY/7RpNVNLt+U2QMJ1DjYB4D0CaWuU84mX069vo9Z5mfKeQoA9FhkyaNZLMcb1fkEQVWTOB925
TMXwOKN1+BU11USW8KxprU46rx/lXHD+T4LhDE1ft7Pdwrzxp3KXhIXc8zPWOyNv3Q16FOrhKq1f
0rHVl6Bp9VNq2dPf0g6Muxo+zpmn0NuFCEqvKtBjSwApJ7t+JCwdicB5NTbeNb4jH7vOUKDr7YPf
ZTg/6tSfv5VdXTyVcVF8g0MA4p7YTQhcWX2uIg5uIfqzGxQj2VI/KYnlSvPxjFXavaqmqrks56K4
1hYcUY1D/MnWVnjhiHkkIiW98/q5uQohbKeb0surXaqz4d62jSTdxEZ4Wo9OjpNnWfK9fhoukSNe
+BadgaiZ1dWYNNdktO1G7RC4gjUh6MwfVlXHFI58hOPspihnFIbVbmUWmLdCgQ9kb9C7+3F0ok0+
+gnHxKjauL0y12FA7gbEMaCQtaYmAd3jyZ8MDspuj23Ca9JtanZndVqLnR6J7D4yvg6nH8TtgDKx
c0s61XweB9NP5UZg/ZyJPAe/R83h4nRdY2PDvkBXSv/t4IWeTK0wNkgdp+uBXtHl5HpPrYHhEpkH
UhFK4IYrNoLgtI1LoHRGgLk66Zev38JIsJmIMzripT405ZrcNSHsFDNdgHYS/+v7ub/we1AA8DXX
0ODNDVoKihMItpjUp+BkZAR5uer/CDKo91mETN6MpmYTZCr88fXrO5xQlvuQdNjBLkNRdw/nztE2
ynj26BX0Y18/BJgIN4lXq03cTWKHG8F9kJVoj/1mH6/KYkGDH9YEWdLA/N4/vQnFyDK6waBBZ8X9
Nu6H+rskEvMXND9OEG4O5GjvJGzV0rQM9osGiSrb2HXhj75GrNjGgfxRd01zgTfTXVW28M/dGpKc
mXO8+/oNue5BL8CETs2OACQGHFY0q8v+4u06rQfPh0WpCaKhg7l2Ou+am39BnU11OCXQcB/ExMFo
8uLQ2Dk0kHv3HFcDMkSYifEaD62gcGU9V5J+rKMyfZVak8ex31J7OEbYUGSoXwobzTbWsLO+x/eX
OcWTPdUkUoiaaFmcTvdQGonwqHNz72XyURsR5c7ZDyc8qYXYhFHl3+swpoY4RGLVUG8o1osH7Mo3
+Y+1FVA/EI0h90GUXYwxCbiGpJQ3TpQ357rvnhrL7rehpCDmkMEMUyg04TyGLjFW8Nl/qsCbzkrX
J+i7TPS2ISB+R6aontcRB5idMdTufTNRfjPAIe7TvGFLrFy9DcyClZkAwB8Oh6SYqFD+8jkR7ndw
HzS2yDCk2jcRXFwY9FfXoCnP9GDpG2RyzW1LwvNv8rQFsJ05vTIrC6ZhKPsZF1I3zuAYUMdHpUEw
1Fjbl7Fj3ZZNMuwry66+uyGt+SiMnCsHfCieAts6i3CMbhM2f6djksETKolDGUsLET452GeNq+cz
nbn9PqeTfJ1XPT4x14woyRJzsDiJAVSf0BaRL02NuKeN3Nmnj0PX2sE5Xe46u1J7OJnDSiNMwE5s
NCdj409b6G0qXLiQ1bOIygoZbbv2zTk5zSPVXWHWdTe+CjEOtv6p76p2h9rpO8me9rldx9/cKCHv
WwfENfXq0p/YKdY51lVzKJqrzHDKCzk3Lb66OSCUx8v2BWJdan9ZSRdojKqSSlLH7+yU/mXrg2uc
MqqHZevjNKPv0KdFdun1RYoZsnL21MhuAOj8jBtF4qieS9znoKxWVU/FJK4zd9uEiWbIW/tEzNWm
ScLvUWqXtwOSp+vMnRZZaTo/hkjNv7GNtk7LKLHPzSg9te3Xnl3crmM/nR7yOkPnm1XVXTuN6flY
+NMaX9JTwZl67VJuuIHlOd30gaHOjMKXJ1Rgwwd8tPsw6wd6MK3vbXq/i7i3LheruPdRDGdBs0lU
MdCuG9uf/IbDfea0P0NOyWdBO1o3PWqmCweCAOZuy/teg8tbJZZb7lyXFnEeGXiUuuzPZEzGPicK
EZzgiNWO9mhmnc110OxAfYdrN6E6DRrxTymRwVJo8BQ+FgqjWEMfwgLxmorm+rIz2Z3uUNEbty0f
zC1ayfSF4OBL4ctxq6Uuf7EXg8eMMJYR5Lv+Gdo9GoqxAw3S1923orbuUQTLMzIqTYBTNodmy2Eg
g9pNKPtVHNTzzplOMn6AK7B08lkw6T8ZbpuflMw9j+DIquuqsRBjouXcznYyXTR2ROAu8BAv2VMW
IAUIqOKiLVUxwo3ao3jaIh/VdGvi8LsBJnZH5rD6oyEL51hS8uJSAcFEZi+H0yyitsgYq18oqf0i
NJmQHm35UOinCd1K4O7xrkwoCqL2XIHVv24s7Zx7zrhEs89PtnL/4tuqqSI0e5bGAAcDwHGRJDdW
1uXrPBgJqCMHet8hWXvGVnRSBnRVzGrUJ+xmUu+bFyx6kD6gGsX+SA3fPKurbfQMVBo5nAu4Lkba
XhNrGf2CYEZFR9IzrJqBqNe56Oc96kdqUE5DFh6I25MgmRAbsxW4imPX5MtLB+NqAFN/H9MmZ1pY
OM7AEQz21yZW0bnLV3SKCbUXraJUN40vMD4o/kIevDSUk1awvvxk2/Zj9hs8YopBaM6f/CJCZ45y
/qULScPAscHEP8lt2Bj+c9DL4TJxa33CB01cUlAF28EDC0hd1KPi0fhV4Z71YyFBr2HdW0eFQyVM
wZ4K9x6CT0yxLmKZiaANG0vgoM8E8ximQ2kZfAHLt19VqLKtDIOfGZr5tSKalIR5BxXytg9hE23V
WFjjo6KruqtwY7UbNOSYw8B8id8D8aXiuk8aVf1zJaig7iWih0hinOAzmHwfy1K9FD27TsSUMb1p
sG61ct3yN1xWnH3c8VVfhnaOv8qGWR655nzBRh1RM9/atsF2QTHPYQFOkh7VbNGNNwO6b0QvbknM
3ziLK8+vfDQWi77EYfLtcheCIGSt8abAvsxEHOrY2VZVpKtdo0dp7wYYVsPGzNijnIMqyBiveHq3
bBAXqiuCl3Gx2LKOB9+4eFbfmWmcJC/hWET2DfhAQA6SzUjKLlhU2U5pWNQU5X0sHmWct7/7CiOc
mzfiqkqUPnm9VXx4ku5tq/aTNYiHyoTO7BSZuMo7hjGkSXEFxAWQBrpT6nIV1FRwGxDYWWUuRA6U
eVUuT4+mNtjmMp3udDARZOtbZflYzmApV1ZE+sQKFu5405LDsjdaz+3vYB8SqDaDRUfWLuRzUpcM
DeAoRJNJwwnFjoRmhsGQDmrfhMtfZBaZPmlGHVygco82s21nP6ow4D56+M4rz9TVj6DTLfjW0q/u
rCoAgCqyqPXXQZ8wYMtYnnYKb94amT+/BphikrmwHdFvbaqKqjBCWWONqG+8yTQnoi4zhmg7xQOZ
5Y3lXCOEdulaCmDfLJxBeY57bhIbzzGCb0FU8upQ9s6rSlvNb6yiwbdpBr2HlwwGBzuK0XnOQmE+
iaBvCFwS8It2GPL7m4SSyN+Z0I5LoMj+zrHwVJZVwACNx41v5WeVDumT40UJbopgNraF4+Fe8eRQ
bmEVZ7sAouu26adpF5vFraln+ZwhW7h0Jn06GGD5m7kpbrEm0wAD9nkVd3GPNqCfiXsbvfDBzlI9
bgGKIQZsBRIDTlNnNjjFE5I50msP1eFtl1kwjQOTdMuM6mnW2voM47naDkGwnNSaIAAAgQHD90Lv
RTR1xuxTIbSrm6w6F+20IOVwXTY4+Fk+9oRcB8mFPfnsVKouPxHCo0c24XTJw9Z8qOK4S9cQLO0Z
hx0px0RbVd2PGSMFW5WKptZQClaQENoTSoJa0O60i2mvawCiPm4Gek9Vo9dFOWc0YFG8s4La6tyq
Waa9thSnSSaRLLnYDHjbArv5qnJFeGKOhXeeNsb4R/pJs5GZJU61bY5nIulRAkAkcumpjWT5EXR8
KUHLuCiyp2+hJZ/YY957cYS6wlJro670eQNHf5917Z20scRBNdxR/NEvUUnZvvWos8eM+OtqZCM1
wcq+NYaJXboPqRbv2S1uPDQYMWdJw3UmWhNhx7VY6FvIRNdR23fnJbET100+jydUEfyf2Aism7wN
yrU5pHhMI7/YSo0oVDgKUcOko8smS8Mrl3bObQEv65Ea/FNVgkewGx+nYtE9G31IgXrxpq2NuAIN
nCi1yaZWnQRh8y0qa/dHNxoBJsxI/9YK9QGMjoZx0GKlnN3BZ2OIL80yqt2MEZk1s21v27gwkXKU
SFBiYXv7Ek4kv779WxXOY2BNlzNeYYrwevsf9GNLUM5o4p3Gv+LwAs15kEhLWv+xYNupJvPaxPWx
KkZObLbQLw0ddr8jtzIVTwU6+lVtYhoIu/vUSBYwO3R49WzF5uPrSez/18EfpurP//5fv0rQmHq6
+xNR7nlf0eb8/EUdvNTD8/ThD/xTArfFfwqHagOHDXAvFoXK/1sCl//pSgIIqD5bMB8t6Jj/XQIn
ZU94OIep2bno8F//0P8RaDvektoHJtOEN+B6jvevBNrv6wBUBJFkC2KEOFcT4CYO0WRkjTSAcWnR
WGNq/nINjK5u6eAPBFNODarN2/wCY+9wpIy66MX+p2C8XBa2JRVUj4TqJSdtqVi+KbzPtjeZlp5d
ZhujeGSr44K6KJrTN7/CJ3Vxz/7kMksMNjg5irZSLpWrN5cJis6oizgidZoo9yfRSAM0k6GvS5Vh
yqPWYj3Y7YAKtzZbnwMR3pj7rK0amt51A/m4jE12CnlN9X1jNwAfVuzdymarO4vIgtc3BOxiwkk9
jjidGsXigT5ShTma3lxcqimb20006XJGYoKmbOchJX5IqVRw4s5aJFHC6gUQNTMlvtYZ8QKtPYpM
dP/tSIRLpbD7bSqVIyQeSryOjirFM5zj5CHoYpzUHLXT6HxoiuE+1nFfk72gzG+tr8oWGC1FW3gJ
5cJuswegVYnr5P1ZyNHw3oasJVYipOLMr4zr/6ac7CxH1JPGpAdKgXAxiFM63KDo8GFNY5NtcYDY
My64LDqd6kqVW1HRhjOmCHRckjlInfOIuL/1fxRZ5XBO1C7bu1reFMDI0YIT9XCezmONSb/Fbrci
Gk4lG9NGvXZEsbgUhA7G1xL6wudhOibeiAOQYG/CLIL6bm9qG3hRFxpIkh1NwKnkhA1v2Dsy0uT7
CtXrgOYDAt5qLcNNHn5H4KXD1Es7a8Mpr2g3BdFIHvKLEZ2xY1fJdcPhrN62szTugr41yM1hDxfv
2y4EItDZki55rcZIbgoEkt8dp4tf7DnyoDu63TCceLYj/qaT36qdUU/ZTht+Rf501Vt3feMjjghi
tlBF2jTkg4yDPo36XJN8ADiMpTRMStRfmVHj4E+q+DSjpE7T25s5cdpBjQLCFqXxrembasSUEMCo
qetWn6UAFii3eVNHhAbUctQhBOkcq+59/KkCEVA4Rl2KD/j1G377jU4CTxpdi00+9PM2zmS0V9lo
7BZyFNFBgbj8elI4yAP656dCT2zRR8RaJa2DSQH8NtByMxKbKLS9F2SKSJshWayNoBquIEbQgMmi
JN2ShRA9cB6KEF/TQqN+FFTfIjst6As6FHDQyYG8EOjbVzQzh2yfiaz+boczkdSAqE0kc/wpWnfH
6LGvatv3o9szSbtxhEN/FN37Mu29eWURVMaomEObTneJLrCJGsRxBQlhq27sgxSX/BTeZCrv3S1R
gohuw3mmQaKorzUcWpoc8X6M4mqDIhLKJqxtDB0lMEdJszKmt1XUDeIXh4rOuRtJnwC+KkRnRXPG
us7VCAqk9cEykIaBsf5IaXqZ+g8eTgjaVDCyaSuYzkFl2m1kIaRGm1Dx6JfkCxVbYFXFyZwW5pFZ
4gCLuwwF32PtxdvmiaWwvCxTb14k8g8PGNtscCYyDZR06TgjJUq9Mlk7DRXTdWeMw28ntquf9azU
OamT0PdTu0jFkQXx4zrsL/1nXFlECoJBPahwl/2MMNg2EG3Uot5ig0eQUhvLnMlxCPG/JF61yo4l
Gb0ugO9fduDzDrhvS9CBOIz7aosorXOvRfLaT1Cb2lwuLbq2wh4DeAtJNKFeKZk2PlnxXorxoE9j
mEot5boL+NiVWndWZ6SbxG9mgRApA0OkgxInVWpFzrXdskVfFRCJxaojtiO8oBNiaZTCIZtolC/R
E4l1zHIxDI9zW0W4g/0wzblaJ/prOPU9Wa0Nq9aZLm315MRMQzDd5mTeeiYxKxvLU6ioosAwgLfi
hvsG07YoT6VhUBjMZs9UtwkG/xO0qVT6hiyqTqNIoI3KEzTOeeVgqGFGnfdNUCCadbtglMizurk6
Mqw/rEiCTgv7mEVqID3xGnH4Zqi18bzEMsTZ1sr74I9q6wR2qVDnYxKHSH/lsa7c59dzBD8rPy+N
k/dDe2RZsCxyvrYK5MrO0/7EsbIODMTErdzGU4YF/uuJ9cOHSycLFYUrcD3gXT0UU0yjFbkchzOq
emPO5xqL/QT079yQ6fDw9aUOmnd8uMu1QC34KEDoCh3uH3ORNcAvgX2IYRwuxlbZ+04mU7lKu659
qoIe3oQyHIr5RVjdz7GL+K+NoZyA0Omsv0fuZpkm3n1F3A3ZY6z6AegZ+jjv33Ubu3SnwXVu+VYF
kElOd1e4IKhMO316UUHRWJfkSf7GaN6CDNDNo+W4/nYmHHdDOkt0UWpV74uwzo78JOK9S+Sf94S8
hnvzcIc6r9uWN6POEE44UFtPt/aowCo2aSlufTGx51NTi3w8TCfIizWJVktoqQpn7E5Z/hMknwpX
RhXMLjAe8IyAgalRr2vK9jdmrCr/hC5MhISVQNIWTpdn6P3XL/WT0cTPS7Y1XVqy1l6n7jd3Ho4E
dtmDwq2Dk/ykQql7zjds3plGXf7rZQB3i8vLkWiA6AQHBw1st21cyxwxoWRW0zyi+i1O4KXnzxNd
rytfttHP2J3d0yrv5l3fWP4LIIVjbO9PvtflfMgg4udiD3mwK5k97OiRi0wwYcWliQFb5aFz82Tv
uA3GuznySWj++hUfhNi+jg4eGu4KDdaFxX4wRySmXacGZcBNpmKaTm2TL7J8UwLmKHyVPxYga66j
MMu6DXG83TpAJoUNE894gK0wH6HgBr3nbiKYn0j9s6neTR3oz3VlK5DVMyBKiP4mJZcix2B35O6X
Xc7BVwfvYEEYOa7r2q8etjcjpMQrvcw43qaEsTKu1FxS4nRDTV1rCN2kW88avvGK9UUCu2hVWK6w
QveCA1ru/qKWY0A6MwcbtXMwWEfd+8vLO7g9NmdMT/yluPetZYC/uT1ZRZPSFfxU1sc5PBu0ngz8
v+FwPYSDwsPLaLxxZOGALjEH43zofIlOcybXcw9GDR11PIApw/YWNBdj0uMZdfo61xtqRDg8DREb
w1q1uroinVY1a+BB+o8xipYFEpIu/iNrRs1JZ130WxPJZLZqAir3ZEXqcdx0XRw/uGZc4arjCv2P
ARVHfKlml0MC9OL0KnSz4aFrWuuXhK7xF0VVbK5q9vHYdyuLemNX5ba1y0AlzKsGHBoLLm6V60kE
8z2UxvFPYXNjlw61VQnD1GgZL31C75mGa41mQOM7WIaKvpHAv5DPef0dpNHYXRczFKUGKRR9oTDK
f6jKcH+n9tj8EfTczK0JqxxM+txlzzHF1hI5NAjmNWbZVoFKyjMGc+tPWKXoOEOtJNfze6RSeefK
rkuPfEaffLmLetDkA6LE8yHJIiL2TVItMTZMY82lChGmkV2N/osgkVMaPsfizT/uWjl7Y90XuPEQ
2zF3vR9ZbdUnhZpyA2uOowkHmTDUV/Sr4ymwdjOcOLbxk2fvOII2vxwECLtY1MeyD5b56GB4k/aK
chPpv+CsfbDmsZuRieHiP6CMIHdgbCBtFr1zao222ogp+A2eJ74TDUbkuonjI1P2h+0yr2BZaNkI
sLjZ4uDj8mlnBKnlhxs95GqdCL/chAUO8xbxBzX56dQmWeaYYsj+ZE1ykZ0iLuAf/uVgvnS0YYCE
4cXHUdD2a0uiBCTCvajpWug548jE0aqDyEMXtz8RCS2wVW5K/dAnBBms/DH03D0gHOM89ZOYbi8Z
9O4mJzmIpPVZyQeDFkCywf9mvpQpyEU0YFPTnDjzUqyfpWYOsMFmo0gDwoEH34jdE16usiCaB+ou
xYIer60kINy6zv1GroLMRJ1Nl7Emm8pKZwwDsWgegNGY6arIRv96IGnysYQrhiawzW/bTCc3DUIJ
cxX5ZBfRfx7x2Ve6DG+zsq/ivWfM82+H2TMDej2kV7Iz4pcug6O6FekY26jsEnbSQ0uQGBCAxFpk
Q3N2KQaTdQ0RRt2t2dfB4ZbAx9DHgbIOwELGw09NY4n6di7Nn+HgJ+jrrbSlaBOXw4tZhx0ugkn7
d9NUjPgcmwTtSutW3d3ciLReAz1A55qqFh82uJifFW1XcjcBowDusV11iendN1dukuLZ99AJXQOJ
gQ7mmuasN9EIQmM1ZEVHsWxCcLBCLWDgnGxdgaWmDxHGuJ2dXfil1iClaf5+V2Ra/q4dD34hCjP3
Kp2K6rvTDwO+S7Ns/5j9mMtVhyDuhN6k81cAJy4Q/Mn8ZiLq57HqyuBGy66+bwxv+DYFdg4jvA2H
aA0rsxiZsAfpA7I1Bjz8lRE9TYJIMewoCHnXDSLjaJVR6qJcqUr9FKOQanaqFS75ZXTNYO6qwn9I
ChfX9pxUxqV0EICuxMyua6PKEtsQ+VTpmetOpgkbKE+uU88h5UnGhTiVPpaSlZMutcpoGKLu+esF
/OO8iY/Y9diBLGdwNOLvpzFC2LsBD723mXr0EKyM7mrqyunKiTGgmMEwbL++3sevFzAzU4bgHEZR
8DADJ48xtDdGzoKcVy5zhj3fOCy3t40Qx4LDPz6auRy60PVRnw8oC75/tLzPUqdUKdNTqv1voMDS
K3/ADRhpRJHU54IjS9DHR6O9QPkR+Tf9BDb6768nerujtUawLE1Udw1BuzgroghLeOEau6/f4mer
D+sce0aICwiHrINJ0FJAsUpsqBt4nUDgxixwLovRN06HZBJbT7XycZZRk+6LQQ3n7Gqb2yEllvHI
I3+yAiB55+WaNEk4cx4sgjZ4rFkmfUC7eESw2WgxzFsrNRqKNjGgx62A0mZv0T1E/f/DpaHt2FQQ
bdfmFt6/bax+Am2aDjfxlOZnA3zYXUPt73REmXI2gyU8iY0xPXIe+uQk5yOvBSpgUrX8cB4C8j44
5ZgxpEbLHvYxPQQWPiwHySqowT2vgHe713nfBYApWnVk7ftkQDOeeVZugJt4XRnfbGat0hUoi0ts
+mhKfyndovziBa/9MkFL0FVN9ePIMPM/2WDQmTKpJFgMbt89GNPIcMGPz6ROlDjp1E7o2XyO0q5B
WqJnPZ30wTTCwoYSWmyC0UdAIWKk77e9ttFiBbKkcJdOJZG9RNk8zxy5mjUqImTRvrlM4IWhWAPT
aY4IusTNQXRiBIHIC3XyUnQ95wS00tUl/HXqg8pvMS6z2y+3A03gaFXi4NW7Mqjd76ZnLbJhGHDV
aiD3wWZuCdzLnF063inyw55KbHLdhhmQQFgjbpNpNVQ4OlZw3KLz3qMiQ/KpT5k1UDB1BUBJcPGw
bZmZhwTtNAEPUC3zgTqdotyDRXkKk22P7ennULg+/bMwA7jD47c8UMx6FwRW+eyhkm925J0IcGxN
5ugVSnyWtzFKsZbV+CrKjRv5i4J/qq+LOM6WOwAat5b2nHb4vizjAWFXBQi5GJN6ndekenJnsfHM
CgIAuoon4EbNOONIJE5jbleVqV2DJkbc/imH3rnTtkj+spFVRAfWURTdq8RswbXFYfUXqnjoke2c
dcBjSnu4d1uVGltUIhPO7AZMK/63tBtXeRvj9kyqXBnrpBl0dFENpnmbLzRX4ji65mSgRkipglIh
x0HiorL93HvNn0AJBGlmOZpPBS0TypeSrHZoy4N/Fta2RX4xKtUlCjy06NnVdlU/jVk9/GLmSUi1
TDMQwQgNq1O7Ys/CwQotJqIdu9QrKOfyN7MOiJ1U0pjfm2WZZ9f2FPe456rGjTYhGGgJ3RB4K3BM
axanIkoaF/5DFFqY/UsADQhg0nprtsiieE6InYTIKp7Zier+J8nEeYEYFGXQKh477/uoDBcBkTIA
nvZswesVK2vmrMlvkLe9rVFFuIMxvqhIQ6DwDTH+MgEF/4pIIVarShrBXzZnjnfmIxYtgYV0njrJ
kIbVZ4oyj7FyS7/8a89AQSlE5MmFYyEPX6P8YqevCxDYq2KW04/easbzyjELdQnKFyEWUqPkqfUL
+UvM4HrXSW0wEyl3pM0X1OSTnFjgsNsdWmdQIZ6BuB2xjDPDqCKqels7cKw2iLDRViIWjdo17c5y
Rl4mDMIx4ZMChASZCr8jLYoH7iSDpk6iOEkDxjzap8JspTrXCZXzXUXF5t8fOASmM1oSHOl9Exrg
+zl/StAFZT56P6ULyiN1i+9zXdFnjeBnTMkp0UDxPi2bY8vtZ7OgjTaAmip1PPnqvHoz8WKJdEZ/
WkpT7KDo1sWeg6NEjvuyxcRvODQLvHqhmOU9tF1ZUqj/eiL+ZGsR4LULXkuc7DAOamNeayatgUJ1
UyinOHP6UlwC2Jco8eOfX1/p44rOoc4ja27ZxNAMXP7/N4/aVm0TEVvkb1CbLQePnpAwoYbot+HM
eu9AOt/1U+QcWcw/Ph+7UGxFggaQIJ/g4PnKuiml2XneZoAfecrSMFE6GMvb2TfTI6/y4xLOpZat
k4QGSfX6YMsyjXZm1j0FK4u0lsvUhYBiFVR72tZGcgYElR8wdrvvTZIdWU0/eUibPZJ0SSzEPfFa
Tn/zalE/RiLRJq/WHRA4lkjq51j632Ze6JGTufhYDEfNxA4xsGjeLaqS9z+jU/SR2ck22Bgt/N4f
1aTMTUfQ+ESPOmv/eDqRaq+AaM5rzTl5w7YiHLbcdxuv/ZmEirVdRX25nmIpm9M0LvSRc8cnL4Oa
p+WQ+Clsk7H9/ga9smQeQbO3GdJkuLRECt4sM1p4uPWx/tonQ1rixyTrFPMKy8nBkI4Tp036WYYb
T0NsswCKbJA9l6u6RshctBYkOg39/MiQ/jhnCJx7i7NWLvjOQz/WZLvZDPI92Nj0u6J97lvUszNs
3pynDUK+IvKPTmn3CmZZqzVvPW2SAfP1x/zZS+b4Q4+J0RB82DDSLMjFWJnhxkzq/G9BMeWHOUFc
gdk1i9uvr/XJW6YRbgMjDTjf8SG//0FBUNjSTUsfEspUN7uYHIJpFTNZJztBCDRPHZvfnDasj2yK
P7ku5WXmKiJzmTsW8ubbCauKHAmEmjAgYuLKbeuayd+Sow9YwTziN46GFlS9mv/9YY91yOQMu7TH
Bfvj95cd3ZDka/qnLJqO8CEaMWzZaxXl1mNTdkQt8cmcxRNSbGPLCozt0DpamJ4BkzdNtgmFdXz/
po/2RJJ73EcTTKmplae2gzB3RQA1ERxf/7CfDCLSr3xhMjXzkg+b4l7aA1OWQAOiyY/ui77pTqnu
m5dGhlb560t98ltyTGedk5gYbWbK9y819f0U/RNqHTFPpbiwSV8DzuRzjswpJAMIMsHQSzw4//o7
sXg84m+p59IoeLXuvpmZa7TnvmPTphWN7f31zLp8Mn0/OcV36Jx8/YgfJ+b3lzp4RHvAiz1Y9EwV
xg7QjHliLBEu6t+fFcHQWnIpe1AVpzP6/lVSpuwsM5lSoh/j4sKHu3JNFqRzYRQz4jZEZruvn+vA
kr3UgC3hIu4zTV/ajnWoGOk4aSXQMrJt0NeIZMskJ9MKK2wiq603y+oqVHq4r4M4GHeEbLa32Pqr
J5preh/S+MElZxDovSuoGcUIxhKyB0mwLDfVlCWnuDBo3359x9bH0YbcgvWRo7yDMNE5mDk48qD2
9ZGwx71WpHXpKHuMBzxE1zV1NpqzYdcrnGAyaLcDO8u/nZe33sbQOf73PsiKdB9ZMWRUBDzk25TJ
QNm3Lr2fOqvod9gpZkUodvFP02rq2xGtUAKfElLnDpFQ/0hWnfQ2ORR0ROPSgUrXq2CyVpWFB/zI
YvTxG6ZEhNiT3wigAwK596OBHDCbsxAEFznCHEut3L8a/fQ5DKX18PVb/WTngZBn8dIGAQt8cLi/
SjrInh7E9q1NwZgIykYAf+39m9ZP7Ctq2fNNadbDXceR6YqEEFxVjgobznfVtPZSUYByIN0JiIxH
M+fre/vkBwc0AXGZLSYSwUNqwFxhkKqU4gcnqW6vY6hFQYWrT/fJfC1adp7KmeMjw+xVdPi+R8Nn
KBaJRMD2DzHk+3fvq35KMGMbG9FPiMsDfEWXyszmelORKwOXsRC1XNu4+O1dlkL7fiC8t/ltmV0d
LITdMVvrYKCEEk7I0VfI2Tz4dLbK93nnRsH+63f0cdvC4WohWLP/NxGsWAd364ko6kpqHBgmkq1s
pxyoaj1mcIRg0Plnjp30K1F0drOVRZBccTYM/nx9C59MkdwCdUW02PzvdYS9mY1Z4v3UFxGaTdKB
drow+j+Y+Oanr6+yTLQHP4vHxjMA7c550n4ln765So1vSrZzGG/LaM7wEhKVtJ3TSW08r2sNNg6c
9r++4sdPY5G4+ZJ6mo82B4bF+3ebk0tX1hr0m9lNBBZZqsoenNmrL1FIhzsc6OLmvzg7jyW3kW2L
fhEi4M2UIOjKqGRKqtIEIQtvEy7x9W+h3kQEK8jo2x09UodAAIk05+y9dow6aG/JGkwJBTeQSZGF
21ZkTvt5jCP1vpuTbJ9o9LGu/7aL1w6/lHImEkmamUDsjPOf1qS9OjStbQXAWCgd9ez9X+YS30ag
CqPRiBFtsHCz0Yj+TthRQ+iDNvqV6z/i4vvkRyAVJjydbZXHYff8R8ioU4qC0JGgIoUHGVwxH5FT
I9bpFCBMg8xOUTqkwfWLGu/cOr54Fi9kDJRV1+qcTo9G7OYpcSHCJM1VmCboYPatxEjgBAee6pV2
auyiPDQ+6VkY/0FtKX6RSjT+HEVYU20z3OavnGbo44gHvRDAukvBa/EW/9ArtVbRts02hOouH/86
IxJ55nsSSmAPhsPHcTDbj2xiCc+lJjli8SpQNvuY3N29S4wCoL/JmH5adlqpARF4GhlYpDT4M1D3
+UjiDZA5M5IQLDPbKiFY52H8xE55sE65Exr2jf3LO+8IIBCaIL7CZUu6fkemMjS1QXBG4qT1tiSn
+kMHLIIsCvWO81u840Tt3RoYFzMCMyi1Z83gP21ZXVYDQ0yWbKpaBI0Wi0NF1RjX1OSgK7k+Fi7b
KsuOSbc9zor8yxp2fqF+tHGBajN35xraQ8+i6iuwPvZm2ppB45YwSz2BPS0mFgNWzAQacdK+Xv8R
7z1hNsDU9/kCmARXN4tEzGhcB5pnq6kJBZ9EBswHoz9JYeC7M5sDkmIipq9f9eKIwZen0pqjZsDU
T//g/M41dEKINicRTKUwjuWMGaUgY/Jox2EexNgX9rIVP9pSqKfrF7683UVXhmCDLiTsjfXyGCuN
XvaZJgLk394rkc+Dn2GfNpZ46mLehgJ+JV5txbyxLl/M/9zwMqCYkPnHW1cF2hmbugVfKigg2BAE
63l7IqTVI+mV2t1YpP3P6/d5qZZcLsj+g8drU/9ZqyVaUwm7Yk5EkHiZKrdtWkB+Ix20WUQT7l8n
woVhp23h+HghGwCshAQ9NiTPsRPVW7W/8cIvbTnL77GpgKnU+QzLXl7MPwtgpTjxxJoiIKzKqiTv
J2wNMJpN0UfggxVg6jFpO/YG66OFHzgGd+FbZWHqpF82IdhMKkN3ags44gT4ysgCPCqCyFJWBxJJ
geQpG2ZO4LdAeehmE0QX/5lz9EQnxN7ph5Gd4nfFROrPFltXqD3lLeThiGrutiFLSgePl5jzvejn
9FXpUWKAoHaGYeuGyAMzfZRwCEyVH5X3if0h7vPwC8PGeDGMKSPoYgQXoZIyWG9yQeQM7QGtAqsY
qc1RVEgM9zXZCy84LqzHeSTJbqvRvjp4s7rQiRr0mgGWDAN8YZNX0++wpUYYjEh59zq9iTIBn6jR
9Uuzxku+tB4WeCdPQJSUyRhXhzABWnJkd0yyQyKm4mhwPHguR436Pyag2TjgKkAcNBjd4kkdeudA
Qxd+emgV8q/02rYJzCZBPnd9EC57zbNND+/8Lc+GjdUi2lst83VEN4mQ+ipoFTkcEC05OODT+WBR
rb+xrlIbuLwYFT4K9Rw/aYipqyMofn+svRFJuxlnxu5lUMzyNXdLENwDLBgBTFBxfnJEhYTaT8n0
yu7I0D+X5EfJHVsj9VdqEdiI3jGvVL+ah/avpnchgUmqMsu7PoyAtFJQdY7Eetv2KVfUCfY1uUeI
ydsU1gfK8+EL9lCYja0tbXObgl1joeyy8nOaq0bsA5yjJDhNHEu3YBynZ4/U3cVwB8ztqa2RvAeT
ZUN5CBH8tNtGNbDp9A7unaEXde8PKgYsH/JTTiibyBFAmWNvwdRoyfc8cOD1SMHImt85oVTEeeo9
2O0cueNHwghV4uVynSiHsTORH1oewZEVMwHBY1Fc3dPnjFD3AdloTk4zF50PE6DEpcu4s/zIKqrv
mdKhMus7u8JHBAfG9q3Rdg5eBeVtl010oplzrIhtbayBvENlaPot/dZxK3FV21u74Fy4C+FemsE8
N0C8vXIsD0kBlsjH+KP9Tpy4KV5MYues7dSplIUpJ6tHe7B7RD2TlcI9JcoWPB8c9t9sZ2o9gEEV
PQx5534bOypV/J1aYj6aJm/XN1HhwPs3LRl+lFFTg6TuMmeBeHjdK/p7c6CHYyR/hJ417ucpC7tp
HxPoZiPlGYmPz/vWxFtFH8w6AZcJPR+jfR7t2phI0k0fQe74wtAW2QdSiMePeeRoeSBD7A3bLvVm
moRTbe5EmozDVkIBGh88Lcq+TmT7mXukCrW1tRUbzvvYgpJgDyhGXw1NYLZ6RnVuo+U2dXPPUvDb
S1WKFEhAAb0qrCVphYJ/rH3r0Yrae3U2460jXiXbFonZ/qXnmLo7bJhY6oF+Wj+SbPImKt8aLc4w
NubHKHTmT6JR1ZcWEYcAqxARRTHqXvJiKVUaba1JiC+ZNmEu0rKeHyVCek0+njf5iLwl+mnjnlg4
ZmFBAUYMRCA6Q+rRqkJ+tcEDnXgb09a66qOI8jb/aPT2rG+sdEBL3bWZsU3zUb7AKrC+XJ923pkJ
FoML9hZkMeyx9fOlxmhaVgJd9AEVxvHTSMjMUYblbxfD3UdqCLc0Ru/sZZZS3tIkpNXDYnt+uchq
SpnHRh+UoQ7egS7HQs1Smoz6Q9YHiGqaHX7P/FiiWLsRPfHOdoZijYcq0lkKmQQ3na2qkpxglXFT
BHDrYgpd8ewvuoAD7AGUR92kv+QpbIH//Hw5J1OF5qezndFXF7UaziEDCfCB4hbo7qraCjIUlNBp
J/1r3IzW/vr13rlJrsc+HKsFy4m3ep99b059CU0pKMto3te2wZnHlpBkUtEdnXCwKe4Vt7Q3722g
gCQZiF/o4CH9WW3OFU2Fa9JRIVI6aB4Be7vxrzQhOmMFHAHRRGOZnWQ9U9FBYd7lz64Tl80B3Zf9
IjITKN71p/DOqObESKXEWyS4HOrPX7VQC7uUdtIGjuLFXxtYFxugCUiyEjEHbTXd+oreWbyXEhI+
cZqXtMxWwzoTQ6mkjtkHel2ln5oGQQTiG+8exU1y4wVfVnPpzC1tdpoNbLuxbp/fW1LHzmj06Uhs
n2ocUCXkx5r/dxuyjQ8Gq+iCvEmUXQcYiX5ElG8NwEKfmf7IkEgdErSq0pa7xtZHY9MApdna8Ch3
qt5Z7vb6W3jnzGYtymdURbpDH+bNX/HPPra3VeqdvQk+T4j8Kz46wBZ5KQH2JaT6glIZXxss5EGs
GNZnjyboIevD7tYDu6wiWC7P6U0GTQ9sPRiw8Ht26STg/U2w0nuzs6PiSxEhSwC2XKli22Sy+Rxr
ore3Q5JqKq7trHjujVn7FrFsLibpon4cEWz/SomoPc2pOToo/XOKUxXI8m8oosPPhGnONybndz5m
JOycBJCyUwBaF8KqJEpKW8xwQ73JuetRsoJmSoY7tS7rgGhF1HRzVtzYHS7HydVGlNIwpyHO2RZN
pdW3o0TII92OZpaz0E5geJEhWUcEvv33wcEcrHPIo9RHSM9qzkA3kYJ2WKRdVQ8FJZ3c8hWoTvRI
NqmJztaR7aFo6m6Xx2YDfZsN+n2oheX/8IzpBqNjYs50aaedf05ewRHXAokUNB7SBnOEtdTOcbul
Qpnel2L+rbFy39jrX05PHO5or1PaonpCde/8mog0PBCHXDMhi+yY97H8mWBXdn1OexDAY5B6Nx72
8jeev1TOtUy72IapIqruatJIc9vuC3VmmZ8ScI6mbMx9DG2p3/JI4ycN1N1i7NWR6FWdlVARM2Pt
saHS/F3Jeu3PjZ+zzIfrn+Nx5GZFXFzM64mBKkIBeW8YAzeKY2xkTBHGCAhOGV0EWgJMQFmqw0Oa
qYu5llzzhL7x6/Ufcelzx2nKVoRENJf2Gtnw52/B84ZWSMUag14zhEbcGQJ/Xy9K7056djZijyJK
kJgKQV4ORZ/2YzOTU76ppGt+dCJLlxu9g9m8Udu2fQ3tqQFIo9VwHifqFq9SCTHG20PWHjPYXSO0
ViLGOevG+i2Mx2UfgzmWtp5HrZ3GAI6q8zsBjJqSrd4QWVdwIAKxLA6FS3OO/dUSKim1iSm2TY8Z
VcugUhLNQLuIFn+DX4papwpOo+6S6uiIuiDHT60DdTDqw/XnfTkN22gdlg7kMq2Y6/ZF3U3wPKCI
BRZ7d1o8ZGl3ZYW0DdnsJ5wC09NQ9uqxQP8Y6OC5bnzn716e0qCqO9TvtDeE6j9rEXWydEISRpZJ
PHTTZkgNKOXS6Z3wvnAqxQV1R2sbjWtukaNiTqhBkZ+Gyo1N6FuzdTX02YXS6SNElNbG+jEQw5tT
7EPZwipUuw+Ax9L4PtEgz31AjYoNKaI79hRSzH2tlThWHi19HCp2LoV38squzA52bBggGaoRXGZm
QscMcm0GwNLIZoIuqHGqJZivJBF3osWqH40QAQLuw9ho8H0nyo/SSClpl2rDjhQuHynbdHMpbGuj
gum6yFxzkw8xb2HqUfnK1iIMc8x7a5MluMy3adREB312RLgrYZp3vuNF6bHNS5irDJ7Q21RZPIvT
0Nnih9tN9Vf40OanyI6z7HkMzezYcDxoNrZkW+zquVnvpeuZ985gl55PXVu9IZy73J2hr8GPpHL0
QCSx3jENAOrsHExh0NsyuScdHiNeJRjkelXurg/yt/PS6vWyE6ZRsoh6WFSW1fWfYTZ6ANEGdRFs
eXpjxhtV4yi6rZFskZaamnobxFQ3ikdNiRoO4BGcHUyP0+z80kTbqEdSX0X8haFIy+L6T3tn0aFn
iDGLbSOl63UZGXli3wgBMrufEwXSbVhucSU0P8dBfAMUcyt/7519qkNTzVwkbhStAbCcP4mBXPa+
K5caU2TgSQYhlzBgw1F1UiTrQ97vyIitjFPYdXWx9VgP2u1QVLm2m0YxFIGHRWQgJoV4NXZZNtb0
ejawimWtGJ6GcAqfBhTf5vb6U7ocKw5uOdZKWoHU281VGc7xwNzi18xoM4T0i9KuH3Z9O453tYhD
+79fjEsxKemoMlw2IOePSLC2RFInykvTGufkzQRFuk5R3UW01W5c6p29OIscm+BlAqTsZ6+2dV7L
yQ0n1hxUVjzcz5q2JOepGvEidlRvOi5Lmi0CEBbNCMcreV6IJd0bY/ByQ0uxHrHU0nLnpOQuf/7P
1+GEnk5n3JsDi931L0QkzpfJq8B4tHHtBArq3AHxt1U5N9aet0/87LM0qHQitUEFh50bx8T5hWNo
R0PYQMVoJ5xlpz5S1cdWzFn2YBWTWhNXBftxH1OOeU3jwXgtCSP+YmkZNh3Cb90/NHjjpzpjK7ez
QBg7rPHoMTdpXzfTJm8T0W8GMLLI1UMmcgV7N8bkRkQhKBBJBJGcCyKd+8pEnW6HgOlMpXNfqlZG
/RaSazOfEnJ6PrVTArbUtfsafQ6/7I9N5X7YTOHQDxuKk+CJBUkbz9fH/OXYYMgjP1nOy5gs7HW/
AdPVhEHONYMh5tDaRmQewJ6qW+1OpHESBkYhy4PqYgPTRrM+pUmvxncmgpyX6z/kYnjwlnhBtOEx
hDve+uNDgRmbepTMwVIWJMi6Kupj2wkNqOXYaw70X4Vcn0GBa3L9wsvgXw8P9OE6TmSeBN/B+fCQ
pRVycjfVYNLHuDxNod6yrOGcQdTfW9lzHduEF6OK1UYk5pO8cd8Xkw73jcQNZSb9W4vj/fnlswhb
epwJDp55zoLrWhOmxBSguEsl7D/fKQUwvnU+Bnx+FxZdM0IYVbYzqXxUIDdxSy8cnC1xx3E72vfS
5FQiPVwsAJWj/fVrv4nxV48Z2S0YPZhM1IrWPY4kUTnQRbUWQE7CWIo5hPBPhcjS+yrUSnc70T4u
twQWWoc8GQqyLMaS4i0AnDQ+sNCQHM4pRp2OQxhhnVOhqW4p8AMDjieT3CxYc+ZnhZ8PlBYEHChX
Jw13haMRGt2pFaBgtxr12p+7qv4w69L6npQxRv1Ma6K/dThknt/wXNB/tIW49ZG985JNE5WJumhw
l8j585dsjVpt9KGlBZ7bj/VJVTTt92Q4cftIKDWdDZBYVbQLLWf+OcB0Be2EcZ5AV5Uw7qBtpLMv
RGuSYVvRFSLmAnxZW+ZUtq6/pHe+wUU6SyQKhyNih1ZnU4zyZSiNpVkgSI3eQB+YF0aO604PFGft
cR9hoYvh+c5hcuMrvNw88dnbFoQcno9j2qp+/ojGySmZpTsdak2pzL6Uifs8DJ3822sLzjlLqIG7
JsV7JELOI8VcUfvWYGevQFcnH7tvcuNreWdmxMuCG8FBeYBIT11NDK4RVamrMmINmomfqnKQx5mV
AnJtmXoHDo7ViYwTezuXdfbRG2YC9gS7vBvv5FKehPAVdwt6yKXIaK1VxhouWR6GVIMMka9yqlWw
iz4SqqHe0kkPf9UOFBLftJDqD2VrZYe4Q4G6UTEeQsYP4+6JKQ0ihNHgHfdb+sPmjZ94sbs0ONtB
3TQMzA3ORWFf7+3ELSrHDDRYnY8Vlhyfz1b71JNl95zndf7z+jB953ogFpesK3ZpbDBXXxMG/B5V
52AEbmMSZUiYU3iXKkr26kQDeFenpLp14xYvFwlkuxSslvdgoLjQV6OzspI4mjIzaHst9IXwkiWM
OQNvZ0jMGmkqaUam4bxz8TTM/7VkxITJW0EIspzv7XUfocn62iKa1AzqHqtkhwn+h+AMnbOzyAnN
mhKdQODrj/hywsIIT1GBjomDB/1iAz97o2E2EWmNNL1OlPL6EtJzq9y1dmJmNw5O77xPSpzWQoZc
ZA9vbtd/doZZpdOYn4olGrKnLi0IRx7yPHqQSfEbQUh9Q7a/vhyJNqz0i/uC9whLannX/1zOc6JJ
65Mm2qWWAXESDuQJRwgBNtoYWqcYVdut0bOeV9+uCLoOT8KyxEOlPbsiYQrMnhahu0zZ9j3u+A4S
QVN9VCG+YEvXK1+4/S3JKJV2/tp/l9zlsjYNfhozoBwRnJ9fdtDL0JmAPgfQM/VHdrFevSMRYHrR
ekRwm9rrjN+mGiqwq2piJAIIf9rJow3ckVUWeosZRlOf4H1g5BtsYag0tavsSHRt/BEg78QxvjSs
2pdCRp+a2Cg/2+gDwHKqWf97hIE47sIqWiykZSx+dInafyumDnKuas22s2Hu7CMfxIaaI2FMMIRU
VCEfZ7dq/sxF7pTk18aEK6MxIdM3nfqTXjYOkIohib/HCYICmqf1QASvqJza9+RIjb5SWrYOrojS
javU85KnaeHAcBUx/IgQ9LdLwzwatstug78K2fsfRkkf+sXM5tpPKlrvssJ05sdmV/3J4hbVSsos
2hAlLac0ALPPjbetEppbdErKE9EPWRyE0knvpTVEsw+evzt6Ku86SDPTg7ukGOkvDgiwMkoGWriZ
PLt9Dtn1VUHY6MBKNUtqpNWPLXW7sTeyB0VNsHbg+yWvWMl1zLiJKFATCij8wMGFIuZH6D/p7Pcw
zDklmIZClDulyvuWP/sYFhEkWU8flIjA0XLZ7RUJ0egcN4yP84g4YTdU9fDHFi6bsSk1xUtFP/ZP
N1ScXjj0uujZuqh60YuW0GNjlM0drsow36JVgeltp1r8l0OFRjTsZNe63/eTJ5GUh8DkJDGiNWSS
EBpSipDgm9OrWnRISzU9hLozwsbUULEB9I5rFKStuqDniAtAyFRVXemzyk+SMNQ8PtEZiQyuRstw
A9aFvHdJRxyxx0BvBq8v6WvEZnv0FlO97yLybAlvgrylgHH3yoFoFFi78veshvjSR/zshI8WSf7Q
I9UGIdbPf9MwtH6TR+zmPhYKSm4Y6qctM+MQ31PFzb6nVsaXqxWjLf2ew7G90WFk/Kok+NBA6oNz
31Re+pMHh+/YUhLm5etz8UWJF4gfVVOXTjJ+CBahVamgXxoY6egVO8z6E0IZaQt0rPHAaSUZdJjs
KoZmeoKWXf8F1TbFLEWy+IXhI3K2phiLp6RJcP3KunIPNTkHOvE27gxSZCh15cavvZzr0KxxFl4O
U5z3101oKxNFYoR1vaMBqPlVg0Y3QRL6o8+Tb0NsvnCT6pfrD+jN1XU+0TGNw3uCiEDNiQPO+URX
ueAK+prsDNXuYcIYVVgdpqxRq6BOBYf0Nl6iGnSOekVgEtmEDk0pJrkt9U5YvpB6025gBOdf0JqU
0MfGzg4/2A2RcmM4MT26dHbRAzq5+5ygES629qQ1NecMmw6iixTtKUEh3j0YkphGZZyqdiuAn8yf
+io2kg96bEgcPqaDWjROsNgUygSBTQ0z8Cdm9CfqI+ubhTQnwY7nTfKU6Xn9Y6YdBXY16qjQO25H
YVcdYvo3bhqVj4kydT9JcIyUHYUFCv1qqnVfEIKbhCvxiD/Z+VKv8DSSro6hKJ1vLPbjcLIQOMGk
oP362o8DFTQnHZMHz0TVyOdYlH/bOFYpJINxhoAbyXIrmrKibojTZ18gHFLQh80xVTwn78kabhD3
+HzFw0tNmsm4jY2sb48kUvcxevgcpEPUePlzN0PI2JMGhcmx08Li1hn+ctARscc+mb4/dXUW0PMB
YElTliOd2qVTqO5mDVRQJWiJW52e+S1sJZJwzPY/7pFYXnkMS690aS8jNTi/qCmwpemwAHeqUdV7
V9BZIFlQYgZQp9frI3wZwOcDHEYlFVw6huxcoOCeX6qNoiyPYhUZd9MSklKb1nCv1HbzeP0yl4/R
pC0JZRez3VKsW22sXZpFs5130c5AxaAFSpSFH1A8kJxi52hnBtkkH1qN7O7rl31nn4KFnzMEh07k
/utjJ/wahd5NEu+6ISrJEpy1A5Qp45FCjHjUw9i6NaNeiGx5daD1HddCYksfcu0xc4xGlpFpEKWE
ekH87Oepe6X6VpMHlyipd+c2UXwojHIJmgP68AIzB1u4qkHs8LsmDPOvjrARNBY0bx6zEmvpwYJ3
0vigsDxrq0dCqX3Radoz8TB65wv6ib8SBBfVrqwnZE8SCQLwqgTj/iZMoP9uZJkZdwqfBglD5Sw/
UB42240X6ka5c6Wl3sdZTeq2JKiEbDy8Wgq6x6LcsfefycAuwqFCw4iCjeVX1WzfSHPjuVd0TsxY
y/tvdiYnSOWN4ihbeok1DUN16DragFGmBzl49cZPZV1/7i059/sJVNi8w3avwcyRtfazrpw2hmik
s0tKZeogMQyNRGwhYpLfl6alw1YggtnSZmjZNpmIYYXXlV4+hlo0DVuVaQR+R0nsZ0DrY5R7Fkzv
d+vRGSH5jS6IP0de9kuqefmQ157aH66PsgtjIcvoGyaClZRaDEfV84/IaayJwJ0h281GrFs+MwZB
Aa6twOW3wJLkFoFdxAoyo8YEwoi5V3yvz8LRJ9ANHKzdjurMA0y6P2VpSLzF9QiMnrpD0SXysxGa
zp3ntpJSlFol20nOhGa2keFDmyr91jZJNo+sUm6Bz+PWqfrd9ft7U4ScTxKsgvQUENbQ8uKceH5/
bTEbbjd46c5IdaCCWaQbnDBUU2xCu0E8OUyNAylnyA/MlwZxi5NtPVdIYMu9HtuT4TeI/r93OSEP
94PR6sXjtCwJqLbY5nMiGyrrAU9o1voMPPY6hgRrvAQTYp3kfQ1sp9WwrD54Q9Q9EI8gx61bk+Tm
FxNMdr5rxfnTtbnyVHit/duwC9iU1x/B5UQCVRS6DpMk5RIyl8+fwISt0yGYK9tZU1We5AzaLY2o
IJeqTVhqW0Q3VoDLaZnrLQ53HAtLQOlqviStuB2Gusl2ehHHGlQjrRQPXp7PNybI9Wmckcu0SIma
i1EBWvOqLS0aYdRb6W6AnvSQOm0FWbQVH2Sry+31R/jOpehOG4tihE4RZtHzR4i0lfKcNeU7gYhz
D1wRxbuw3SfqMMoNi8lFSZjbwnaxFHKo+dMQXz2+kDAwp3CTZEesZ1/flb1NIhXdf+9xHCb6LjZz
KgeLDr29m/Y2p7g8qaEcqZbEnznb6cFjDcwfw9SdMUJanfHkZXnPLNwjhdsyUtr41HUNOWWtokVH
0x6sv4NOLNjG1XoYQNRx+q+NZS7G1mKmsyNpSHe+aon2WVbCsDF5Ufi8D4V9MxXjcqzafDhvTVnU
mjQAzx90o1Tobeuu2EHXn0p/GL3e+xw6inKn5C0ncMUdRuvGy71AXlOcW/qNb8Qa1CJrwVNS5Joq
xrHcpUrmkezeWfpepMK6K3pFPWGNtg4F8T8bsGL9H1OJCEdsiZ/yPaO0Dh4ct40F1fOhLWe9h7i7
kMO9IkcZral9udGFEd2YtC93JBheQaiyvXPYGqz3WDHhH/Y8EBfPu3P2Y2eAjOrKbd1YtISdtrjr
nLi7MZFefgIecIglPEJb/l2fYMLazQq2uO0OH0abbsAVWs+lQ3Y7aezljftb1pzzORtDJaYjlGAu
k/YaTmjiGQQbJKq3hPSAHWXgVfkO077FbqvwHqtIlT5WDPX1P37m9IG5MyIVLI291RrpIG1mrXoa
m10r3WfqCylVfTMzd3Iwmk/XL3Ux0LkU3V7LsaGVM9GuvnLFnbCJTRrxXyAB/xiFMPcUk4qf9P6p
zjjRfEvvthaYIesCK0efSYdWQbr7ahUwmZLdVlT1roP++TkOC7FIkTEE1qIZ94WlLbSduOPPWTBO
tBzLHfA098bsdtE+4GdYbKFJ0EBoxgF+1Uwp8qGGTBC3uzhNlF+pNrhEuSl2IC0MXtTIRvPOrFLF
wEHo5pteRQ4l3bK+8clfPn06fXw3SP9cughreZik2UM+5Nzv1FyTD33rzVsennskCnFU+RXAmW8s
whdDmuHMoWAhN7AiMrjPJzZtwBUTJonYhcQ2HXKdwiZmmXRfRNP8YHkF+So9bGtadPkN5szFh8uV
NRqpSH2oAaA+Pr/y0BtmO0PK2iV2n2k45PT+VFkcrtkApeGN27yYmZaL4c7m2+FNU9Y9vxjfrCLx
D4udKwzjB/IC7SCEWm0bUx+3Ho7M44Q1+sZF371DhJyg7hDYsNM7v2g7GLTIycbauRRwtqqOG7+p
Pf2Q11l3vP7ZvncpViePXgnlRXS655cqM9iPkU6WsKHG9qbvhx+g94ZvpnCip+tXemeIMjShb4GZ
ZPO2ZqJgQ8mLetTZRMaKc5Lj1H3E9/4zTmO3Q6VH4eP69S4HKNqkZRFkxjWglK4mJPzBCh7ODmkD
Mc6/nDCLfWcOXXvjWrR+N/pUGC3OtBaOvLTcz9cvfnmzGHkxvqlsehZu3Wp/FZOM2aE4ZIuq5e4+
5rP/Co++OCnMFE9YIv+Hy/HVa1hpF+HXWvvCQYiYLa3Id7OYzQdSuOVmauhdWZGTvY6wBYLrt3f5
VVAO4DUignvbsq5GzbKjI3HR5vYEPhu7t6eTWvbhtun7eqMJTbkrJ+OWlGp5YWeLKGA8Dj6LeAQh
ANai86FasPuYkB2ybvbS3kXFVGzkqGCabZvapxpncY6jRSrMKr+36yG6cc+XXwqXZzDRHVwocus8
tdqRnlubIkcdpGcflNqFCcIA23o0UW7M5u89XqAlHPJszuhI687vNGodfaRul+/GSRvuy4zzV5gX
8FTjwv0JLWlESHkToHzRmkfAhxiA7Rf9Vvrha+UWIhxnVggZ3tnRWH2MFmb2fi7ogiCG0o/WbJCn
ALSUBgZEsYckT/tNXXjWT5eYIxLCU/XH9UF2+QGjZaPYu8Dj8BAs0ZD/NvCQc0VlD/5z5xVq9VRK
zKe9wZFAMwtgVK6IA0cYytarWvc/v+qliAAlG88CQ9xbDe9YKYmAJwpkp9ZZ9nUQVHQtveqPSeLe
Sgy68FUBJOMlIwqil/82rs7v0urI6ONA6RA55XgHC4DPI72j+WkBdR/ywTLaTVr17m5MDUwiVojN
KdPyrznJqs/Xn/fFnMUvYQx4CyKFTc16RQf/49SFNTioxdHiVPr0hS538lGKiPyqwrRuLOMXr9fD
wLb4EpGgsF9c6y7ytDTGyLAnMuKm5hMKjXs5aOZLNmbFASpB+GRWffuzd3Tl8F/vE30xJRSd8xhd
Wmv5Yf80hnnY5CSls7pr+spC/sZByATn/MHJoh9Zqd9SyV4+Vsw9KBjYsjB98YmdXy4B96pXaa3t
OihymyUvfk88B22pkSbP0NfKr+u3d7kjpZqJgZiVABw6GqzVPJl4pSptZdZ2KgWYJ9Mb0w99ZCf7
KmY/vJH50GxCz+acnGbFi4yLyReqCa3v+s+48F4sMVAmWgb0G8sBZD1dR7ViFeQyqjtB1mD5LCBA
249qnWov2EKQoHmjFY9bTlydCYi5dHckM8n6nkZgxz45N+avusNHHzShoc0bpVFHyyc1pkFwLTHc
bETZ2J1fAuclYx1ORrIpiRCuSFpIYb9fv5nLsUqBeHEy8VA5aax5mTBgutwSo7ar0JdLVEuO8yyR
eH3IFDs8GEqeBglgrW1uT7dUIctO4d9Vj2QRXOfssWkHoE1Z+w47FAM9aVWzn42G7keVa5/Seqhu
iCXWK85ylQUexxtDhXTxsgh+0s02Vme/1PT5V+ok38vJzh+7xFMeKDbTrI3bW+yfiwXn/y9KtxMv
FD6xNb9+dE0sCIM5+xH7+IY+BKrcKnSb7WRG+hethZiW1zggfURhyeeqQ6s8e7J8NMuq3bfJ0NyY
GN59CGye2Hmz5kKJOv9SzcnOSFtPVHQSJfOs85aHy/OS6CRcsBLFYOwbRCw3vpS3+uHqFdOlA/PO
bpWz7BvK4Z8JySrCtirDbvYVciU3oVF4e6XNvC+lWUW/0wbJRloDNxCDOu1x+pY0AJvomOucL4EO
yUckX83OC1EOm05JqHo4oMwquvxligjQiHI3vrE+vuVKrX/xW9Ab0zLL8zotLK3EBOUdvV5rds69
TWr8JoLOBytNiTCZ2K2D/yL3VLAM8bhrzczeEufqBI6eKl8QT7Kh6dJbhcYLOwLjia75mwuOaYcJ
8Pz9aUpF0SjSF5lgN37XczGQwSIH7+s4V+6pSkJF3YJe1aJtrPSUEk3ILsqmqNX+OFH3pKXCQZ24
JVVRPygABr/WdmI8URpMhk1pIffYXZ9V1jvK5ffyaXPK4/jM3n01UQ9IfcpuyCQyukQ8QfxOTj3p
KNveJv38+qUuFoW3a+HIggSwmBHWSWFjbrNLy5GGwN3rvuiKU35RFMRXUT70P5tINTdIs1KGd50E
UnHEbu7tW0Dc9Uq4/AYOmotMadlirI0zdiSYuDrou5Ux/1a0hIZfSzay36L9fbXKTL1100sNYjVM
l10Vpa9lDcITcD4gWk7OWJ6ZO425p70vZOwrlBUO9D1J6iKmiPCEKnOOfHL6vkBwu8mmSTab2gjH
j9dfwDv3vnDOFlMcYruLXcDggZqsomb2Cxov3HE3b6PULE+qKiRQy9m4cYR4M5mt712jW8FBGy8E
fdDze1eAiIVcb/Y7IEdHfURT/WhVk6DfjxG037giRGWYK4INfl/2qe1HSNd/9BY2wo1JqhG4KyNt
AY2Eivw5pAo8lLKPgYs6xqzsJ6YbZQ8QpP1OALb5McqngkET1d3RsjtrvDE1v/f40A0yeClkMjev
NlGRFJ4FCUiirCiVjRjt7FG6jtiMaOD9OQvN/9giZ6iiNKBDjpeRHdR6j9j0RPFAKJd+42Q/em9U
d6RaWgghmv/j7Lx640bWNPyLCDCH2ya7W5IlJznfEPZ4zJxDkfz1+5R2gXWziSY0GMycAxgz1VWs
8IU3FIjv5VwSebPc394iV9cB9RfCUZuuJdE3WkGXX6xZInBhyPTgJWi6b8algAHoZhGKMvqeE+vV
SyeHkkVhi64M+d4qBG6iRSyh4jKU3imP+HYI5MjLGeKaZSOyVtnHper6nTXdnB/JlFRflN5l8s//
euZCzKNNI/PKACBL85PWdBx0rYo8rpQ6v72UV0ET80MoT6JNwbjzGS+HalO2/4Q6VuBUdvUtRWfW
txNAcXsv9+Y4QP7RheZs0764HKfG2QfxXLibRRguDxRDqLt4LGyQLUn4yQiz0kcFpf5hj8X4LtZm
kGvYo/mlXaCPEvaO9U/fjOYpQ5llZwWuDgwm7PChQDJTP+CpXsUyrd4IPURXnuqh4T2T9E1HqC4z
VM8ZqTWUjnbK8RsfFyCxa2MIZNJXXPN6RsyX7KQCSNRUjoMikAYODQ8eP1q8vY+7NTU27cv0OKLr
Wz1L0hnQFOcEP27A6CmYzS6Ka7+vuvxcz5qys5RbUyM/l+IfUNkBt19+ZD1Us9yCtxAMtCWf4wLX
utKpmzeD4+4VftclLp4GC5EV5gTGnh7wqqju0qBXTSRUAmhIiKEKhONRHZ+MXxwW47HDheUtKlaj
cmoUKz2qWd8Htw/OOtGRP4BpcuVBIgTct7oYql4NnbDEFt12mukJXIfyrmyL5k6adr5d5il5EMi6
xbQDp+J0e+jr8E2OTQgsy1Acp7VwELls1Ws2nFWR9lV1tM0hHc/wNTDLJvIO7xqV3OuBSgSN3Rid
J+ccmoXAZhn4rfknW8rm5Gio7j81S25+bmZKs4duUeIfEZKL6JhCudl5lTau0YtfvPpcUVEqUUtu
H2Aq0z079jzewy1LYb2aAAaRmH4eTULz2+u0NSiNJg6aVJO+yhZsB78rcuEqGL0w+TO3LdpbWobe
TtGJd+B5hlMEYuF4e9AreorcGGxL2spcqtBkVvcJag6UApWiCuJG8+LviYcgq692fZi+sUo0QcGi
AuYK6nY07/O4y350i9UnR0ju0/ReoJePsGTf4OFnzCU4cxdy2PPtn7i1dVkPQh2yf07p6mNUeQqq
LSa+GUXhnHDum47uiN6gRvv7zzgAjVcbszi5db5nw7t1IQGMkCqOUorIWr0CWpqoZj7nNc5gRo9+
oYrKDB/C+uJSCccLtvn56plKA3W+v4uyyhVOpMHIK48BQwdd1uhB55op/oFV6GO/qR6LKf5dqUb6
DTXGPYeAjYnS0UDlhzKE1BlZ3YRo7CSpRTE2KCI89jSzL+6HPBsCXVHMc6SZe8LpG8+rzUsuwwX4
OPx1efMKx2zCKoxYWAI+/TS4Vhnfo7eyq50iv9BFsAxhkvCcBJwWFcDS1UA18jChK+jKhoZEui5z
ap/HIeweRdsJdGsm5dwodeaHMQ3VgyiH/smeBrj/ZVTYByoV8UFoevrh9nfeOOkAImSKyP+wpVfp
Szp7SOoNGrKGgP/fDnqf+QrQ2LuyDbuP4HyNxzatPt8ec2vJiQZgcMk2C8/dasmXLNdLvFDwtO3K
II9y+8lR4mannna1kQBxk4kiVCAvFDLgy1HS2tREgVSpP0Rp+lbTghStqFRCkvVRG3Yuho3BkJ9B
2w88JJ/4pQL/V9yZpJQFFTo7fNYy8YGFYy8bVlBRp0F9GIAn7byhW+NxA0m5fwhdVNUuJ+fUeqer
o+P6FUbt4EhH70xf1H5S3bLxm0TsIh6vdi/AKsnMYwODxQfvdDngQoPC0SedAXUFOo+Sx84/y1JP
0bHDTBYrYtFWcWAtNerNeoQ8WAwLQ/c1eAbekXo09aVKb42jgjEtEGDuspOVDHF5wtU1/jMB6fTw
IouaY2Mgan2okzp7FElSj2fcUTvvoEROvaeycbX3mROJEKIgYK41c90dMBDhL8u6cH3XUiC/6UD2
keuBaXgs51o/a8hangxrV1vvKtZjWIIfKhS0nLggVzdcbgy2qwxgOLTZ6EBATjaWZn1pAKfQhbeT
8F2dNTkYknoW8Qd44fX1VswqAuIWg5nSuezOTR08LLpyivaUtbcGQg6EAiOWYrzjq8e7VkjeG6Xw
/LEE52r2tvhYVVbx5fbVsbXv6eRIc2juUZbxchsKuzLUfJ4BEutO/1ET+LBVQ175C4Jq932D9tXt
8Ta+FWRJGH5Uj7mr1vlyGw8j7LMCTleZUW8cyq567JE+1g6VXrW/bg+2sR+5P1i7lz3prXU8BAyg
JMWmCz1JrXvSjPnPYoj0YNbZcO+VefGYs2V3wsuNBZVK6JqUtqOwue46zAikkdxYnl+5I4S5CcP4
DLCrr+DU+WsZ9T1o8XVBnn4niAX6v7Q7JCv08gtOVoYhBwAOf0FBClJMUWB7QXLeDAUBXoYEfpTj
2NK3NASm1mlg5i7e2RbteIcU4p4o+ub0Cebkz+HiXqNgEDAKq0GPQwnbGM7FWEGak4XdIna+Ecsn
p9tf+Cp+ZPIyhqPwQ/JBoely8g6OH/kSc4sqZWjpD8TZztvME+NjipzGr8Vc1LumM1xcSrTB2Bl7
a3dBsDQxl5Xhzjp2NRFM6UcHDH4aYpFsob/82CSw8Mqi7Z6HIhUfMRKe9gjdLy24i7CHKcMYZYcB
oqbTvrrtOjoIOKPloV+2kTW/QZImG75DHUJge6iUqat8uLMzOgGul39wO2Dnvhi1/h9l6XDe7UzF
mSAVQtE8uw7CW74+he7HMNRF6ydkP+U5iWlvH7w+6hsfExavCFhbOH5NOMX6r6VQ40/p2JeU14GQ
jL452sjtmqgCHWu7QgkYQIdXvsmUqc0P6QKx8NTrbpd8QPRsvCsTtRKHtiuKz3Zoof49G26Y7zTG
Ns8EIbZU8SOn4DW63BazGiZdlU6oVrWzjWYGao1/7LAqHhqgvEGnL8UP9G3Q9Bq8+l5b0u6Q1p54
zhVaM4c8mus9s5CNYwFmAL424QWKIldYn8Gd06GbdD8Jy+Hr0ghbPonp+CZF2FhKLEfRTm3nqipB
dev/QMyEojCbL5egKeumEl6q+/3Umf6w2JMPYFw7zwVQy8Oo9FSZ07qBo0kQ0lLfS+DV3j6cG5Mm
5SAKJjrH+nltlJ4hLd2OUaP7BatyVxvRzJBdrnpHJKmHt0MxQ6u5PeT18wI0HjMWjh3dSaARl7Ou
8F+huVwbfpVWy6Mwm+KA/0UOZ3TYq/xezw5gPKVmBsHr7coNQY/1gcyGRmeeCvIqtZxPzpD+St00
Oepa+loBLC5U6PfcdZh+msSoq2veVoRqJPztAxtFXWEa43Pt5tWXWaPg/fpFlLHp/4Jj8Sa8XMR5
1Nuoqm3dx0THyw5TlQy/hqG0nRNtKkiMt0e73qgkiQibIKHBc0FHezWaMyfkFbFB0JhRQa/S/Jc9
eFg4ZKmmnpck9rqgzxQ4wlpWV7/0XCh7j9Z1qCX5iSim00DA/nOdP3mt6QyRKYD71q36ZskX45lN
M+xMdGvDSDNAYMcQOCxd/vlfKY2wcDOtc0hH6VShS2XPoRFkBvzlkqrT58Xj0r29slcwJblnpKCC
IfuUcGBWI6ptg15WUsAeqj23OmmTPhz7ocOSCvH398AXoIzmdlb4TTE2X0MaHaQdZfg9yhv9/e3f
snUwYUgjkkKvjnRutX27uR+bSUA67e0YK8aqiO+S3lbP0nJhZ503htLQbKIgAAmUBV+lctNsGIoD
JcUPUy1/Z6buM5l4+NhF06fbc3rxH7l8islzZO2TvBGa6Vr8Azc3zJXS1vSdqS0/UmqrP4XEPzUR
wZwgXwQU+j3gBHM+Zk3UTYcpaR3syTtoS4fY7rBoip1yOEZDU9kHy4bb52sNLP3Xn2dprEqUSEFc
p7l4ufFcXVG7fATNTmO1wY8ciMIJ7YlCoByhV8HOosi3db0o7Dm6GFTDJfTycrTUQhOl7wbDL3Ak
MdCBqLVhweBJW+KPbjabcCbSqP0+5R49ADR8xL+FS0NyMfn3fNUUVbR3DOQHX/8iNgJSfkDeKRmt
fhH9q1Yt2lTFMS/OjwgoGL8HTDZOWCMp//RwLzsIFgW2EKAhErwuSvU0L323szDy6Vn9CgD9XN2E
60Ae1rItcblIDcoIXw4xQkScSCPvkSdKm0PkKUlM2DHm3+nKFjsdvK1dKiMhUHsARKGuriKBBGVP
JXQK1Q/LXDyoZp++yVO1/Wz10fxAFRQvrWKq/LhZCAFzJdJ/jKpa3eVTMp7LtsufQfpUP0Sl5g9W
ZaX/3t4vG3cvuvjsTsodpIVrAKNrIoBaVJnq2zUmUgYy5GiQtHa8o+96jaWQqp+gVMh1IWBy8i63
5eyGVTNHOIvVjW6j4idASrQ9rI5DNNUN/Hlz+lSTuelSX0J9ly5Q+pCAjXZC041HgIYULmBSi1TW
gy9/hrDN0XGSViUYK+JPepY0X009Sb4g1mC/mcCr7mz+rV3He4PwE88Oz+zqddWkn3LtYj1iQZZ+
V7pOdBxEXjzonqjve6MFt0Wf8/72N93ccjDYOHRgNVEOkr/q76eO2dQLGZNv8+T9lH2wh1rk8yeg
2OW5dJc8QaogDP/Y9tx+K+gLmID6pXkL+bn61owmez70kVqAEnD7D6KoMFi6/RO3vgMINjgi9O7B
KMht+dcvrBbaTbwdmBwpanQa5tp7D0MOzT0EJpoPjrm0O/t8a0A2H50vEOLcjauUJMm8QeBkqvmj
XkX4yTZz8iGDsWcgWWknja+PIxo0tye5dbZAIEqqiE3e8dK8+2uSSueotdnMmq/O5vKM1dwXPDPF
99uDbDy3hMD/P8jqesnK2K0n+l7+3EKhCiC0LWjpeVFZoIzZT/9lGQHIYvVGp5Vq4+V3C5eWV7/E
nArlWaM4kgQO4sj+n9EkbGivdfGe7v51iUHWcaCtwR6Aq7UmEymLqSllnRANJ3pxXw94Kk5ZZ50G
vHjuMTf6TcmjfijBd9+9fmHha0BfosABJkIu/F9fz+vTJXM6hFpABEMANXBC7bN2fAuBrtvZKJtz
5BzwLEkzybXOZgpIQrG5+f3Oi6b2u1ZooXicUgylaSyXBjpYyEidIgNDKl/Xpui1btIEqsQLsBeA
mAHzXlch0yrJReySrOqoXZ2iGf2XVl3K9w2yDsfbq3rdFGUsGClYuCHrhQ/66kas6ZVVWDTp/mLb
0/TGHlMxvUOxTUQ+KjAsMh7lgJlLNWuVp2wy0T5vu5IkNp91BYS/ofwKzVnrz04fD19itTX39Ba3
rgoEgenY0k8nc19dFYCYEsyTQzyeIuhktZbgFbLE3SOGRb+huy07AcLWEyGpXciLqDI+Wh2pfgBy
Yk2UsBC9hudYGF9GXNzuwiHPz65onAAKeL+zt7dSE2qEtD34EOSZ3mqOpWMlxqhxNZVLO5Rf3WyK
H8zWa6YjwNQa3GeKcvo8LspwGJJSMR5El4nyoMTAFA9kynH1H/YFiSggSzJ6st81+wvggVax+1Q/
VqZKOauRpfUn4M1N9g1As+Od2sbp8mNfG4s4x1ECAY6oPmV5xtz8lmqFPpKbg48+qBMeP8DetWhv
825c6NwDvCL4s0D3WfNWe10pyJY7lTJeg1tEEuoYY7vz6fYRkRfLKlLlv47EKKoGuLuvnW1pqw4j
Nu4YeZJM3E/VYn0phuGDmjbK+bUjcbGyA2T3Hwuo9SvseWHb9lFtoxsginMSuUgQUSj/mTZj+Xx7
qOtdzlD0pPiMcsT1WxgDYDA6o7P9wuHBdxNFPbGZsGJQoB/MiiZOkzVPOyu5OSjIQNnnA0C3VlFo
FtOBJInLHM9STwHDphBPDcA9eShYPyaFOd17jbonS3p9fxC4UMcAScYryRV3+XDk2NMYeuPgbZfA
P+UNRgxqUq0zSmPF2alwxLu9tBuxNURUOv0SIKjJzs7lgGjiiCGjvuO387x8jouaJjtgr/wZvnF3
BEEcPmko+x3TVjeewsmZP3XVvPdcXnFXJHaQeri05JFFwHWeE+MdKdCis4mwas3JUPCRejhROo2I
EsDsbg6a3hsP0eBMP/oq1t/li9QMskJ4RAc9tZs/amW7P6wyrfsnqxDNV5QTENSMrWmuDt2oTL+b
xm28k5eb7kNiWq3xAMVE+Xx7NeViXZ4+pkHFlOUENHvVidbi2ewNFH18R2uEerYLLXHx/9MravIx
fnsgvafpNHCFZcdsMJLKr6hRmPe3f8X1TUO5gN4jpQ2EkRFtufykrW53amjAEdTTFuKklSYfOuQ+
duKO65tG5sNw2iV4jvLEapQFi8laWVzTVyehVR+bsc6VwJTmzfVCGr3z6GyORhWMrEuqwlirbYp7
6ZBFtmf6Hl6l7QOdI5E+LTo6bL5jd+gR3l7CreEoQiF2gFyrlLO6XEKUxiSpC+eQpU/cH7ablsch
jJNvlb7rIbHxtVDuli7MULW5R1clrx4nOWlo4ZBEt/E/GgJhX+oo2YkTNq4VKQ9O0M3GoM++ulYA
H7ugKhlkUWvFwH2hyk4U9WIIPlO72PcFahI/bi/h1s1yMaYMXP+OgXWAIO5YOjhywKEC1RAfESea
Tj1k+49UNqPnZdbcFMdJMZ3TKVbfjN0kvt7+FRsf8uJHrPaNFbaLOc6cyBlRymOGyyzW6nWLbF+0
J8W+NRSC9/RPgTOQma6GAjvYFdQUXR/+SqujPLOED8rScEEp07JXG5D/sdVNA/4Z+B0Rj8wRV4tb
0zSsvbwGN6GMuXGu49x4b1rdYpw9rWiywEt0FGTtPlvEnW4LCLXAasPi1S0bKnMaMGTyYvAU5mpb
qWFktvSl2btZZ/+G6Fn8JGmfxkNq6GIvI97awxwQ0m8wu9RFVoONtO1LqBQMliM8OC5G+VYTRL1x
pna+7s7DDl9263visMdYpKU8S6slNqMkSUctdYCmOIoWoGrgioOWqEkIBHCsft7eqC9FrPUXdegy
UuAiXwU9cnlcEEsDnD9wREnX+acpxND7TZ8MYLTyXH9OlmQ2D9xXWO3ApinPY2tQeikBYOb9GH9Q
QjEGt3/T1grg+EgcCXEBnpf8In+d4AUVtihG5xcSjzl8LqJ29Gua6dCyLe18e6itWxA5Ipaa3Wx6
a7qUizh/klMD9ZNUtD9SquoPNQpq8c69LhdxtciU/WV7lSwSXO1qkUNnxreyBBkTWxae21gmq79R
9EXMslcM49Aqhfojxe97563cOK0A8IAtkKLJmtrqOTErYy4IA1xf1KZbIhoRN6eYuNI84Ya3RId5
tnGR0dU6+tS3U46Jt+gdbedHbAVZXBcejD242JKIffk5m2WqBmS3PL8OUwdx7lHRlqB1gA0f6mFR
PsZKUST+ZDsRts0gUyJk7q1FBFbSJ59UsSz/znlefQdjywIOtoYXtDk4TnTAkdfofFftIJg5c1rf
K00sgK0YNXa8aQvE8/VH0yJglRI80gpz3RVRksToxkYq/0yGF9D+x+shV5ffdtpoO8Xn6zOAdwgj
AdmgxUk8dblonTCmagz7OKAz0D86CSo0SLfmPCVxubM5ry84hnK52SDLOxAUV5tT652snqMW5OA4
NOfMlmLNrlGesxn3YpAaeyCY6zNHFVUG21RLgYWuATgKORX+SKnilx5qjRFm9Qd3SPdATtcLKL02
pYEtaSIyHvJX/HWJNEtS5l0PSURB1ZVSccaLT4nqrVH33qu3BUNRBYCHL1OoNUDNm0YXG7SJxmgF
oqWthwEQi1QocY3qdPu+2pyVHIjlA6uxhueHo4GBuDdDcwrt8JQXVeMjlqce9Rpps9tDXW8LFO1e
8l5YT/RBjMsFTAdolWmcKb6u5yjqpZ41HxMlnEEsOe8K1fxze7grWWzSThWgMMEi9XWoRatrQkVI
FfUyYH5LxnVyoK2CUnIf4seKhwAClWi8q71sC8bQfyGvtd5w6HtL/e4iBI27iWPM/cHrWquB/JQO
4q3A81o/o4OGG85hqRosZ3Z+8nWXkC4AiReNedkrXBfoQwLJgYaI4k9hZT/b7TQ9Z1UyHZoBQ0J+
2hhEnlPd2anxoCPG+hQlCCbf/g3XV7ykCKBBxPtFGrtGlMWzJUyqS6ieChtjykoi1ONGP6VtUVEG
q/V7h2v3iMxv+ph3kKluD7/RtmF8SkvMn/gIZPLlLnFizOyBgSLSn7kSAgY7x0+Rxf+tGwqWD2hG
d4ciSqvv8ay1H2NzSU6UdcffeAq0oNyN4WyhSXuq8nEMj6mHkd7tH3j98vL7ANugIEfeeNXJfCnJ
paqj0MPz3KOZhRl5gRZjDhQPZ8Qm5kDrinZnUBmiXT739M40JIn5LByhdccuT7oWs3Ak2smyrK9h
XVW8T+0Y6LXTB7NqL/dDksx+qozxDuB+636Q2hWoK9KoImS9/BwNZGDwmjlysZqGskGqO4FXhO6D
YZV7xZONoWRjmkAV3S25+y6HUmI9KWeTlYXkTKzmiAyo1lSJKRBVW+zts42jxmBEaLAw8bTxVvsM
h+aEv3k0It2Z3e9JXfUBbcohUIdZTY+5nkd/UM3xwpMw0aaCEW55h3gq9ySbtmYthQhhMzB7bvvL
WXvakuFsBs8UG7ok8j1t0nCDjEPnTedaxfn25t0ajM1LKwkRG7L01WBV52jhMBRR4OWDg5Wfik/O
YcRfFTQewtZ7qIet4eRVxlmW+NR1S2WsdLWpWtgajSeAwih59a1QgeQiUtF/ff3MuDMI7im7EeOs
khxKuEPkAXzxFZOcNTed4i7tEiw4JlTf/8NQtP+k1pVEGOuXXyzsRI3ClRH60ZR6WE0sRuR36Vj8
q6T23pu5tYL0X/CqR+iIRZR//lfQAam9LzCFDX3TjMYhKCGUt2dklbFFLNyif32iRKUWJDMCbYDQ
2CeXw2VGwwcTSujrGKc9xbbI/CrH84DI2Ih2lnHrfdYBokq8HiUqWEOXgyU6ojxDl4R+alLJeMN7
2H8JLVt5Nmqt/LOEWdOh2NOYb0lVHSrlaMxi4Ka5NYo2y/TPgF56yA0YTRg4EExgEmMb2bsB44vf
tz/45i+V3GQXoS1ufXN1bLBTm2MUSOSxKWp0DHIXLrYS1v0xbRzzIxHcoB2iJa7f1Y0az8GMCuNR
GbTxkITd8NZKULZMMH3mhsa28Ij343LnUMbYAxRsvN0ca/4CNofsz5qwFHWonJWzRTAXOcqx8zLn
Ef6Dh1iGMI6UP80ALUH8nZuxsw55B2nk9kJtRHjwbxFe48CzUmsaQJQUwjNTAH1lVwyndlBGkO88
i+E0vYU28lo9LgI80Kg8S3D94Bau84zWmqnbelydWBQ/6GhF+ZiCEyJ1uThr0+tFQeRwciB8ARh3
/QgXi6p3QsV5MO375NRSPzvCeYjvvQnDlMbI6hLrFWv4tIx5/TVyvPI+7kb7vh0XZyc/kMdwFQ4A
qkQUmPI4iL8rXDXaAQP604pvjPryIP1uUag1u7vbX3NjN5Hkc28TOnNQ1xoFxD6KF4V6HAzYJt5l
Sxy9V1LhIUVZ1H4BUPDU86MPc49iWKINrzWK4esiw0nEI98qWuSr66E0lME1ZkA3GA5qpwLxfyyl
NRTl2tgMrMZSDy6SIzthwcZ9C3eLfvcLTI1pX95JvTZJVR9S10YLnSPo0CzAn845hmL//tuIQBAj
oPIJRpHTsi4VtVziHicxDrSlXRIf7If9xWzE9NCaanzUvWx6NKdkOSBTTFlAZNAa+ijZ03vYmDEZ
v03q7BJYUgK9nHHSeQ2KfXYUJIvQzn1FQEnhJP81EKjt3fgyw1vtW1OqagBhodevrtWsEyygHDr6
MZy4vLqv6SN/am2lP5dJlt+NRdd8y7Pekw9riTU5BN57s61hiuRW+HNooERPPXSTnYRn49KCyyJx
DvInUUy7XIAWkINppAAoFC/5Y3SgS4wodo92MabnyuumnTtya73Jb8hMKcnCClkF1EtjgoCsdQwg
ppLWr8AKifu5gQQT0xr9D3Oj5AnyirovzZnVYNRUO8TjBwarOpXMdfIevTx176sSfq3fGv2yM+BW
+kZ1BIS5RY+Lu2m1nYDVKIWFokcgjFg7j73hnB1YrUFohWdMTt6BgbWlqVB+HxGAHGqMPt917agF
HbJsD6mBVuUY1Yj3CfP77etsa+HJYyAt0dMkJF094inGpbObGUlQqZV7Shf7a4smW9ANYbTzieUc
19scvWKiNZyuALDLY/BX0EZVUV0ci0uEmvQ7O+6LXz3GuhQUqv7RKzX7g+XA9vccJX//6inSwKAC
Bs2Hr74+y6Fim2EYllGglMjiTdOCUn+XwLo3xv8QKYKiB6RCc1aSo1erCezIG/q6iYJqLJezhTn7
GzuGuJR15Z54wMZrR33K4Gi+tP3W1fs5RI2/kLNyIy18MuLIeKqqJX59aoRet5RMpPwCMHY1IdhB
cd5YcxSUyRhhftMOXnNMBfbzXaLudQk27hyOJZ+fFaRLsA59jbEHpZMQuVC5th69YuRFm8spOSSN
N7ZBqJj9zu7fGpGYQRrESub8mjKclVOhlwbX/NxU4dmplyaAzvgnto3oDbihPdrH1nAkfahqSKcZ
3IIvj0AbqcvYOFYUdE2jBH2jmUfuof4QL7H7Oevc5D98PZlFoHoAHQrSw+V4C2I+YVeZUWALotws
pAJjzzjWYy30H5JaUJiYnqoEgqTsq41SNngYjqa0BWrqJUjCqvWdIrE+hDxOr49G2CMvVrZcWVB6
L2flLD2Uq9LIkS/Wl0MUDsqdGuH/EGPd8/o6D+UlBpMuMmAtVkM1SeI55WLmwSya7p2hF/YDhu/i
MV0UsfNGbFzEtAVsklroALxNqyeiaNwCbH2SBXpcoxuQ9UgwmU1bNodsHKedJZS/e3UXS8aFtMeF
f3CFtDTGwV0cGmNBZqnNF1AtzZsu2tU3ke/o1SjoV1HVRljliocHqImGVNJmQQfB8zynLnYZDXJW
YnEx5INVfnBaDSXWbCqe49Z5rUEaoTLkP0lhk3tfW/uyNXzO2ktFFsx2LM6gVj8MYVJ8QgC0v6+m
NNzZK9cqnqgPUFU3HYYj4VsDoCd6EbmhNWmQFS3Bhd2HJrVhOxTBFHrFU0898U7pS+c4mEnzDgxh
+dwBwHuMStNM/KpojJ+mJZJ/br9+G5+aah6+TgAlKOitXz+t1L3WKKo0WJJRBZOoQC+Jsz0qy8bj
zjaiuw2MHpGJdcsunAmiBixL+NQz8FCg+9ju6SQl6FssmX2ehGO/sQURjTs5zV4heOPsUEfjMiA1
ohq8Di1ghMxAJLI8yPM5/bd0lOgxEo39kLjlTkFta560zEFdUUhAkmR1zemDM5Z8aBAYZWs/kJdk
98QC6pGavXEU6PU/hlafngkCzLvb33Hj7eD9pW+jUW4BgCbX4K/waehitbZS5kgfM/nTW1Z3FLMx
4jFsNd3dUIg9BNjWVKk4U95hBpDp5Z//NWAfLza8IxDO2aCOJ/q+46FLE+hxcY6jYtq4H8JxqQ86
Wtcf/sNU4ahpRKXAmdaYd5KdBCUeFtlEJOKAjLX43Lnzj1mdprNbes797eG2dg9lA7rA5NaSS7Ca
6Azkx0wn5AFGq/w2tVbkU27GGivu9T+3h9r6iNKtm1BDRjhrFdG6RC6wXNQ80EVpwzErtZ9lnxfv
R40OqmHn3g5K6/rwU2WjPAOxioI+D9jl1JJ2absxU7BeTZbMx1mnetuNy5665/UCXo6yCjNwssvK
KkeNoNVz7fNYltTWtLJ/PwlaBq9dQK4YUG68KHwo0uXLCWlKO3dxvkjYaOw8o9T6Q1kq+84Dtf4m
L8c9vO71Cya79TReyN4ACa9Lh6awtCZTozJwpVFGRZLaHTJIam/VaWlRfsG3+GAJmbtN2NHynGVJ
uxMXXG8ZfoJHbYA+PsDKFxzeX8ewDrH8UREECkC4uV2gl2b9yZq64SE0POWco1DzaoFGLHKkaIbs
vUD5WEepY2nSZ3EZUaWbdszqRDsvbuzRgDL3pBC2dg6DYc5K4xsIhpz8X5PrzLqlvtOUAeIzPX1m
+hVPMO/a4ZCHlreD9dg6DKgdyGQGPy0Sp8vBQIL1buQJBBFNCK/0g8oDts/JXhggn4DLqEfOSMZx
3F607VanIUNKEe0e1L6SpjOpTdnjIbdHm/b0ogepMXmnedbzY63389mNQ7r9oR7+e/uYXN/dvAL0
8QAwUKi80l1SnSx2K1cvgrEavYMhyKRKoCD3mNKnfmhO8z2bfg7UuRh3irBb21UqYhNckXQA4blc
ZHzjFyesuQv6zJ3fWun8J7f0sTggM2r7GJ+I4+2ZypRpvdroIEiJHR5/wHWX46U5GOVIZTzVWX4L
bTGHQ1WK8nGKe8dHiLk+DHEf71BFt5ZXYlBezO6gLa8GrRAnafI+KQPPpCvUhYRTSCIguFJY2dMw
aNk5S7zki6YM0evrvw6iAVJnGFUoWY69nG+Z1D0tIoRhlXqIfUMpu7dzjDdQj1JUkJdW5dt2Ou+k
yRucIB5jOu10Q9hS1EMvR1VKt7ZHD5FMirMoJpWekpt+ktvGD66IqD9GAEjKewXl0P7QOiFWQjjy
tuCRRym22gl9D9wkt9HqswMHwShNMpQB/K2XgSBwSFW0/Bar1Q5N5iwPyOqjXaX34Z/bO2xz8p5J
7w+hBpg3awi3VUedZeJrEuSZLYI6LbL6ECNcUB+IZHlQrWR8rES8fAVxThRGwjh+mK1oODdm6vk7
P2bjdpG9HV4+j+4DnqOXX2LO+oIyGlrWhRMjoNgvxfdR/opJC5M7F0N7om63uLdQIAkqT89OrW3u
sUo2LlKZ4QBPpsgl46bL36D1IZLlCr8BtIDAEGHEjbmr7l4/U/yTGOjFwxXpustRuC0LJcxI8yOC
P/WpiS3xZLqzh25Bm7HOxMlxdbAIRNtHxU7iL2GetgLpFZM88/Zv2QgDaDVLPw8WHi7EatGnVJkx
io6yYNG6+mEQunuXaYV4KCsgYooRGg9VP+Y+Sg/D5wmu8s51c73ZQSbSEKYhQghAOedyJebE1Jp6
RM5qmQuw0FgC+pOhxIdxUNrg9kyvr9MXUgmdFxyiUJ6Tf/73g5wP9ZTgcOuD5PNg8mr1l7HO5iBs
puJewbXlqznZav76XU09BwUMiNCk7Pzfy2H7qtUmTBs8/FJ6/a6D2xNkENKfIG+JAG9VrrbF1p/h
V9zNwq3eaFNX7PyGq2/MwtqyrcbLCRjkRdzrr5kredflvaEJf9YSYGVZAigUPYAqhy81Ks5Bcxfr
Y1zNSU+hvp3KI+XX/P6Vq89voE1N65I0hIR29aGFArxCB9uDBIEVPWRzX50ds0mPcao4H8SQewdv
3jVTvXqxXwalL4v4gZQZXKU/ndb10VjXCBkqVY3WSTzchbU5HLu5+KpE4Xi+PcfrMokcTyrtQCsE
VbEO4WFojwbSzgJhzcL7UuV2/dB6cfdQL8scGKhB3fWeLR4IGJz37ZCGH/BBte6G3hseq0k1fjRR
P1s7H//qQZf1RIB1tOhl3LIGRXKdZKgtttK0XHFPZVXrhzgqe99s8+lgeZnwMwdRMn3EhvX2clyd
bTky8g8v9RmC9dXOt3D99AYQAn6fe9GxaZs2gD6f+rPT7mEYNycpC7TSk0eOeXnICjrEJuZ6o+/Y
rfIW+UX1AJlXu2uLtD4Jz1NOrd60B5Vu705MvDkyQ8p8nih/LTzj2UupeDWTdK0R2l47NdpTCWrs
16wv1bnS3PYDJpZtiM+6auxE/VsLLL8tGAX6ubwll7PWu7pv7YqxiV/G1q8Sw/hnmFO615XpZXud
vqv7k6SUBwKnMEg7gBNXJxhphansJpgUblEX52WMAWImGOs+C9GJc2UUzQdnHjDJvL2LNoclNiHz
oE1/JaeJhrzhtVM2QqEtlnNoCPtOLyfMXNMlOXovRi1F0u5s3Y2virAjOsCgEYBhrW9M8NckkjYi
hl3Wptgtt0OAi7xxaKBlwSoYw9+GI6L7fknH0+3pbnxTaCTo2b4otcAL/x/OzqNJbiRZwr8IZtDi
CpRoxW7KobjAhkMutE7IX/++5Lt0oWAFa+7s2h5ow6xMpIjw8HC//KaUyLWBDgJ0bEu1vKfjP3tx
jTH/rdWavrN1N25HsFzeQ7pXZIVodWiyuTEE0e4QEAKiTTNgu4TNRt095b1hviurqP1ye25bnxK5
XIBf4ltJbL2cm65H6OF0zYAbZmweo3TO73PDQ09DLdtj0oYoBk5J+dZOL7btH7YDEBg3xPpO5j52
NWj8A0yseDqFyMw9jHUXPdLxHf/Ft6MSS5cOGrMUb1YIjspy2hzEIWiRQT0naau+c8e2CBK3D7/f
Xso/a3WRJchp0U5mg9RSKl2j0qKzMHdwoiFQUq1/6ZUshTXLm2IFNLV6sY+wYtKeZlPrbb9RvPC7
Fw3Zx9z0wtFPo7SnA63JaEMJDX0+ILKZvzcUXbGCclRj50HkneMdlDw0v3mE5O/SMo9+NGj+4wAo
qDL4MzDwm8lk4LEEoZw4+j15qFbXmZZ1tRoPHldpn5pPvSG6c+cN2bHTvO4RWvhe1f6PRcVqDaWk
stwU8qSvuZa2NkeL0RBytrApXKxB8I7/DWiWW36ah2P0sIgx++6wksvdUBZF8SFt5nw8AJ4iqtk7
YfLeHcLC8y29RNoDCFbMX6d8mtCxsJAy9pd+GT7lgzbuRM0bJxceieyh5PxyE69WijJsbsehMgUk
bPSc40QX/Wp7q8GZMvHiyEfLI3F2EoWrzIivw74GoydXJGaXv+lVEKnhN9aOnYZlWj3XHyLP+yn0
St/Z1luDYOUKIi8VBMBaLgcpuiXRRKcTMsR578eladMMU2bH24dn4x4C9YTfBpMBUtOaaLbUtZuo
QiEW1Ybljk863JuLkOoB0Xy3FGiYZ7Hn7TwpGxe7QQEHOFC69ZIOXE4tNWfhFQtxWNa25f+GeYmX
U6g4BvUGFOB2gr6tGUKiQ9uGfUL0u0Jx1GHpjDQi4q/rBNu0YjbrDwLhua8t0o/oXqTtyW0j+8Pt
dd14NcGT4bRTUEYxdM32SrtRGyvaSYKpUoUIotJOPqQz8o8D5rxInOVW9qSaWfIuF6Oy8023lhcW
H/RFGnpB+FbbE7ZeopUel4esCh77dlajMzWPbpENgcq486hs7VM2qOyyh8d/1Z5Rqt4EZymeAqcs
7e98c1331dTeQxy3JiWdZ+mMgd5Ld/blnlk8r2kt6vEBbngzZst19zhMtfGA2AaSjrc/3tZYUvbd
ocYLtrku0k+8zurcQ3PuwbgOVjwR7nSa2j6lWdv9xVmQ6vI8XMQ6zlq6o0QyEl4jBgSthnp4yPYI
Ziq9D7OqpTsnYeNLkY5xaVO9ldzL1bHrx2VEh5STYKgIkHe1GT5mZVvv7IeNCxkAEUcQ+ukk7U7+
ileXo2GWwijmkd3XxFQyxlpzqB5aovCtIa6ahzm37Z3g/xq7w6kPPjARKgqGYOGrRwDopOFJcgd0
1upEOXK61d+0TJnv0HGa/4eXH/wKLe1qWBbeVKiHLImKs9oonU43XIXY1Jv3j8x+aTSRNyuB5eUS
xEUE0apMubqBUfx0mh24AX11HtFD2Zn6xlaFucXLR9IFML5uSk7HSU/BOQYsfSv7bHXC/tI3qUGr
XJbvDLVxpVmgdCaVTQ47lIvLWdnAbn3bY0kEhd88eX3xS2jW+Kw4+vRiLZl65zb4FqCxa7x/83JS
oZaCIVgKSjmPy4ETwTKGBnO0rDl+jvLaIJxIxjr31cKYd0Q2thaUfEYqyvNooEx4OVjv0Jbcz0gt
lE6XfclSmp9VxbCeoOmm97fntXFSpK4dQSuwDPy01VBmY9m1iiEBPZrK+Dx3mn76wx7t2OEHox33
eGkbLyHjObJghTAsbNDLqWWe3nm1ZqFxW/bDKQIh85Wh+WJrsXHn5N50X6q7vlvy5K3iSq41vh3h
EqaJa+KpragImCZDH8yWmRV+RI2w883Zs58jND1qvzKG4mvOv2v7Ud1Un3U3q/Z8Gzc+KWgb1BFO
Ck2djtzYr26k3gs1WvdY58jKiv9iU8k+zqo3v7NdkewF7ltrDOhFjZPaKvJPqzW2W8tNIjMmr8PA
/L43JutIi9TwLsWV+yDF5iB053t64VuL/HrQ1UYSWqotkU0CVNsljmGLM9/nS0SXcZw5uJanyaNi
l78Kkl+p9vYXLxiFUOqtVK4RprlKZTPV6mI5OuI+5qEatfpEu72CU2zZnW6fmK0vSdcHVQmyZp6W
1ZdszSgCS2J1p3iY77SSvCunC+UgUlvbGepPA81650o1LWrW9AhcBRx4/pStQH0wcAa7Oy5tnT4u
ip4+tlqc/agctAt8L22aj02vB1ba3/V1YTd+YbYJPQy5dZbBOxH0Yv/CCWFJybl769+4R1P19prI
j7v+nbTiyY4j2c9pr94+d1p0Gxo32ndzqfxypnjSfVyBm49dTfs32iPap9sDbnwEuiW4svgQLM06
jIAzXoos5TjRmYZVpZt37wow5ZPTRsvXvxiK3iZJTaIkszYwMEbwvnZQexSrW+WjUWbwoLK54N5q
BmMnkdx43nhcYO6zigRI65SbckFTlNbcB42L/rRiUHDsOOef+zJVUMQs67saMqXfThj03Z7lRlzG
yERlUoUH/HIVl+lzB+BtTX2QG7Zyh/2pHXg0EOzsk2spJ0gRYAqS7uHJrl95db26BpuaTGMx2dBK
oRcPdpu9d5xmPI5upBzNSAk/joOX+pNKv1NUm0g9OuWed9Pm1pEeVVJdUyKolz/Bmw2zYyF4DVRO
rRm55kFxSXHhDc6H24u6OZTE+JHUoIF7bYXVRSptUqnLLvVm9w43gQwNz0w7cau8mZwgF5YyPV1E
UkB7zaRx1SiPF4qCgVc74TEZgItErEfnKBZ9IMifkRav9lpprvsy/4wKMRpxQ+kwudo1S2yrRVwa
fTCgpX5aCic7Iju4PLuo0d1RPHbmU12ZzSlzUwN7xSqvIOOGw1Oo5uPJ0NPxPCgjynxO1MfHHB7H
oYRdsCcsu/EeysBcVpz4Pw7W5RdvWjdKo1zjVHXR8NInc8ozUXkP9AWmnxBi9A42lca7299+4z2k
ykdCRQTHeVqzRUx0EqBSsc3afhru6Tdpv2fpMr9TlyU9D32RWb4e9uFT2iIjoMS9vucjvjVrTplk
rRvgnOt3akoFsE5M1GMok3vOO3d6bCNyvMhM+kOj4LWx6Eq+w8nZukbkPkCpAEyKvXi51InQO70C
ng8Gq3LfRfiV+H007rmFbJ0rau6gRfImAZ+8HGUy9RrhcC4rs2m6o1aX5X9N0f0O00bsJJLXYlqS
xUW2QcVDKrSsCQh9yJ6hMa8P6i50fcQllZe6FN9sW5TPuhKV1C5N/aBGyozWawlnX606XOEb86nM
ivj77T21OW/JEZRAGfWXVehRDWM8ZLp8HqxQnAyh/ER1dvhMAaTaqUVsbB6eIAulDZBWSMirI1N2
mU5sHoog8yo18ruyV+5LPe1MHw3z5SVpK+MDJhd7ZLKNCUoWPRggHjeI4awmuKReP1RL0wcT8NwP
LWxcf7KE/TIV0273+9YU0ZSHsQrejGjBKmaJkfUPuYfJfHrVPNV1PH1BzARgQh/tXja5OgenKbvQ
H0UnML5C+fCUJU5zD/+8PHtmNU++W6apeRzM3rv3EipQh0iplONoNdNfbHnodbTNSW49mbuczauH
s861tk5GDzPkGBA29+LkkKdh+mQP7V5v1NZHMLkvQLn+FOnln78aalLmqleamoVpaJpLpjr8Gfd1
8mg7lbOzzTauC5njyoiATX0lv9UmiVJEDEfVhBXzOrs4aqHQP98+NhvRKVQHqTAMmR36nvzzVxNq
5hFnzB4jaaHqM2K/Y+E95dDmv9eTcJ9TJWv/d3vArRUk+ZIdZgRNdBZfDmjOVjvOlcHpQRfuzjTF
Z01R8LpJuj0pts2pgRDSz4O9MyDLaqQ4r5tmZCT01QgOaV4LkihEryhXp/s+LeOdV20L5ZLRoYyD
QQxwdrgccI7NSHca1pIKSwjhUY2/TihYPhjmgHNDC7XmiLOD+k3tLeMp60PlWeH1vRuyplffjnAR
+xOsyvYi0rHVZ+2asR3wdETbcGyblzwsjEODk33s232652e89UVduNnE5vRkIMh/OW1I8wYpLetc
F1FcBGgPWA9dhXCibyjZ9PH29tm6mcAIwOwhrcB3X4Fck9LmykLxKqgQgvqeZH32rYGU8qGiZ0sc
RnuZS1+nCrfzumwdRk9DAV7CBnRgrj6t6XT8zZYpgmIK8ZEVWXhS+ko93Z7cRlwkTdmgvjA9qgOr
s2EkvWMnLaOknhgP4ZiqPu18NCLPhRXQYJo9hSJPnsYKd+rQGvZwmO3hKUyQvVNmXEf/SjQpIdJe
3AUFndHlZNU0vc3G0ViEuF8csTwIyxBnb/IU6rRmuHN+rj8tpE5ODYE6JLsrIZN2nJpUmNAJMm1Z
vk9D7h5D1PrSQzV5IMNF6IyKP1SOunMFXu9fsh3+CxxMVAaf93L/lq5dVWUcjwEmO0A0c6G+7+z2
pbU4qre/75+I6BILoGDIqSTBgkkI0nc51Kzkk5F24CNY1rbWcUTF4r2WYLfqx3ObfVdbWz+HuqP8
mJa0fKGMqT94SRo/Sgz8W60NyhPSt+6nUg33pPa2Fp/SA/KjpGMSH7v8ZXBISiNzwh6oJKTbp1Mx
XGqxe65woOpiDCJdy0+6ZY/xdb3lOMxAq5Jqxw2yNqAVmFs7Jp5fgedlReNXiztDUu/s7jucQ80O
kFlIz8ZQDz/iBa3MU2YsmFHd/irX7wS/AbkpADJuy6sC2VJ0tUM33BDE1dCcOzUfnpNI1P/oFK4/
U6d5s4yHBDn592jPg3dHC/7lUi9OXOluAsw7FsBOGBxlh7jF2Qxmi71zpDa2NjOC3wHri922Zuj0
qCU7bc7fnfMcB008RPBZXBuppnKvQWZzKMTR6LsntwOhv5yVkorSbkygINWLnytXOioVnlY+2nq/
a0e4ORbXFHwg9IgJXS7H0gcnj8qa1BqkRGsfJ2usvbsqw9Re9cr5nzdvDzpzZUcpJGjqtauTEcde
og4eg9UNHghhbD6nxhImh3h0ioM2j9leC/L1W4OaHnAWQSY+nTwGl7PjFUgMzIgBNiFwPNPlCMO7
5ia4Pa2NAy83vNQToKoJOeNyFLPNFEtMpBMzosDTIXbRvfDruMnu5snxPid2qx/TOqz2yv2bs7Ph
NBCfELNfgf2Rbs8YWXPRhIo7Bl5SJWc4HOoezXJrj3DFAtlxqcF3lL/jVWCr9rTjgBwD8BgtLNoO
Em+B7EeQAL0dbi/l5lDyb0PTU8Z/q6GyOg/TkapUYNRqFBAlaQ/FMPxn9qW7g4FuYIRo1VElIeHm
pBGwX85KQR9CgohcFm7XBK3ZVb+qcnEPeWNm99Wi2E+mMD9Gw6j9TJNk+Yoz0l4z3tYHJEjhTKB6
wf28mi2q2JbwUOoLYrqogshelhNK3enOmm48DJT4qCA4aK9RmFodcRzRiqrNCxicc7zwDIzh/WDN
xdGo3P6daLwOsz4BDotq97kxvD2Hoa1PCnOU0jAcdODtVbxn1K0RWwPFmn5J0tOkZM0BXQBKq/Yk
jm/fPRA3Ic3L2IMn6PKTdvGkuEVZYUJdplbQNXN6GCzs/iazeXNLIX870Qd1INrQuc9Wny4SVJ4b
FdIfquvdT3Xo6i9enBb3MdSwnZ26sYDsDpreTGxdaFdaXS/FLMxSWWrqbGQhB7OIm6MyOaNfjJ33
9vcblTWb4Bz1Ue601VYZ1XBAHgU0UV14ARJdDOhrS/1bF7wtCuoME5nbn2wD+ZJtP6iVILgGsXHN
Z2gLKx9U+a6WKbZmfpEvlfW+V8ZRO1bd1PxnCzMRkMf70qLtL3U+NIWj0V7Zhc7LlGEbcozsUuv/
3flZG0cTsiodeJ7si6dYcbmV0smKFNvldsjLqTkpo501p16MuLJxadS/bQs6SUADYqz/08Wj/S7D
kqkP0jwun80Uh4OnyYodioN5oX4SxpTVO+HIxqGWuAmi8NQ4iEdWpwqhnMlSkxT0BDL0wQYgCtCF
N49ek70kDS6LPFPa3TA3PQC4Ye4UWLa2pK6bWDaB/BpQbC9Xp3IsMnKbCdcx3rPw0JXHJNJ+qr2t
7SC9WyMZkukC3YqWAm91zlIvj5SGJI29h118VQF7wrqJA2uZxp17cuMZl8kiyyp7dyFEXE7KINqK
EXoimIyb+bFuo5kwtnWhXiRGdG70GeftBhT99k6Tf+sqj8F9x+Rx5cEjZ1jFRA6gakeD24AaWTIG
oz7l322rKncILRvbhVEcyQnkYqRB43Ju2BNp6WBCaNEwyD0Ui9Af4y4z/vXS1DkpwoxPiFbZh8SL
dL9SO/Pj7Un+4QCuZ6l53CywMSQOt9owyeCZOU31QyAGHLDv9JCGnMCYw3Cm0U6LwyBsaIw5On2t
mMcwrsTk4zrR/U7p7KXftld/NGXcnCs8iE5DGMb3I8qvXzolS+xjlI1mdzLGWFf8JI878KGRa/SY
VJ1dn2bQMPoIrXzMHxxLKY+5EXnVzvyus1FCCMlxl3ADcMoabshw+xI2kRE2Zt4/ST2cvdCWBVyZ
jnqKR2WqwCRqnmlHKmBiafKqQy//W5HYH0qB/p0lPtxe8qvdLHcUqmp/+vwJplavRmoNWULJECgp
mq1HgRpU5quNqz5G4E4nR7i0UhPw7WlsyA958aH/DEsJjGgGcH0tDVo7+JDlPBxBNHseubnXncwO
ousSzg6E0KzbeT+u7oc/BwcyCWNBk1gf2gLYqkbLHMC6cbxz3QzjXR72RSBcfdoJ87eGol1NCoi4
xNxr8gfJbQoxnWKFtG4+CMtsSSb6Ge9pbY91LW/v9SpCBaCuRwIoSaCXx7UvdatLioF2LbcNK1q1
hPlvkWnhV5oyuwNemagqpun03M+LuRNtbA6N+qmkuEBFWJfODWusUtUc+YCLHaN7q5u+W6fD2Z3G
6GmS0tVF0+Z+N9Vv9iPiU9Jgz/9AfZn36o7KlA6Tkw4GcUrjnC9yfUEb3B6PYd7uSTtv7VIdZij9
mSgI0Xt+ub6Z0Vqp5c0C18su9wES58PkIcFZWFZ+WAZb36nvbY4HpGszGkH4uqIGEslHpgwQqKqi
HosUbntjmhjhuFhtUuTba+ffHI+MkLWkR4T76HJ+RFzpNC6JtHjPxo+ib7wDXZHVfWtHEEzaec8J
5LpCz7czHFg5MHPIZ9YLqitVAxxeEAEJ1DVOqoIpzSlW6GkKjN6xXorULtyD4Tk9746nRC+Vaorx
vRr3C+ufxuPol51Rur6b9S4WCCWtmvyh/on+e+vNGYn8sYjd/zH1JR9erQ6556ShU0HdhOf+6E1u
+hwmZM0ktvm327fwdZbJWBCHSNBR9ybRXJ3kaEzKYqkVKieKqnzjzNbfMnMx75x+1n6KtqQDVita
ql5cAh9NxV1+a2rbuzvx2tZ+IKlmNwC/IJqzynXDmT6EFNn0QM3D5ZDFyfzOFLr9VQ2T5Fvtqvk/
t6e9NR7+LLCTpYcQKlqX+w/pxpxmthb4uzf6lynMBFr3y9DhehOm2UEk9R4N4SqMYp25sGgWNEBc
gTovR2yirNactuHG7CrlM22Q2oc4DneiqK1poWwKx5MvKovWl4Pg17Iso1OLYPRm+6Frik9pBwXN
yhQSgGnQ726v4taD83o4+XNe4S6aBp9UdSsRoNxfHOJE94IYWddD16X28fZQmzMD8JBsJYPq5Spa
cPticAoK0IHitvMTmKT6oSIc/1YTz1W+MnMF+28fETRAKlBwIUKXuZycGnp2SB4vAtdtxjvPFZ0P
RmH7ZWTZRx1a4c4RuG6dY4cgrkjkB2eEDHc1RfrZLGsyeFPjYTLioyU644MOpmOfqHK3n5SxFinW
ac2UHDFlnpMjEU7k+FZbii+Y1s2Oj+6ElgcxBXjrnuuDjvlS14fYr/LaNvxEzbX3adxBhLJyPbtP
8Xoz/cEo0l+jiYewPyBdqe98t60tAk7GHYaevxRjv1zFjg9jVxar6DkLttHAuSdhZOrZo9y8k6hs
bREwW6AcFZVF0IjLoRy3rJ3SoqRVTtl8bIfC+glAlgWjbSmoAOt7Ge7W1GRjD5Vt7hEywMvxYnUx
Ei1cGE8H3CyV3ggEMiFn0wz39uLWUAivQJ5DAY8e59VQWpSbgI6UeJ08TNBnHpundJ5phOnKZCef
3QivABXIJWlqhlS6rqQPlmIP5hz3QY/B+e8QNfvKr815CGxVaR7gXhbHsVarw2j1TbRz5DamSc4O
Id6gWsLZW92RbedmSVWXYAZ6Uft2Y4m7DJqk72hjdrp9ujeHkixBeOEUo9YeL442t0ZTEmwkSfS/
QVTGSa/7gXLUmO6MJL/NKlSmixnXGipfyGKu4cU6i2nHVnlgo1Kpjqns/Detes8UYGs+FvcGMCqv
2VWawf3r0ZnNfISFdqkfN+34rRH6OJBr1vnPty8ezxh1W1hnkKNW32n2OtXCMq4P0LhLAqUfu4cc
f4RnxL21L7eHkn/V1erJ7kTuEPoR1m3SE5aJdpoDr2geNpG6XnlnYxn6U5aNVoD+tAY0Pb4ZZZTS
xECMxCMgEqRSlycbCd92qXsGhdsSPvU8AwjfjvppDukzHSCe7SRuW5MkZSOXYe/LvOZyPD2mycVB
ZirobdEcR7MfP+IGbt6xnZySPqq2uk/Q391JpDbuS6nOzZ3CAyeLk5ejLpPZWQBxvDdN6xzzcnTv
PYRnsHhGUQ8i6nC8/Sm3tiiVE4pQPN/Agqtdk6VJVCEr3QVVv5THzOnVu0oZ/4PIvVdQ2FhPOrYp
uOJiBAa4bniXVQbROUrHOwerOQ5r/Wtm5oi/V6pKq4CjtgqWn0I3f9ye4cbdKbVvZf8Qo1Nqu1xR
LtOwaWWMN7XGdHBTxfK1Ka/eVYW5SPMAw08rK6aAUzQ7+du1xAtqp6Sl8hkC4rlyNGgxx/HaHoNT
uxXVx4wW6AbEYRhfxAACjQuKETipWpzSXlQHfWnFh84bEbtHP/q/elbbY6Sk1V9gLVxJ/Cw0AeRz
slqP2piM3qpImKG/jEfFavT7yDBCv/TEfG9Hlnq+vf7XrCy5Ch7/EETRpLCOEo3WjcGcwQY0BZg+
6JSKACnTi8S9U4Z++ajNZWee+tSLHsBnK+0wKtmQBmY9t/8b3IHY4fYP2tjy/B5ONeq1MkSQf/46
QG4SN9JVfk889YSPdWnh/Kp/B6r4i/hYagZQIpfmsnAOLkcyYHODtaQABohWxOelIbv0Z8cQUDqt
In5OPSPfo71vXCBUJQENaIwnPl4Xrx2tsGqa5LqARtnmNPR4D81Se7ngofq45Aij3V7NzfF4Q2Uh
hmd73fSI8KYdza7eBc5U2T+EmOpAKLlOwSOipjAVb1biZzdJkUPgaMRBrli4roibPhdWh8SLGfrm
2KmBAdZz1oXyN0NxmXv4sMjOhfUzpyxOHluN1tGZZFACTZvk3TR7v0xvjD6+fREJjxGM55ED55aL
/GpL6uGSjy326IgM2PGd1SHciBv1N8XucJUS5AK3h9s6AVyEsicdYiY8jsvhEnQb5468Ipgiq/fp
rvECs0qEb4+78NxGoMWnkgwHAiDkgFZHoG89i37mGEDZNTvsnhPtDnX3duem3dqEkmwJowv2FC/M
5YTqJcETT6Pip5e68dIo2JfoEMp8p65Un6puuROPb95pxI9wweH4y97UywG9xOrS3OWU0cxScocA
CiaV8I5KqyWHJRv70yxc5UDLWyk1Vmy/14vuHLWOufNLtmYuW7KQbKOoDG/v8ocIt6VbQuf91twy
C5oFb3K9dlp/oip1aBrUsW9vna3vif0FR4+FxvVs9T0TCr0iSfieTR5ppyxyrKD1PPv97VG2Nqik
o2EKiCYFQd/lrBJyC80VmQha/M+PwGG/ajdqPtawPHbWbys6kMVQrESl5eGaVwqs2I6GQbxloz8d
JJjbfw/HtnoC7igAn5Ll0csQkyF2iD7dnuPmSnLouTola2tdi7WnDHFhAU4TD4X2taySGi4HfTC3
R5HfYxWqkwrLFh/yD6Q2VvGkGGA52TUQDd0Eyh21/+R7YpQ18pDjdDTGDkUABJ/u1GJQA23qk53g
a/NDSq7d/w+/1olv6zGxC49JFkZtU/merPeIN7QBbW7J3e2Zbn5Jm1ILoTpCVX8EfF7doZoeK7qm
sDNbcodDpUXqmT2KVqWbEtyEixFQbWtPwl32+nA2zyBzJI6WdsLrtFVJk35h/niDK1EKQW1WD2as
WkFMhBfMDW34fzFTORp8Qnl/rzKT1GpkXxbjVUWcP3txEZ7nQbZ+ukU+ZcewM5WP6dKLj4vmVjtP
xx8Kw3pDEchB2ASwhwYlv/irZbaFgLTgRsCLlFrm+7ExBg29uiX7B+aDqt+TgToIrulK/H5M+9jm
nc6zYz7EIVISeALZgUgb1aPRATKkH2ZeV/nTNKmj3zWOrhxns1O/uukwtviyD4a5s3ZbG9IGg5S8
RUTE1008yqwbXYrBaIB6f38kItdif1IXhM1qdPHf3K1CsPJ6tNVtOVepVqa63JPIb52mPFMpMydF
8pAsjrmHR21tQ9J/lCewWMRaavUIjvDeutEDbdBFswRkYcWdij5q4OZzdfK6Ot65pLeuFr4onTE8
7jyGq50QLUVazApFWwjSyqOBRqTqm/Y8q3RzzkMdNKjgjYde6+N/0txy/5tmk57W20dh6xKlxU6i
z1Dm6bK/3I1ZEseKnbUAY3msPi51a32y7WKvf/WaiMB3JI2TBF6aseh5vxxG5+ulYefS9FDFS3ZO
8D/9FbUjKvgKOx/ZXzv8XJT4JKG9nBeHRMvj307oNgnFIowuQQgjyijjNBXvlNIIxQH93GH2R8VY
et9ti+VH3deiCFyjqB0/7ZQQVTHbmmJfV7Sifk46XaOTPG/K/DC6onkzM4e9QQ0VrAPoCJ30VUDo
NHXWFrIzcuoL+2Vww5pWXTU7CaHuvLcb549nXfaJUbSl5Ul+0FfXR7M0+O3UoCpZY5k+ghbWHSFW
6OsprOjbe+NaoEAyPXH/5JuBiV01U6MmSiDjkvl7YZqWgVPXdO8uyKP8SFJd+UBxNXX8KEV+9Z5+
od76JOrKZg9b0Vj4iWVjarDMqfbOBQRr/VSt++Sp7drxQzezlKc6whF6JzfdAElkRADJWZbd6FO4
XJ4FVvDcpQC9JpyBUzJb9dFV9DKwF737NVdxnfh1UdnWzq24Fc+ijACaJ2v4kv5xOW7t5HaTxKTa
rZGbz0o3WgfqG3HhV8AitAkjCk1n/zhkgZvREj/MiufbrVsdOeJ75iAbW4RkUgeqAXiT9tCXvwV+
u1icxWsCZCGMn0k86EetceG7dsOc7b2lGwtOdziEPd5uGhfXFCNXAXLQ3IG3NGzKJzcTRjB0Q3Qi
5UPmMteLH3iZ9ztfeWOGDArGzX1CBLgurGLxhLZLu0ChHRvkyftevzd7VcXeW/xFqUc6KIME8FwD
3stH4/V5Q91N79y2CzpzKI5uTQl1yCf9iDbqHq6ytZTyVENJhoByRW5dXHeyipwsb9ARhID3kgcd
TUtnu4YiXKM1+OiY8V7stbWUcgnJFsifaWm8nN8yunakY0qGDmSjBWaaipMpHLgASSd2AszNoQjw
+A+vwVU/aD6qiTUkZRfEhR6fI680zsKrx0PZl3v0vi0CAFVV+lNoh6ERYU0zTxK1ovIP9FAmnLSM
NuGA+k98nPQZE5scXUmrrzCYTurp4HlUyNUx63ZShz+SlqtQD9QD+t0fsTL4opdrazq1Wg+IsAZS
b705VXzWzwAV0ZelrR0E/jOXe7LOlDy6c7uB3sZJrevaL4TIXW4sJ3p0tIlaH1CffT+WLWF5i9bX
l9vX/EbYgyM5geifWj4o6+WvHOKmQhZEbwMXJWXqOfFyNHrjS9dq+UPoWdEOQL+xC+iSw9AEZI+Y
YE0trdQZ0ooN/gQ7J8fRO6zosgyjp7pe1L0HTC7w6gPItjiEQGQbOJbyl1Mj2BtCYwJlqJsptI/G
7PQHitwGQl9DU95NJXbsvhaGGFobs3JO8UMufFuxlNObl5i2ORkj0PWA6cZqI9TgN04yAa+ow4wh
MQ73h1hP5qPl9e1jVTbRP7fH21xj+HKyBUelLLG6tGqVBGFaSMoNr7ehlGEBCMwhHgYggTfHI+Qy
nsG9hWID98cqaK6mWdOFbWBiFOXeHaYi+HxpsXoqGrFncHw9KzkUg0h9QbCa1UbtMIfHutlug14t
p5NFd7CvDmF/ysPdXrDrMwHUDgmEqiMvKVS1y40zN05mhlUk8cQFJXNziO8pgsfHxdYbn7JAc3/7
g/2BQi93KgsoRUQJmmSRR8791TOD+KpTUSFjboD5RlAOrlWdBoVU3B84Iy9paUK/xt42I4CxhPlY
ZaaHd4DpRh0S8yOpgzHioOGHTllkR5SijIe0CIdfqVvopzBMRHZop0l7Yu1wMqzRY34foeARH29P
ZOPiBaXk8YJXTWmf/PpyImGlzLaaKW2Qmeb4GwC/uK/QubsvC3rOfEcR4phNindusPG999xQ/Qrc
3kY7J3/r+0lXEdnrzFZZd48naDplTZxxySi2flQiRzmpXW+dh1DX8bPfNVzYiP+QmQDXg9RIww9B
1+W0vTY2DEXeaviIW+/KaQRNMESq3NU5ZpV5eoptc3zKuPkCEU3OQbBvNWtX/ug6hOBnILynQzdn
7uv+CXPGPbUXPLFGZI6Yyzj9ecrjAbHqjsgd5PEuM9M9mH9jsYk2oWIDAFI3WcvC1CRGU95ZbeC1
Ll0/TjU/hUbSPY9elvW0fg+oC9/eZddQFWKN8CtpoeXIXAUto6OWVSid05pcgQvQqHOQjzqy5g11
r0RRLHzqRvXgDHrz+fbIMnZenVOpTYOpCbUTjbDw8jsDB071WAPAzfFkBnVZpe/cZV+IYXMYeqr4
h7QCUZjLYZq+y5Zw8tpANRtkJUJ7ru7dbp59EepZ5wuE0eKjgrThMZqBXdNEST+PRaIdVC+LPwh3
yKtTG8bxaYkNd+eu2vrc9ONKuBzSKeWdy9+mdOhU6glna0kr/bNh0v7Sjk52ciJYLgctBOM73F70
rV0tFZ5oDkFxCW/FyxGb0FZByRhRUUV5LGLTDGLhOi/Cy9CfU3i+LdCxnUG3pvl60FVKbzXVUthq
TLm9z2yKE2lz8BQiB9MO9ZchnN6sDseKyjCMUqc0H10n9qo6pmOU4Sxhz958D7ms9ZuwVY6YFC1+
70zjEdDSPGP9vOcAfjVT6hC034ACgYUSm69mWifObFPgpxdGSZzuzjTbCBEMaYGBuF+uZudymaI9
+xa5gy8OEnkpARFJHF2S0L9WuHq4xGk+Uz0Lerqri7PeG92T1YbaY2lr4Z4q3NVxkoPRAiPVPcBe
/wTqr17XuctErVcVGXC06C9FP+knrymdz7e36dWtxCg0wyPgIxH069KOSgcTAR0Em3GIPyQ1BQKo
ljUItrP4xBE0SIJgHrpq3mtJviZKMDT3IAgeKaqFGN3lCZFCklWlAJHNrav92+tV/Juo1p4RQoUa
QChmSMNpI/mFdffyD5pHkedHU+09h2lrzcc6xywTKnjYfry9JFcnV/4uXgTARWhLrP3l73LcQpsU
gaZVmwrPCJr/4+xLmuzEtW5/ERH0iClwumydjTNtTwi3QkJCEgIk9Ou/dWp0q8pRjvem92aZQyNp
77VXo/vkWLmNdXRDzTZbXQAKSZCS8N+X/c37hjcyZpnQEKAN/Gc1VV2Zz/WVal7KfnyfJjIkwArz
P9Kff3N7wD2uQ2cgpyCpXVfW/3xXqD7NjI8B1/ExP4l8IGOTEM+y1pmdfARujKYuitbt23/f32++
tOtEOIX+BnlmkBT+/bojDAchU8F1A8WQdrLzciRM5Y0aknCoQ1Ij64rkDTDJP1HM//1kYdqLtg0o
xbUC/+eg2HhQoHD2wOmWV+t90kf7i2GL/QO+8+8dCcUjKn3wa1BQ/KsaXge+48bRvVtO65bbLT8j
He9rCMt2Hjxw3v9+nP9+jWCL4WMBiQs+12Dr//1xIiG0XrMc43wGHbNoEaxjj2O60DPPiv65L1x6
M0dc/782wleOGtCQv6IA8Z3+4xyVekNnWoDPFeDHdqRK+k7JjLVs9PoP6+Hfmy0uhR3pyllCH/xP
auOSbwVnBDyaFTbf3wbl+x+ei+SRA/59//94llf1xV8QJGqlvz/LKBkcHjUGlgVMtKuPMqV0OJSU
oVmZ4tFVIP4JdkIez/SnSMPf3iQK0OssBe7z/5zq7VFmZsC/WIyx6U+6zMdbImV1ygDO/uGD+ff6
Q2MIvh/WPBiGKPj/fpNwTSuiKAWwA1U/Oekcor9TPYftlGWG/KxorEiz70V1n09D+YeJ8L87LHw3
EKldP9QYI4B/kqJQiSDjPsKao/Ocjo0k8TJibrQaOPxTHd5ZXjp5pGGbXwsyhV81yCowEBarT17+
+13/ZjMAKHqFDVE7XLfavz+GqB9G53vMUUdpJWJxICxtEzGR7A+P+3fXgZ8I5H/XLuNfsew0AZMU
vGx8U7mcb2kameOesj9ZP/9u0/nfq1x/xf9s5kDw+abhmwMi1jpCsYuEW2J70MHVopcjPL63n//9
+P4twr8y38Fc+AtYxlQn+/sVFQDAaIKpZosRdPqKDMx86HqRVg8ThuyfN+zBNwBsEljmEpddYDuy
3Ik6Y8+yn+RNNWQQ0f33L/rtI4DbAZIb0NpgR/zHD4KRAxuvZA41CvtWRkrc7GOVfDZEVh1BZPSf
IO/frVnUQFeoCvwmOI/8/YLFush5CQDG+jFiZ4dpdtfrfTxcbZX+0Lb89lJX0BEkFexO/5oMLVVw
JQFFzEAXdgzVJC4gGiwdT1xx/u/H+LvtAcNOyA6BiwGD/se6KGW08oUSC6CqElVXEL7+XIZ+XeAq
nV/tYpGWHM8sPkJswU//fe3f3OZfSk7sEWjSwNn9+xMNVwXFBI+PdoNb5f26m/iJugrKUQhnjv99
KXjr/mZlArdCKYDiE+3ZP4HN3CITw8zgzFeIbJpvIz8SBCUbzGyRBJOp53mIcJu0HNJwmpN1fYUE
3gPFJnO0NPlQjeyYgEr7Eo1l9HXfff+i5r4vG3gTyKTb4964zhKT1A3SNPf9tCcF3TomKhaf9Fro
H2bOcn2c53X5Xk6T980c5nJo7Mbs0x5DnNayUuc/iPHjj2TxXJ2RBZSLxljtPyBWZlUNkLRrkc4z
8R01ffI2kXkuMSPQ5JOz1WZPe1D80zVHV4FtnNsSytV+fGZ5hrp1TpFLhZh5O/AGcuH43vKt1mdA
rhBVoeQEC4PHYf6xbXMpHkQJIApsUnTnqFqR7FUj5LrvvGBzeUIuJ9xTMiTVHoc6EHbu675Gb0+m
auvgbTkN7a52Kw6Yo0yhi1TC/BEGIeJca+EAq+mIZI2Uu6FP80bVJ9Bl6ddpntZPyOIsFMgaUlvI
PuG+1+VbKO4RRYv4TKh9twdgQ0nURf26+jaqU5/c9lzqvMEmwb9PxTJE96QakmfwyQzCt1jVvySz
RqG5wmIJjpSDAPncxlPFnzeEwPAD2UDna0Qx7e+QAQysSdNl3fEnhr8FH7YMHRGcWQv4jgAp2wZ7
P4UI6R4hmfCb1iLp/VVdxX7WU0URnQbtPm1zP3r7qBfIAeEABgetI4VxFrDGiKUPEbJf2A0c3qYH
VlU97nSoxxtaRLI4SoLPv8UBlX9SGx++OghhP4GAWCPFHM7+MeYBfD9JHKjZgSUFZgPCc7jI9TlF
FywmjjnBhDjC+zzOd3egqjIwh2SJnxo6zMhYBal2l6dFZ0jrmmj/vsmQFKAawBynm13C82O1qlpA
mDPp8R62BAlID3IbbkwSg7iGu0iOdCmG/CbKPSBuEITysbGZHHRDNtiwnIutiqNuWW2KXFVgQTfR
0JOfsEhCypUegBbhgS61u0BWwhGKQ+Pqa+5qUxzLHvKfRiA1iTRpAmvs59VP435itfDkMu1Fwju4
VarilPU9/rEo8vuNy1kRwTCCqyeSGvWITGS9NCKe7R3vh+zZORbDX32V7ktZYtTfpg5M4BPSuMQI
Qt5SFjcJ6fsM1CS0mIimB43/GCwJCUJ6CgsWGyO4TVFtXlziEnaqt6i1p6ypkCDyXEQ0gl9kTBd1
FPtsYHaymv77Wlb7eM5Nv3xXfTq9+wJRDWC7uxzAGPKG1XGne/Jr4CW/22PPsBWVg9ma3Fcz9PQV
zatmMnP9YmmEz1XtBlganvF49vgWIbgsV/HUUw1La4+W4MbDMbg6ITEYneSk0umX5ZhvgA6+LfAf
QODs2ESrsZeqElnRzCi8p6MAHAW8ZhByPTtR9V0Nen5+GAfSpxdwE9R4XRTbd8DE2do44HXPNaI1
SLfN0l1oQdzHeYvAut3zsf9cenwq3YQk1/myUT/8RLu9fy5yU5puk5nDSbkXHpb+eNNxp0kdyVaQ
tX5eys1Nh5QOI71EQ3AelpgRfIzSSRt6yIiLky4r1jg04GPk8XnMMOQ+LPPYm0YpyKJbt8N6+zAn
U4QkzhAHpAf3mpLOxmqKm3kaONjxsVr5wzCs8Hq3bN23bh8nuZ1Zz31/W0/KzTcshtq/GSrkIrZ0
8dt2USQSSIdaLBC93cOx4hztXpumGuLIfxkY9eIVHW7+IyFuQMiIHmZ1DwZDCih9DGoOTxY/xx1I
tgMQg++8l3eJySp/Qoo5Jbd4+DCoL3cwz6O2NoIvjzvxGbvtQ7T1BwOjOPWjzLZSfqKDmLAn7ruJ
KHKwSwLPh1NZzHX1rWTUkm802ZeUAXbd5h1unrDHrd7TsYC1ZuOKsEYvJi94/XNHuag7Mu7THJ3i
ofdJ1BR7jwFo45PUQmUVaTLqHTrb2e1xq+KxHE+w0LfDV1gkx6JZskDCjyjZNlMg2KTU5tzTAj7d
tz2psWe1CauX+HXxa+LfQEvsYR2WqMQ9wDeRLT/GNR3S9yjnVtxGOFWyFl6MtP81Z0iUX4+aXBk8
J/RHO38CczZ1994Pe27QF9QgWjdWJpHi3QzEUf1kdUinCX7oi1pf4HTO1O3onakw2iMB+d2zXOgn
uLYVscbnE6/0gTujc4T7Ua/uKBB7EGxWWdjslaTwuwUQn68bSKQu0/w5EqUd6UGlY8ZxXpmlJxq+
DKCfvuC5xVkHOlJqHwnmlzRqgoW7JexqQk7zvUV7WajtXWQQPh14PJFdtx6AtGfNTonrz0s5LsPD
IutN/5QsXF0iXYZP/yE3bi+OCdYGiDgx/G/heBMDseE/MTKxdO62DJHclwEdNO3SvpQPW+qX5Twj
Xk9hVJ9v+pYoOMzSppbw68na0mjVP8IKUMNiMKnCnpNm0q6GlQ8f8hVzulyJ5T4Pu67vB1FVtNnl
ansQf7IdhlEN0krr8lVahpcCblrkxrFZfL3qkx9r7s+jXPP0rEhh88uofAGFeKxqftQl6HFNLq7F
rIoyMbVBrmtMETRQ0+EHqcJGHzQ4jmkTCgkHOmq2PW/idYVrlI0GzBfTbN8f7dWGowu9QGGqRaYQ
DpU6jRQLONTK4+pVlrfGwfHKIMR0YXWHOEGJ+fjIkhgK6wn5HhOSna6nZOiHDtFjMJMvklU8ggEO
k+awJvxtWMD8btW2FNEpA6PxsZ5KmjWpiuq127Z0eY9DsmyNgBYQWR0xdRfM6GAnPc2Vx8yKIXmm
Y2OZPe7C20+Y5rvQrnmUzA16od7fTLou9w6SlhU8D2ZSdoDnBayNymoR4J/1Kf4+doJ+kwUsVlpd
b3Q670UQd4galbzLvFa3S5TEw30PDcB+CFs/PG7Y9/DgQKn9WFypdUMT0rEkOLAw/2uXyQhMIyr8
t63kK4qDildgmW0DMNWWzzDkgwEQYiiaKbY2/qJHKzGOW+pZNygViWnqvtLZEUl6W30iMMAoGmcn
TbpqUdiZZ23gQ22S1SJ4IF735VXLxZkTYzK4bygd07zBhE/wn0PkOBgjiEpwp95CDuYfqBuy8Rho
cCFqXD0584lMYomrY0B8dgqvt76YD8aWThxMQuvoW7LN8Wc9Q7+fwvTe7JfYzY40JfjXWFeMs+oQ
I6k+anbIeSTmPiRdbidb8HPcF2y62ZDbRpoE7mjrUxK7OEb9Xey6o3E/hUOJjm6+3Re/+5P3Jl1Q
2FarxKfOl7xDTh4CdBNZA5wtpQ8Q0SSbg1lyQcIF+U5D6Go1FclhYzPqsgbd9EwfsBkn40PqymF8
YsuUTI+7gj/QgWdqVtBPEf8Cw75enMHUqy7MiEG3umc6nHIGkO2uxns85SIU+DZyVL0HmIn68UmV
e5YdBm3IjeVR+Flp0By9udalk2DTw1jI+V0gmss2lYlRohiPgQOIuk6WDckYyKhVyMQ3rJrlWwEN
RtykJujyTodFrwcVy/JXSVZqD1npjLzJRlX92rbcDh3F5nmnZli8dbQcQduWKHBlmxRKsM6bWr44
bBPPuTULBI6gDuKclmzqH5BXkM2NXUc4vcADOB06uJukz14zrhqUx+pDkDjdLnZIcdLqiYf+Bufw
DCfDYUIVu8z06j5W7fgRpBiMv68RMHY/6quJ1DxH29hgSzWqHSIzIfyCSfuFaDk+YS8nAUPuSb75
cQSoh5UwvPS6wD+6lpBkth6MXlRmW7TPB8cZLMI2ipjBQ7nsuLyFY/IZkgNXNRgtQ2s3jvU0dbON
0I7Bm61urSkEpNC+j58GxguOsipBZt1CrLqlfovlO+A5+7XvjQLrcEv0fIM1WZ2iFdSjz+Ug6IB5
t+S8QXZI/7ZtfDMNSHbBdjUVc9ygwGNfltIsx8jUk27SDYz311ASGe5sriPWAgVelhvhV/1ty+qA
HwzRIEiv2UDcecmxC0iu6vVoqnkTNyWrwmWc8baeVU+Gu2TDznjY5zQkN1ia/XQB2qFkkxtkity5
NRh7IjlGCMfRTIh6iGpWGhQOy5YdlgpJ959s6sbpU+LicmpgxTbxNyejsm6joHLejHwysCiZsroH
xcksX2kkwO9A58NZ3kq36qr1Neo74NcpClyYSaThuHHhyM0wZ+PYSj3E8yeYau6koRXrP6XYW+G5
Iej2MefL8Dkeg3snITdvZq+mh13q8BXjLS4uBFuHb9iGL7lLZbHJU6+G6WM1LD0gUIaHN8HvZ/ka
rVXmmmwGxduVhryZoay3M11s/Y30S7CngvZb/lzPPC8OZk/z732U+LKr+VSQC7ZxbKkFQ6U6h1Ek
d0Wl1N1QoqhqcFAQsFyNjp83iYb9DPubJHsY3LzYs0P8OTaZqlfTvbBhHc8u1zz5KMOq5w9jgnr3
Tm/Mn7j0XIMwsEU3eJP+ex7Mpk95pNz0QaIwze7yNV9/DaBmzt0sIAlucnL1IhuJsqpdFUcG3lKA
+HI/MAHReQK7xOSxT0k0wmGuID/i2NevArlyywVgBksbx8UU368Ijro4NpK+K6KcbKfNZj1KsaUQ
J5lNjp6ZitmHaJPO35ZTurizJUl/HADJLHeT48Wl3BJVtNSlIb6VeDqIG7+67cH6PpkuGL6W/EKn
LHvNqBEoLrJlBKN+Jtl7EgcEqi0KwG0TLUASr6ofAYzAZumIq4OI2kCVjaZCIdD00+p6wxFMg2+U
67hPDyZN9DN4o9nU4syMbs1sZt65KkNoQm5w4QZ2HvPPVEY9qrZ+YTn40IKtKG2X/HPh/Sgv6azh
VdSXc3YDiQev2g29b/bB25Uc57Qi/akIMhXNPAe+HDaELLpmk/iYOuyg2NxQ//nvST6wqVNmi+KG
UMJ+Kj7v9LCWpb9hDj5uvhEJzYAdI7LV3wnVq7nJ1wVQUcZYgQNF8Ukd4x2UihOavAXOkyQKg1NN
MiFxCPE7RD2kRTT6M3JTgKTFsHvHZgJZ1nzNVha3aeDF7c5lFTcxsOrkiStrwhGgV1ocN4zW3zNf
p3trOGw7jzGQAnqT8mkJHbi3MCLpU8Z/Tj0s8RsYBkbJCcs6TU4bahR59jmcYC85DTu75bu/JtZA
j5U3YoFZMnrAaCAtwTsyZ5MN1WndMwgoseskkFbAOak40n4dTAsWfxLuYa65LYepVun6tkSoEw8B
P+eAmhX6dQoOhWo3nY0D8Dc0OlijNS1gZhYDO7G4tGlYVFUvNOmnqmEDlUND1QqkhQzUQG40Tn3U
prDBf2QRMuybEXLt+TEf9uo8xoLPHXCr5AM2cfEJJIchb1KfT9+GKJc3ZE1Bwo0ki8eLdqgTYdZY
uLLjY8ifOTRTX/Brr2kSI/LpTxwYxWdYgGSvEqtvO4nUGHGAL07xPtU7M02Wufl+yXE4/XJLnH+E
wXViD2Di84eVbiSgIymB/QBC279A6JMjMXTz6dA6nsbsLprxsJphU+6iVWYVrDHT5GnlYxydhxkR
bHcFpgFrB4fn8naC+mTs1MRqfQSfLXsmMppr8I5TPjdlGfUzmr6/3m1wdfQDKJ3WL4Ek2j5WOZIt
D2bNqTvkuSWiW+fEvhTYJH6GDZVqC1MxWVwyYbeP8QyX84MG870+EBw3CXZ/st15aBPx5WOdnEZf
i+ijmsb1W0grp7pFDJk5JrkTV7lWHh4Xo624bFA6Lg3Oz+xNJkWgHZHr0J+zPe+fQqo8llMcoUZ2
UWw6tQ0wUYJLKFQ6gx2gKsgWT32zhsVkeK0Ur23tQ/UIRjOwQ3w+S9oIAyJLt4NeeXYbzGqaVIMu
f/BTHM9dPkK0gmpsneDeMKr96wbCrW55L9zYsEoxwIZyGZ5hTN+PMOFCAX2GAzFwnLGw49OiIWo7
Aq2dX+diBLUMZMRlbqFjwnyTDTP5gd7GX6oI/WMDLEGfJEuBPdSLUOu3pU6NPSobZ/p2KugcfQ3I
DPxVz2zpWyuG/K6fhf5BAAyPB767/OO69uwS0p6KA0qGgjWFG5AzSwAh/spGgGeHYZ1hfj0b6+BO
MfWYxjd4++P6PKvUh+MCAdPWBewUlxzFtDhAWZi/1r3yGNgNkX2rs8k/+xJHj9iBE7WGzsmr2oct
v5Feiye/uz5+LlEUrMcodhhu7tAKzCdMPO2jgDpBNNhap8cooHk85GaeLgRDwLT1ATXkfeFlODmY
AKJPCImQh3Tgy3sK7rO9wJ5VPGhh+6mpaLFspySy4ky8StmNvBJI0OQUUgHsEgqlE84IKKN7J3/s
ANN3QM6zTNttyVDOu95BbiXLsPTdnhL/ThDWKpqRVNmHqGQD+kFP4nuDGMrlUKW1/4raVPA2XtC6
dRVqfNHC0sh/0nVffICzIZcnOlb5x5nkAOu2suQB2Q97DRhYEf513dj1VaehOJSRnz5fxx5Dq8PE
c6gF1/A05RItHDwsYL0b4n7YGhuo+QCJK1JLpatWLAQtqyNxee8ettLUFFSKsBwCX0v7sJIIFRMl
ZrxHWbOzzjKWbp2vSpc0NaDzV0URZvY2mlHiMSEWyb7EaMA+w/iVhFZnSF9+0Dtb73IYwhRYDRCX
c2x5Os+aEXkZv4TCmO2077N+gGKsDJgGIFbjMWMlPjiAzbrhKb8W09QZdaKTtQeUcqDbpZlE8G0K
5+6XBYyy6bagrD9bnCgvKkzpnUqv8WUpWRUYwrLuw1NUDykkOYh1ajzwTBgPxZFO7+kaFd8ADhb6
gj6+uA9GlfTsgoHMEuqv7Ato8uO3HjsWUGxo3O72RDDVoOCybyJjIsIMJ3L3pVMRlj6COeA0vJs8
a3NJmO1IT2MOZYXE+sRSrd2hinAvAF59dbcTWuWHBGbjIDcjN/kxKQrgE3u9CgOegiVxA8Qpj5p0
IOFVzwUqC7Pv4BH0UYZ5jI1cD3P7PCQtTbSmDVAPLB50WsBAUXPC9LfKEMeC8gGDjEvBdx0DQw0p
PwOk3l5wRkdJN+6gqx7KIWzsrkwszh2Pus08AKHc+d2marQ/8B1O9UUmdMi6gqf7Y8+D/MJNBanM
ViBGNSOIQnzILcdjgzcdi9pRLyLce5nJ961ABfYmZLl8FRsrimeRZRahgkuxJncEibA3u8/ZdnBI
isGK6jOWA0udyh9irGnSYGimhvtBx+5+sRZzFDvX66eUsooDgYSZHlLgQ9XMEJjc6hJwbSfl4B9U
z7f1Zd4WRg4wkJinJs+oxuQGcTQ31I+D+FjvdbpeX2sJv37n1OesMnK4bOiEo0MGB/9X4/2GLxbx
PvW3bAYYh3ylmL45J8g7xKj40UzCN7CBp6Dvu1X5VXWlz3p9NtJX/laQcXra8YHuN5nW/UeCnLv8
dVKyMu2AEbT/XGo+38B1EASYEGcyauWceuBz21wjWxJ7/oJ6CbeCHUXAih/Kkag+94CJo/Nkoyy6
FwwchPsrlPi15FnpYRFRoizZtE1Dt0/x7Dq3Fdt+iCKefcnWxUZNEtWTbXq/GXY0DtO0LuTZ/AZI
p47Oy7jP35IJ44wHncn5R7nE/HERWwblHqitabukO4SdY+KdbitWmycM4qHUquhQX3Y4h6WvY8Ew
TEoyWGp1sLeo6nePKdp4BqLstzvCSvsiJKZm32y+rrzVyaKw0Zdy7wS6gB39HxrwZgu+LG7TGuvp
TDdEft+xoAsN2BHCwssOh27xaodhZg2KGDNgwBMAp1o0eHU7DlvG8BSrHWB2OT64wuXTU+0W9Qvp
4TlSsUDwwm4qaTSfF8wJ9RlppbghnPsWjwY0suIM+km1t2ou2HmP+lx1NdytriOkvr/FyKdAP8Cm
+h4WOiUD36zmsEKojfmV5eg4umyySH0tw1qGqwpFPUGI4x8NF7NvNQwPe5ygGqkXJUZUQL+xqa4d
JSo9X5lf8P/X1co+YOQKvzIMzfvvMTp2mHTIKsJ0dynn0JIymR8YojrnZkhY+IrxL0aECA4t+gZu
pKhUwCdFzXo1oLxV5aays9Ujfy9JjZ1D8kC/W6l6eUDPjT92IPbCCBfavNDoFej5kUvS/wilnH/m
zKDYdmPCUKdPxVMOt0fzYGCash6tzqIDysloOBpmpuWp2Jw+J6jvAtBHUahmGNAxHYG9F/qEe6lS
QF9yf8k2MKWfDfpvc9q8i95qsewwG9pMnZzg5W30ZYRHvG3GePAfCKYu/LCkQYFpzfrdwaskoGUB
mrTECDhLsA8Ga5P9U7Z7g2FiPXk0p0RADOARLe7bUPn4eR189XU1Q8Lb8Nf3MUEEIjoPYjVm4MEl
I/zJ0/pTPIchwSTDiu9T0sMOWkUK0s5BxuVpI5azDv8kf6EmMslLPSFopHGpFfZYzyazMBOqdiA8
a4YxwogctvKIcVnOAfPHEEY40LRCU6heTzcYP8EVEVlifj4SzfK4G6mi+30P283HkO2g4mBzin9N
thJ3AmTv9SRijvS4sfTlgWNLuUKR0ghwVrDMhxpiq1bPLuXwJssAYel1IXdjQXR0yXSi+AGRQJO+
R+tJ1wb9Phr5TJZjh2me1zf1SDB+TtGaYlZN0k0dNhwCAJBpBGAOvnJf5ywbMfUl06IPw5QadCpr
qmUzbdp/huuCxbnnM3EC7ZMGbK8yZ+eaUW5vcsw38RyS6wcrtKddSVF6XQqwb1mbVQ74mFU9HIuA
o8CFAJ5iUw5vtbRU8MQYat+MaqiRp4YDCkySLGDRRxOUPwdhVv1gRoZ5JLglA2nQmOjPqJ/53qBR
F2WTVCjJugl81OeJIev2lrsKXVBkC+Q5wII7O0KEI+cuTJXjd0VhtDzUtCcAUApPb+s6Gve7CCGQ
d8o6KKLmJcUIL/cDFPyWmlWdcUzFH1Uq459FuiOiYrgyVIHkKIkkcJGM+N6i3o/tX/5aB0sze+y3
cZo++0mgiN/GIn6wC5Xgv/sJcts8nRPgq9Fu54ZAt703FeJkLnAKwWQhd4XIG3A2h5eR5SI5LmuP
WRbKm/UWo2w3nGySY2wXEoq/phY8nIsHiTcCuT5fdBPgAD1jwrlvzxTDKNsKSVf8D/2GWXwWYIW4
y4qzI2pmB2/cGFl3Dfosd6n3sahajNlGc/XsCM/bCFJ/R6EIImcxQIFxYfCEejOYT964sOyqVZjV
U5RMqxPHXU9R1Ag0E9dQi0R/lMBV3qawB1iouStFYSOlWLqeWVgQQUXOzU2EAfWLQdmUf0Q3aPWH
PPOm+gncfQBNoGIY3kgAQr4TbkiA8YCLiKqXOvVtXGerobO10KxBz9JfesnhHGf3MWeXLPF278Dj
xF6NqXm//yqjgD/c0AS9gKkhUK9nNmQNyD8xWiNT10dGhqLCfir39CyEHl84NewLXTFHhleLoiAs
JPUWoOyc+E/MNBIMGAJmcQzbuSf2uAe9pB2wAhAhUI+DtohZVQlfz3qpb6d9RjBehRAQMKRkAU7R
prT+hk4BpUAglfiuMDfbGs+AQh0SmWzhdh/H7LAj332D0CU1XQHSu76g11jtQVAoCzpkEZY3aX5l
H2wD9vIW9IsdJ1wxeEzKdTHFrVB5mB/VDnMIYGPImWuUxtZmBDgH521V2K/JXE4fwOYx+VOc4j19
KXUQ4bxiLyeNjbehfOFEpxWUZhwjbA+3luEBcw/sdZgsA4RLbZ7WkPrCaK2hgLmwWksxAWaRiQPy
JrI3TI5w9MuF0/mtdNj230XOBFrQ65mP8z3b27Ve7Cuo/v14uFpiDR0es343bq3WezbFKb8AZcHU
X/51KyEmIscLRq3zRFkGsoHXgb/veh9MM0oPzV2tKYfnLmM8gwg76Iv3KHmuVOuRtKnpYe1iYbzy
KQeUgS8L5BDZesR+TMdE5jiqKvyfX40rCgdUncSvpfLsR7wPnDYgncTflK3K4bafDXLmMLwrl2Oy
a/3q5l3+JFrM4QBXJ+7u9CrXGrlmxMAnNBtgyxtWOAPfJImlv2RkydDCOxpGjhAzxs/ogcA/X4B3
Uzx7NFlbSsDE4kWy4Py22NLbCUEn7gBLOPp9BTXqdQGT3uEGeFJ2JDeAIec8j9JurifqvujKqhdE
1dcgKQVLxRH51Cl4BQMrO6lgTw8XEWNgShQnM/gDwdQLwvPyMLA7K6rUN3yE11b3fxydyXKkOhaG
n4gI5mELOTnTdnos27UhyuVbgBgEAonh6fvL3vaNLtuZIJ3zj14xAt4PQJP3G0IAlEXrEvwbIkPM
L9Hrwzs9bopwEhWvr23YO07K3ePBXNfEKd5vPUfiLtqmkJJS4OH8YVAjEP84LFa070m0nH9r09l+
ZoTS9gP0uzPs/Y7otr1r5c01Hjt3AalquMXyUW/mOZytMNwptc7DWSwWI4Oqlf8Q5p5e90RdTeVu
W0Ri7zneejst44AumgG6Zi/jXm27qUTidsNn1/suHp3wYFbj+Fihhn7dd5YIQ3i+tfllGeSBQASa
z7yeUQA+51WUcGDrPrzkzAmvuecj+PISZKsGnAbDST6E8yFJVHRlDJFfEF6eeozHWpwm213mkxz4
pwnHaOpHx5eGDLOh769WV0f/wq1hSoBwjbsDPLx/VYy+X5AFMkjxxyCwIQicoNChX6I4DUoEEHe5
D8JkFURa/1d75bamAnUI7OjcL/WOKRPpy7hBgfTt6Ff7YeiMTWIsaV6BXYgYwsNmZUrR3TCD2j3S
7z1Ft9zXNOlMTKINZM2+C9oCBRh0/suA2SjIptkbf/KVY+wiJuQZu9xpHLPrb5skq6zQDNZ5UV31
uLTqrarR+91bNPC93USlWxr763YKQZXHL9bZ8RuqtvUepyZf2h2qmTzYW0yu95uER82c2druq3FZ
/BQ9RBKkJfi+vicYSr2WQUCXGE8yR9A6BRx/VPL2j3ILqSpFf7E2qZnX9nfY6qA+c58F33Ouq8eV
AJ23ZBxC0sbXALU7con6nXx/k2e+DeKKksmOn8D4/emhDLl40l6VCVl9OjQ/W+UDyZPQU2ynxi3r
h9UWFSopuHyADTUih4iHJj4zpHvlrnRgQHZrWLRvs6EQ+4AiWtlXURpOHnZJ9dOti7i2Krd4JDtO
+2zKm/rgTDSyQCCCxH6sXTuNqbHockYPn6+Pct5m9TeQ23LVrmfiI8N97uynfDIJGkYr+b31dcBC
SN4/qBKqIudv5KEV3NfGk8dbVwb+tNYrGf3mJCkzjqJ5vAivWCbYA2LuMhNW3rW3Av2Ha3de6Yzx
5LJ3J0d+FGKr0R+N5HueusReinNf6xHGc2iTR6fXoZ+teQy1TBBY456KZOre2b1bKOmlKq4cAkO0
K9H4fvdrJL48UwDG38CxD78dyjeRSy/KCjAj/maye3gY6zo+5DE9E/tos4v3xi4laZETkiPUQ01e
IJKTHKjFMg4vUB9Jms8UB6MkHT3ApxFVK+NDXH42umrGfR0n/Vte5RwKKAaCJ8SxCLkc/r7ndgyS
gKOiEG2q1eCPD7q1ii8AVkp37aqSBIsmPcdsWNTj2fO3Zc0WWZHqSGDe8h+oHsZNIvu3JtMCgntP
JBrhsc4QJuq2i0T2S60b6SJXW5yS4HSrfdyS2vvU+Cvcs4md+czS5nKncauYo+tv3vZcA379EfG6
WFmvI7YK1swiPFTaRL82EqPF41JtbsEG23RfwWpFer+EfCScsdXGVlKN0t5HazQB/JSN0CehE4mF
tvCKO7Bo0R06JxSX0EN5DCfecKU26wrKv22N+8da/MQ6Fk1T8Ockg/sgAJktntJZ9butjD1+zuq6
n+voNeERXf98clkCbuu+Gp7i2XLL/RgEPJkxIqwvUuKARefC65CON+VLpaKiyAatg79tGKE4aqnm
e3faznmtastYqORCwn3mhGrZbIgYPQ5WOwVfkZmav1XlmF9kZOA+DyUfL3OatYFgicSkOoi2fwap
iT664WCxtXXau2/QDH5WqPiGwwyNE6HuuNHOkHIaLyPd2T0Cb6a2qvP7NUOcVTAWd31zmfJo7jI1
uuLdzz1nzWbSZKzj1t4of7p/zHOLNgruJI+aXyh4fIkaweGDcqswgDJmj3iqgqmgyrVK5j/GFpw2
JDjF97mNwvIwr3M8p2C1xVdeaxsVrRU4pE15TbumloB5Z3gkVqovql7swUjbzxYhI9KsyWnoG/Il
iTPjLVfnBEA6cso7owtqKIrnnMcacXllAVSMqouRtPhhR8a19txTqR27Ow1OsFxDKA2RTYh9opTs
lEWkBM0odYsTiUxaBCuki+0DvD5FdW69IJdClFGMk3g3Bo6uSw1b65mkhLpDXzVXiJ4xdLMyMSpC
HFm9fyTK2l93k4qSgX+wQE6H/kFuqUREPKWlyvsD4L+CMEzW0meXMIX5nZBB9Vf4efQfeqDo4qkA
INmZmevR6VRhsosTXU77wltc9xjxGbxFSeX6e0Rw+k6TljM90rRV/50Hq7QfEWME5jzKpdHX0unj
Z/hO2WW9Ue6TmMkgOxvptL87RN9Irnyb7rjWmvUjBYbhnNbaq+4RmUwDBfCt9QuGsER3jFA9c/uQ
m8Kd2+ZZ9lb0PZOcm/xFbOhNB4Hq3IfPnMUDgnnAx177yY80MbCSh7Jsr7CUUv3h1rLKYjP51qle
jdjQr65bdw6mfFmO7ei07U6hLvTvIUPyJx3D/x8W1fXA8F6R24dlFJD71jDU1BZ4FXAQW+urjf61
ObBYhAe1lvZyuHWR4BDZ+tigWNMQizWkW7dfYqQgL2bQy1cxSnPVYVz0B53rAYIgVEOOk9CGTa8D
3wcJMJanCBB0g0sxI/1L7TGRhP03nD6/5s6v1Tex7txzazsIa7cha6sfvHjthpegreYltXuGBYT7
pnZSXS96Fw4subcCnMpJwwlGm/RvdBcH7LURTEwfNI9FfGv3RBRnH2hLcfFB6Gm9FJ3hqCcRAmmY
km3xU2GMDhm6gWcuPBfevps7zkII2N5FdzxwhRP+3qykbgfD9+zGeI5yOSs/CzGsA/rERpfcGkM9
vDuTC6zDogq7ON+8BkjJh6k9Ulkn61NO4/VLQfdufa/8SnfM1GK+oHHpf62EqF/WpvAcAKuKY80e
sERCSa3z4ux8b46dvdUnkf8Q69nujpOj5+7Uy8ped93EJAzSBBCcOrQicWHjnjsNATJuDMZejTBL
OvU3S5GPuUg587h3KrQvSPFLelZRWpaXoLHghMqoFDwJsbc8tB05bnuEaN3erkIpWXfjnl+lWdSX
P67ofXrTyrvE7WGVeSLgw2e+jfF57AuEmKrx+4ek57ZIC2stwxThqMqvsXEqBEP56idPZULNzb7W
9BI8RIZdKKO8I/HupqZoO8aNsDG7cgnZRmvES/fQzVIe2WD1c6B99GmFj+E6dfLYVXccW+PEqibl
f3EEsIXofpo4yLck7rIANVN+CCg0QnfS2NK506ATtD7EnCSGJrA3VTX1TxTBk+0pS+PljYZRf1rA
7B6nIQtfigqzWA8SqRmNdL0gy6p2TPPuVuVcHtrasx1yFrlc91bZBxDTg5m5abqCdvhQ9PGvDeUE
A3kSlqAfYkHaP6MbYJ+QCHMr5LlAZrmG/y9ju96tJm+DbA5WcyXloV/2uNMrlW2bXiEIzNQ1Dx3k
UZ9WiSvkrt6ohU03PveF97pelx3kK1qMyQqto+FUM4eRopzyUG7+TWOwzPmjv5gedNrqyzwd7Nl8
EHGtnmepJtZGik6rrEd6H0BZYpRJg7aulsyrdbvdzTzNgLntmn8G/Mgnz4um13akK2rf8UHAGEYG
obFqItWfPZCSB5AsTaaof0tYcLk6rmreanGIyz4ixn+tFiw4qB9VViy2LXY3Hz+0Kafmd4RpwNuH
/TTXBDm7gnVcL/TlxJLS2bTyJeLZxOdQQGQ45KzYBlHUgAZHEzfTilfLVJG603lg33eujoHWHJyM
I7pHsINAeuHFjjBh4W2YxQud7SMMW9SNl6U2ES81KNV3ndsyPABA89/ymks1A5yYXifmjjz1pqS6
AigE8b5aAq++RkGvX+fOs5cP4ZWFezdRPZl8dyZc7prRUxZkfV7aPytMmXrsFJFYO9TvPpH3Tt1M
x9xd6qOLWF/859BPFf6ze3uRKcIAAlKFOzo0hseD/UQlAkBdv43B66a8tv0VsiYr4NhK3R717fbI
9GsL9G6p+Mhv6a0nnBD63HhtEZ5Cr3ER2UZbu3dAxJY9Lt22gXsin/GuwOa08Pco2PYc0O6zKDrO
Fgtl/b+u8O0fMgcRH5HPG15zPExA7WuBg1EANSVHPQNrZ5oMmgmattHIyG3hf4CeOWrfE6e+QMOa
4CeZeuwkyCZRTzsIor+mvrd/50ol4YNqzKY/Zi66T66RLdn5IbF1GWqOoofUacNvnDHAtGoOVPVo
2FiLvXCGZs2o/LZivpZ6Pvk9dBGKqLIOd90wgHt0Y2+/qhKO88gvgxKShaX/aJAEjzvQXHfcu7Qx
iT2LQPPfiF1R/LPCvPupOxQcRzFG3rSTFAa/BBVsm1Ab+78HbBJMUM3l+svmsaYwuKLCOUuSbbsK
ZL7rmbd76H9VS4SIK52NNL+BSYbp6EOQLyyo/kQVIcae6b3RhStepj4gU18HIdp6f0vaP3nrO/ee
moGI6ojBddfGJMPnxQya7Ky2s16QIDZbJrZGv0xRh9GDu3M+d77pCOe3WiSSMIa8qyrxOZE93XD2
KD2FT2XYLEjZrSJ+GD05xbcHZoLpscNN1FnhqaT8bMVaiJQRkjYG2BuHfKGKb4MsqOJSISlUd5OJ
BrTsY8hCkMcdcyhlWYoxuW/XeWf5OFTSWDtqZWLxmC34JdynBXZpOprKXt54uZQ5CTEJ+1hw8Z1g
yhBSTcPkPhBz6qzfBvog3/MhIxT1SadG66R1f5/UBJvsnIh96G7Bauij+KHWNl3k4qIWE862/Zl8
SgivLhVX+dHA0vn3/dLGh0YY1zm4RKX+zLjVH4CaEGMvIED7QNyYHj5eG9I4mv9/FAtTgjVL/W+y
4+29VkhZU0fp6tUn72re2c2ortbqr/LYhQ3wX2fNLWm8QQFG52286LR4oxfY0UUvl6x2/KD77qJx
AIN0hvwfIEuNucQdTH0YRhwjWV3xkDHh1MVn2diQaMysc5K13QbeIiJw56yQCFbO8wpOpNsRlHZx
hA3N0IPLsxeKtjkJuCzvSVnzdsVkgbtsnsL10rCjcyXbU8mtPdrllG64rJnW/BYzZQWaGD4uBpMH
bjsOhHhw7ReEEUuzc7idowfTq264W2mwxFrm80ju2a+WKzOpqFNRgRuzWONGBPsl5xgNV+LpHfpb
29+R3Ba5u3oqzFssGJnPTl2yKHmzlV967ss72wv1Rz/mcHIerSP4+EWLAG2KOSkOueXaH7NiREtb
MejXAFfeE0548JPO5M2XNZn8zQZCBodbp1pmw6CKH7A9tql6Iobk3WYm+Gt7oKtAd0zyUK7N+jRs
q+GhrzHHHGO7s8Ndzd30DOwSAG9r7LvHOM6D99UTnfWeCC9nHG6j+EPKfvuUzI2oLLaKqcsEC6Ed
dkfAsmVspIXKacfHhge12UcFFkj2sjms7otiXOGM+J0AJSgsPYOSBPbB17Gt35ugjYo7u5mK2/fT
llhGysVjgGWygxQJPEqch6h6BYzMqxOpEuUX9hh7AYfrFPxhgGXpwBnRddeutYNHunMq9KNEFb61
dWd98tV0a4ZMrn2XN043k14R/WeoSf4nlc14r73eC3bTFqvmR3eTCG4nqDtLSOPeflcuJXxntM1b
9wr/HhScPFMMdiOIp/pRvJkwdXk4MP6K0mFQq203I47MIMhaLRrjTVzXlzwy3vKC9NY7a0VaI8Fx
KAtOXddbw8kdAeKZXmPtH0ARKhTjM4ohqFSRwEgr/3uyvYZ7hrQsIt3KeXoiAAmXp8CW/jZWtv3X
G4v1PBZODajZwJ0jEdyWJ6y//TNytUICa5Av8+yX/vBeSdf6pdtGeZlm7rg6o23lp360rAc0nvn0
7nb47nYElZoTvfeA2FZrxAtTojfw9RXGTTF425d4kBGy3IQnKHVBn4gMCBb7FLU6kkevKtbh6K+D
WfaF0MhD434KxFNCT2n15clEJVeAgcU8KMVwueuX8JhYpHlM2v3tb8J9hdaxR2bucQ2OZW671WnE
2CBvZJf7j1KNHAy1F9Mz8FhdnhA1Vtd63Uz5BPgQl2m1hfN/5PtzPJW41RcrJaav0ge/ciIJTtdV
WzbmETd01+EOy3q/8qPjugA0nYI2iPp9s3r+sZ0oSz+UBX0aXy7RkSUhWULBOQu0Y+BbQAE7vca4
vFE4sCLu1lmW9V3T6+E/ju7ibfMmy+ydRkBV9d6IT0bQzvzPYgq/IJtf54uM2Hozv5oJedPO5u1n
tw/q3dDGIj5sREDiplhA7Juaz5XGFG7gIFhbA83bOhhdndzx7nCqVx9oSOIak2UMV8gAlA9v1mp1
33g2oH96gFGCAVbdexhFFD7PSkp5aYrBIaVpotDwOI94tX+R1j1PUGFg2HD3sgoZ4gOfQblZkQe1
Pu0pCO6mvwXo+cLK3tXoyzEtA4+7FuJEPAZIcgfH5VdRS1wdKCboA5TXJinAymx8Woyj+hNisfnt
cQk4PGAs1IiQRXEIBmJxbwqB6A0aonxcMOWUadcMvjzGQY/41oSbB/Ud9/69w2T+z+2i1TlsMfxC
OhAU83dkvS/vIOfq/9wqQJVYGGO+OUT6BY09Y+gBm5z8UzlVFONz4dBJ8bi5Kl03DLG7hr0QJ0/Q
5RDLfhL9xibbkgtStbEDk9TK7yjCM63AW6NMMPBd8mKKqURTvvrLKICGTM5+kJBy0cnuzkMp8dJR
Us9L2SxLAE5Zy39G2/GXr7E8EIwEqesWC+99YvncjP049vFRrTaS1iLslm9obTGcEM+Fj/jPq/W6
TUhPTizzEIyEzm8aF+Vk/+A7AxzDp1CcWxsvCUJIp2mypfQWZ4+BFVNmNIXxxQF9aw7NlmA1JIEA
jZ/vxO5//eZEH1r1+hGeFoi8izvzPvEet7zlYXvBDIPYrdO4pETrwVnYa11d59Hz7cM6Fj5HSaFQ
2peIu89WwI2zoy1MXUkI77/jyvH/rf1QX7YVPwB0mS9h9DA9/qPYzXvz2EthS6k9sg5VNFG+VRtQ
RtfrtnZnNPnf6BULxDf8guy2SCa2J95q9RfFI/H/YwcTdaqdPjwxABCk0EkLN5I1dugQSYsUu3Lw
3OArYY3SO1EEnZv5XVKuJ2/aXHM3N3V37gK7KrPC6iL/BPct26wgapD4CGlv42dAG4Zzh5wc3p10
gxbxEoK5ESkID346R91yz5ZXJWeHFWl8MEiQn+XityFJBG3FfR4z2+5jm0i+VAizPnjzDYJxxJxE
u3n0ff4RK+rq39WGj+UIMM5jHteOpV7IJPJl5uciuZSWdQPc8lBcA/oU/7MRkdj836voYpdx8ZtN
INnSaM6b8I6otq659A1o9otTDVZ1122q2nY5in4Erl3nABFhc4mE6OsnVc/CSYFp5O82SaCd/K6D
RZwdGgj3U+GYclfjNn/EBIpdkbXSx6wdzss9Hku494jBw017t9VIUnVEMOVYt/6yc52lDrg0KSvN
+lGbezcfqx83nnz5FZWL82eBF+rEzm6HvNvjPSofY+Ct5jjLNUHVRwFCkk0c1FfEGJ77l/epzS9t
Kd1HzsmSw1kG83QvORAwNDb8fc59A7TmnWuCqMRdACd4ncvJ/IlQI/3Y7JIvE9mK/n7ZxPgZj1Vh
9qU/dfNLh+B7V2K7xbU/0LrYxTpKzpRlFidbtjOsZ6HKfeWSFbyLUFQXBy/34/YOzLUbaN1OOH35
/dXCuDXX7zoZ7ena1JW4RDw7K7zVANaQG2ovjhoQmMCopm4yB0U9njwC4X858034iBI9ee9ifLxp
OEfD78KU/o2DFpSOyZAavCyBRa5SP6iLP7KDkkE9AfZJnwZ0xY5LZXmVIuT9qgR2zNTiXFN3ucjN
Z8C8+lQ4jWR68N35J3DU/LYIyjcYMrV3SLBo/RaqGtsd4jHrZHdj/SdWEwt57XVTCpvlkqGOdNnb
lZDY5pD7VSl3lDfbnyie5B8rEOOFJ2LgRixF9NL2lZ1fXIoPLsSaLN5dEZPGfUA5iyWSmCD9Qhpy
v+0w7mFI6ckTyS9sT0huohbCP10hHsZUuaH22INk8AUpl5Qnh8eeK7CO2l/ASKO5L5DnNYeQolFD
3KPd/WNwDzyKChLX5pZySZ3H7RD7J8UGhI1uHCSWEHcp3EyIm1pNVsJp70mfM/OhTiYPBrdr5HML
Cwk05IgYWf+SB9tDJxihmWd06N11g5tIpha3zg9rAFCxnyPHPZDZFbMXw0EgjsvbIaux+9LaWU8r
Ls/Vte7mmQFlP0/QU6kNPoKigMIKgibMLNm2SEpSl8ncBOGuy21DkvQYIafKsYGhzxRXSmXhsjyx
KKJoZkNTWktD54Fc7o27tiH3JSVyTv2e57F5y8dubc/N2q3Xsc71I3MwZKXnuyuyydEf7nN0o1is
rXxkCPcsfXVx+rv4qgJzGTuZbL9w/2+PkT31Jau/i3KaYVYBuG0xRnJeiZclIgjpYIUbWcB8KnFE
xAun0FnE3PbHYGqb+WBBNXLZIqQTe3IM2iudv7y0XH3+C7uy353ynlQTMriG7lM1eXTZHI77lMG2
/TV4on0wxC7LXdHk04EtLMbIBshzx6CLgqmWkiR92sviQ8AYHrLgyhDaOoqG7aeXPqqJfguG3VTl
+SOBJlNxD1QYlCJTrZ3wZw3ml1UXwbnH5M2nCoV2XJrVN/sREaFOJXApwHwVue2PO1MwcNECw5tJ
rcpf5EdDxMrfdvBQj1mTs7h42om8n40fLGknPRkdGOkYfgQhAnVKNuEAXVav6BIh6J1i35rcvkgn
vFmFMPoJBPWWhwzhpnrM6gXZOR441welnUgaTFW/rMEuusEwADN+jn8On/qWDiiRpkdrRSty7eso
/O6n3kOjz4Cg9pu/JPYHN1wfnxeK9zaocw7ftFykwh62hBZ6iEBs57CGj+lSazaTdegHJsLdZA+c
4B2azszG219kCfJF7MPcjdlSxeYRvDzhxRqY6w6qxqd6SzBfvAtyKsrFAQcGJIeVUD95qKfiHeVo
OR4CnqM8m+RAulAMu4W5v9YK5y0GwvJJ527/gozI4IdlF4wzsjqSv/6s4/oukqX5aZe1fNCxCQn1
6dvganlB4P6pyUFCHV2iVEl72A29uw3tLAVljfFQmTWcSQyYby6ytQifQ5sqAC51qwcIdfU4Prc1
7nl+WIdtLA6XatzH1eC/5DcrLBO37bd7dlgfd/KINAMHUyntZ8QVSOOMXcjHm+/obmmRegCttCAc
rSqxNw1JNYys3l1UHRmb8DV44foa9uSj/l4LHGDGJHH7tEq/7O7KvFTdf7MF6p9ioYDcl/DU4wl9
bvSAnn2CGRtcvA0JsBowUJ7w5rdIB59h/xlslKvJ/QkJ5PlQEe6R1FuD9Q0s3H9WWi3fFSzoV5hv
vffo1WIjzIYNGHCm71qmgKj55xTF+p8Nh5On06bH15pf6IaKwP7u6hJ3IrtYZX+OMspdL6WiJebV
FPy1BsqsbxOI0kkGiPaZk6BviTvOBJEZMBIgGXunoDyoRLQ7HXAO2ediC51KHjkzVHnmKLk1wiFi
DvcuOkJuTdvbvtEUmW1HAXMcn+saCDLzfbVchpb7a1+7dTEQTuVK7zVshlKd4y7XfyTMB14oAlV+
3RytFVEK1fLIici8FVVczgdVtsDOamRbJ20DncUetVXZ/i6tnjNX20Ild2KcnedyJXbx5PDeFGmx
1ubR0smqs4ToBZaMYGTyHwelTcZej3UUTmDGuukQPozWX3b/OSWRg2mb1MG09zq6qojyLvCF8Zfk
wF9uWNxPiL6+IggNSIGqJHncn6Iy2RVkpVSZqMXyJGkM+LDadRvfJo8nhKeUNx5VaN/qdxZ4oT+i
EGk6FthtereI6fkA6rl594dSPuVFzV8DTarvSeYYKNGhqqxPk24KXsklJINgrsTGrcByjx4S40Gc
JcKOr4kzKQzgC2pfA29QyfHej7wYpYZTTE9eHoXq4JBR8UEZZfiHj9sLTn6+2SzsI77Vg63qJTwh
sRVnh/ZRmXlj4ACaAQ4QDDWh9s02auYhwFl744ekWViHjYz5Z9cwXOPLINf5XhbFMJ7nKo9g0GJi
YjJApBhoBOQBCyz/CxARHL084APAJWTonqoyLCAaF1dtb/OOCZbojnJ1edtWU+T+rh5LBLpaFUgA
gFIZWXtik9EKkJfm7Bf8QEfUFkO4t7DyMRSA8tk7DJZum26dj5nck679PIw5TmyOSLnH+1pamdZo
FLJq3DYXH1Es1GmeQ84X0chC/G3ZrSYyd6icTc0691/luiXyhLbPD1N7Goq3KjTFu8EED3cZJFOw
L6pO/QGq4vOKy3r8Ghvbhh3CVBKl+IjUPbQ8rMCkVoK4XG8p4yPewuFvrYmpJswjXvNUVx2+jxyn
6HrQ0szPGx2zeWp3KHbJPGnrV1JlNudIPDuGtDzkazg3uXHnhnPNvsUbkz7XoEuygnOMO7g/V01E
BEHHND8e2drF6zpyvGcFGraJfwAoeR9h5Z8PTUfoShpXhMHtvDLJX3VrC+fqyDa8Qw2gq4ycneJA
AnPdnNaunKoLojsutBElq31OCLWVKczZhD8jIT8QUVJ4hI1U6t4hYM3JYmXk2zj7yZuDido/KF6c
m+ldWkfdV0Nx5PG8nfLaUpzSuq8PsLoa9dDiRh9j2CIzHBcLAZPxeScT7frHedDoNZrKbeOjkaMO
dzOW0sONrsXngv30hlD6QKEYHO3+sExz/GIpieij8rup2SVo9b9WkruiXYNW+AUlOmxTjuMYKTrV
jSrVvRu0BKKUaJgXpfD0WDAlCSJTbFmMXxWL2hKgIMRetJDLdhMTloMziHQiju3HcKe+L3IjawAB
kjtcZ37Wo7Phn9gTnmEV/NxmPK1YpqwLEK0XZgsu9Blpbh3c5RhU9a7pSgBTTo45SXGv/f8MHuLq
qRUuwOcAO5U6cI35ZV51Zx9045KJQD6O5/83Rn78GA+TmqHjSc9BMyfG3klxL0d2VuWJfubLMw1k
Rie/E3qAP3sEPdE58nJhn5zEXhPGZtft7r1FbyFvW+D+xt4V/eKGr529RvHJtls5ybejLOeVcAC2
31HO4Bwtyl6FcfEnGcbNzVriZPR5ywunOAJiJ//1Yd+Xd45nFwSfA8Jb2ezpftsPFBAt94ROeNWO
gYo5uJVGfWwq98tUWbHEwGyVDgKWOGBmr9FgmDsnbCden6Rpl4MnMRHs+gJ0fx8GpHqQt0fxLux/
bkWvJDVgvggL1LeHDWgRUC9Y/DsHCLiHiPEJXgvIUjxrGr+DjLwxcg6WZVwo9bP9mCMEweKzGBbh
w0drcO4SmfDFizG2kwfLK7oTMEYE97nW8oeElfzdC62uOuEmc78hiwjmZDybieHUrrtfwd6cLIzH
UcJzBZiHa1OTN1fik+Eutw2FU4G5ZVAjHGbgi9B7dykRwN0/H3uXPEcBs1kmWq7+PW1f0S3Fr8Sn
yXuVsPSTP6LfGbb4liSFjdvOXyNHfNlDOC6I1noCUYpya5+8hErI48IUzBMOLtC+kNEpwSo3Hyyh
5lj4tBo05yfksSN5km0EoEj7SIcOu3PDHK9xZPOlzw4f9bVRUBN3DCY0p7NNLfUZ0Y59a4w2NdGj
QVPG+HpjghMwZUP/be3ATc5hsW2XqNEdXpF2a+JHrLNT9wgAHX5FA5Tcm0UKTLxfwe34gRayLoIt
th5rlNeI7RjiUAUr01UxfCfIHs8t5q31HpmbvR29Gd/w0cRKmSt8an7VMqy/7W4aqxdE4OgWeQZX
IEqcxmwRg0eNia1NEP32gPzFGcdcJXZjWzBR1HyBEoOnixRsGOVknUs3t3/VK/Wdp1ov4s2WExEH
RsoZG0Fd4BOK46q58MGYp2SUstpz/cj2W4zMPPvRqrbhqINqfUBPTvT46qjws6yRFy6837y2/+Ps
PJokx5k0/Vc+m3PTFiRIghyb3UPoSF0iS11opZJaa/76eVh7qWCGRVh2W9+6LREgAIfD/RV+VQdA
YJU/PGYzupIKlPNeIE8F3deQ0a6k2t/TcqGB8D7zbcAX8Aji9i525aB2Qkuz/SR4AcHRFSWSFKzG
ra4XXblGD821t11kds6uQ0sVvL6FWj+0i6jNjr10qq+ofxa0KCT9q0M2oAy57WseNocIUYjtGLlN
/uhaTfbFCqf4s4NkIG8g3Rs/jlMU5XfGAJxuS1rjGFvfAL+88YfJ9zaNM4LCDBBk4mz4YLWoLOt0
ingI0t8fHAMYYYpZdYB80HQ7ICDU7nPXj8013y/u4Pb6A5s1r7L3iRb12jPwYtx33QivtjuFJ6a3
BX0cuPTMBI8kve+z5MAbLq7ua62sn8Qgi27bNX0XglKIAmurI3/5JQaZFe5U7TbtnuZKgLmty4Nr
KAxQHjRJUi7CSYu6beuWxZ2UeWGiI6OmZF97g8EptkDx8u7Q0vZ74w6grwoLDUAo6K6zn4AzBive
EwbvyUlPJeKPcZN/HriTgHvoWpOuIAhldM+oyQ+wrMwoRfZCtcUKSKscnsgHjWKNJiSFXCfOrRsj
AuB97Kq8D48Fa0GZAOhrcQcStO+3Eyim+9jpfOuxb2I3vu+HcKAZHdfDHvho+KvXNCUw7YpYNN2Y
jCPVM8SeDDubD3itWS9Z0JXDA71fVe3qJK3dm0GDCUjzoIcETmut8bc6cp8IYdWm+KTlVkslZLIb
rn81UuxBNyeCNmqHDmwFK505ahrWRE6TCfQCJ7qRVN4MX3+sC9fv0SmzlbUt0PkmJDRkXTu9oGaE
YhHCfJPU+l+gNayXOK/gXztpBO1Y5vl4D+8t+EUWUqQz7b3ZuP0A/m+O5RuePgNd2WDw3+dVRH0X
8AYVQVEJGdFky6rf6JWFP3hk0UDyyPf2ihpAcAdbrMZ8G/RZiytHk7Qfwj7nXdcE0nsXl3r+q2/g
H6PkALFwG+s11q9BOlHU0B0dTXhFtdNFy8FAZsshaHARQW/4FKRl7tx4ft5+mrJp+oCIBvoLZOO/
IUvlBB+FvzEiDLV7kDXoLcR6pvGjiEtrBjOMIAJtdte7WgbRAUst/4lnEw0ou4E4f5NYNe+kWXUs
XyMPhoyCWelatHKaTlfHoomrX23ZQ5E0Kmj16NGWcJccqg/jQcBGKD4VCSK0u9kg7LsVD017k3F2
97CVveZ2aLL4hYpiLQCX4XtmAdNokB+Fg/LidrClqOSB9OX8+iTenZPKcosoXe6uKumlezdyfWyi
UgohN0MUJTpNv8mgbmvBVAA1U8QPaJX5yQMiNYTivIvJcm1JyXdTJjwZ50ds5904gsbiVhiTyrei
ctGstTJ4dCsTOVnwmbDbm4eck/bNrNzmV6ly7w7hHwGquW/Ag9RFqc868rxsyO3teNpOTqC/Qwca
6FPlJsU70BG0uGuW+VAjBUYDnzfiNwH+Pd4A40XYGeVY5Ncnr9DjrRZL+4XFqvR1hgZ3cDTDwaBa
UyCDuPasJLZuuepaf48ekRnsYVGyBPyf3cGJsoSbyZKqvvOARNe05UePLVhnzueAHKU6+AIZaz3L
tN+W8OLpMGVtaOyGqJ3ymU2TvgPxSi3W7LXmu0AhSALTaKaXNEVm7x75lkrugk40PxGyD37znhke
QqCN78w+h/aXJXrxKXZ0+UzQcx/CNm2+uPAk262vuQ4U+dSErdUbn30SyU/WNPX9ykcHoeGZNkW4
m6ODfYxBNYGIC4XJdS7Gpt7EvDNgtTsOqP+maJFl9kzPekyA2WuE0Kj9yXuZ7mXSh/r3EIzmt66V
6qsoOvwi9AixIx7bvvUhMVqAUTkevlxTsd3foo9ly3VCYSIXX2mJpd4xz32n36aUvcx1BHm52lHl
0j5MXjh9M0RVVRsMqq2vlMnZ5pgS8VJCeLZ6GtExQMIAwRZa38CRHk2fQviKJMYgVcr08EErwWOu
3MbP+62r2QmVM3pBm7oKnZaGOh0I4KpG/9sco+QJc18PlDNXGEpVnlkDnPNwXF5bqh+iO7Q4xXPT
kRdoXeJhJNsNlC6FQ5+tt1SmrT1XuvaDM7k6qpu1Jb7a8Bzegd4JgnUMHBUD0gwXebSwvPZARwQa
f1ZqzmecVJW+0cgBdxQz0SJqkw6xEUyehmCXceOBGwCLt4YdVUVbOGHUMa0UKbb3wO0FXDnURGCf
FS2d62FuRWQ0eaFaJPCL+snQm30ArGBWBKgT3lwhPeBVbdEbRDkM8NgN8oXGXmLgWj7WKkLwAXiO
ZuwTfcBfyaMAKUGHF3b6qbWRzgLTzNjvKruepXNTftFYVs0vP0RAh8Zdrxc35FL5XdQ3OgIbQ1/8
Hm1N3BnUaCjl0yC/l7FRtDtndEFWxxxYeUeZcIo2lixcoq7kxn7QRyAT2ykNtXRXJK3zmbcBtmyi
Qm5xRWOJuzQcJyT8yqhqEIshA+x3qTORdnvSyau5t+yHG6uH0bAxI2Nu82qW9zzaY/LSZGTpL5ZO
vrdDiVRvb9MSgZsVIn9o5HclXcSVGU25vc2wjezpMVA6WQWhaT33QZHTb3AMavtRGUIhpx9U/Brt
KR1QZ4zrfhNCdu1WqJGVFj70hv07BeN3W421eJmBRf5K73gTEH2oPqxa1AVnzhGQfSRhR/eDnvpd
/NRrThvchnVhQ+SDxM9xrCC9lnkeQYuq/GafYvuKoKjpJrw/tWn6EVLSQfwur/Rd7tuNSUnHMcEH
Nggp33slOjor3Nvr5NAri4oWfDRRrbxGsz6EyAX/amw0kZFwcfvH2K08f23JmgjrhZzfnRUAVdgl
lTVaq1EW+QNqu/TvNfRZ0I8dxGe7lvWPBhlyEDUGaejesTvxO8LNKHngts0fIDNh3V17Qm+3WuUJ
gNIJBEUm4EfUP1HpvnH6JvqI/An9KCTzqufCLDHohA7U/UShq8xXHQaNvyszF94G2QkaGSieOU9N
YgdkB0RbtOxKM3pxOYKo/xpdRNfJ7O27ngQYjlLQqp8pErYdelNo56wSnoJqhQoTQSBLRN/DuK/g
07m0XW+mknSDp9dAZoA2j/3LroF411FVeWsj8bg9clmpe9DnEFxAIrmfwZQHB6MKUeOp0h4qcmQh
yL1lPYCEIFjeANgZHDW32QLQFros4+xRpIXxMwcTUBxdBCNTNMpr8QtnD02uRz+TUEYzu4n2ArT6
g+kMabN3DW/q1klFb3M74qQj9qDuxgfbGVpoK4OvD5s0torvie+HXz2AjM+m7Q4IvQ0Vh+kXboYi
3aP91NYrOxW+AGzTtu9C/CK8Q1TFcXgE60BODciuOTpmriMiBXz885CFzmcHaX3yl64bgL2kHSrT
+tR9D1NJtj41Nei9xOTJCSDS+jg5pqKYiSwXNEQLqxV6ME0cPGqabj1rbgIXWIvNZHbzpMbdomBg
g5VIKxs8MSWnOQ3A3zn/YDUTQbEoYNrR7ay7emd3mfW19QsberkxyY/2BKAQxwRfbCP61CA10NYw
6D2bvE45Q4GF3ihEiw1wZAXpsoAfuBI0RMOtPirKTGaH5O3KTwmtm4Aa2LZHn6kl2tCpX3cK0PcD
OJAGvTKaQChbC0gQRrhmLLfciraPk48+SiMeMtcDzUewk263RW8X3oFnxwPtOM8Z0wMXcuhvKIeY
yUFK0HTbwujkD7R/q/BQiAAwdqAaeYeafRdvWhD8RHcTPwg2mya/6JVvf/R42zpbmepTAkQJettG
KrAcG1A7pKkwGPO7AbuUTyl4iB9tXmkZrT/HfE7rsUMlA+415Qm/0L+gPZ+8d7pqZPqgvO5dpCgq
fJRv42S8KYU9m+hQhH/JiK0jiLc8cBBT7Apq7khg46uhnOE57drhSzkBdtecKAaCXE/dbRUO1Jil
KUK0cMF3Pyfg8IzbAQ8CeGHkWLOsADSrPZ5M1ZPeGWyQHkjdx7GQOXaFOV8JzBD0ZUQae/BUaItD
wbBBcmo7AEboSjWYIH5Afs43vll2Tc28x/rrISCK/zR13xh3doQ49b0Gu4Ra8eg6EeEVhXeKgal0
nswkgH7QQuAot5MRQKuMglGOGx8I5pEbpU0QJM1BTteaab1vU6vlJku4nAo4pO0qNEotJp+0qxu7
C113E2WBIklBIUZu1dB03yY1yk96MGbGpqYri0dXVzpsax9Duw1feqR6nEGqkcCO0tvRElJQZHG9
5mvQQ9++I18Zb+AvG82uktT0fUICFHva9+iBQ+fNn8B+8kSldRs8d3iFgvhufRltaAc5FOY9ah4b
nlTxFw29j3KNZOWodgU93i9ZUNsD4jPacPNPycOE1xBdJpVY3DIiR6ijq0pEzP8pA7fvyyzBicaR
qbir8BH5IfUgogqcCnonnQc3AWnuUv70G0in0NCAr6FT0PvvC4uODq4uEeW+LEWjgTKMaAC6tOgC
fqM03jpPZRVk7T2tbIMcPq9876PeDmLaGOFkHuEahSlMmzLIVv+4vZRjRm63AVsT3dJXcNENZ6vH
u3/0gopFQYFwEyjP/kWvrnnOZBTOCRQwLAEz+fM/0wSZUXQS9q9dGx5prQCsqIFupRZSpPbuH8iT
jSuUl2xz2wjkWnB53ogYE55DBIZ5vGILdcbPyJh91fgrSiBUMXsO/eWMpQsfcRdZNGswSSNKUxYg
l93QN4M8DK2f3E1g7L6NXjweHQoHm//6z//5f//zc/hv/3f+9P8tQf+TtelTHlL5+r//dc5iyKT3
TTJvmsLVF16HPTmNItbx9IHdAXQJSVrKee7t5VHO2SYhlWcCagRh4joLC0A/Gissg3g9aQbNVVQY
X7S2qR54Zww3l0eaPbROjE+JE6DOTSF5+1h80NOP2UeBn6OphaVspYW3/dQaey7Tfm1q+EJYqfxe
2T0C5xhs3NZW+/Py4PM0FoPPa6grE6tXm6706eBl0PkxPHy8I7IqOhYixK8SqY5d7TcwBM0uQIMn
TraXB331ben60fljOAGgznAXKziNRd8EFqi3qW6LT0IijJ0VpfaIHH74Vk9FJuZapnQk+j74ly2W
kWbZ0OBvAMGsKOpdptxsA1W12QwerkpvnZWpU1PRLWWiTGiLhcmX6RldgQY+YpPK/lC5UXI/yPLF
TLv04e0D8ZY0caHX+YxiYcqW6LYFsAm1AHRy69VAReDRIKru6IHDzrw81isDOCZjOphAuvjsOVB1
T/cHDFsMV1LXXCvURtGSHo1VLHMaFqCEVxhidG893PN47rxcxBUDrtzpeFHR+AidMV4FGn+P5qO2
NdspfffmWeHrabg0KQSlDXOxVGnpT9zmDgkndmRrL4/cHYRRlHEbgfiJ7O0rvoivNzzS2gpur2so
OkLLI65r8GBTAQYvEW29NiybZm6JPJHZO9OnN08NdqVhsd8V39BcLFg3lwbSELuJKUvs56hoaTio
wnxpECjcg1cN3honlYnzOVg+ygMcMGOe+l9XgYYfABckKDoNMd7D5Odk5ECo1tze1/wYz3xFtgUW
dkg0mbBjFquGxkEzExcQnEEH9IChCyeA6swa7lp7xWDy/FAo0c7/uuz801kZHswUOETzWTbLlWaE
4ugBIKy0yLwSoM4cMEnMIBYCtSX6L9arMAAZDgFTqcAxwNDlgd37Q7QPrB7FtamM3h6lGM8Vpm1b
Lp9yEXvx+uiTzmUrZrgg74de+hsTz7B9U0cvl3fi2W9ouBKpEUcoLuzTbwjJH+8cBTE8rmjLT63v
bascg/po8Kt/MykJnVLwCW1LLobySelNPRyIUr2BTh5KAUfLg3aB8IO64hr5+rbG3xlZT/pqABTx
tD2dFVByQDceksJo4WSAmXtUc3Y++TgNeexCX/qqAq7XGBpdkAlc8s3oSh68/+LTOsJxTd1xpLM0
aM95vGfVgM6D4WklHkiwzSlWVgfh9NGVgPznb51mCPCXBSYWtqD7a+iL9ET4aZPTEJPrbMqCL1pF
B2fVDFgbFaDMHkWQxE9hVZm3NMfqO8zwxCNX7rSl1e4cgeKo32NcdL+BZWcO73uwWXT340MU6hR3
NegvVy6s+WRe+rmL9dE0YKqx7ch1TL/CzwI6sN6A9QFGF1vk2sU6HZsQrWGEQi6vyZ+889LIxunO
QBkFikvPyDXijQAeUJZLnUebwtm61O3u1p0hARQJXrxKVnciTIND2XpXfsW5Q0fwZ73sOXA583//
KxxDHjIjCboHph/akl6IxngN3P+ISHh5Zaj5UL2aLwIKnHBgwLa9OHSUXKIW6p659ppvFhjNPU2Z
jLYuOrIFIkKXv+65weRsLArSA/qDsch53CJuzFn/lrZj5uvrXDeLO01F1d7qh4RavAnr7Mr89HPf
0qFSQEZi2MpYuhm7cKzJIvDgRMClRtsXLwIQ2F5xVKTrxxG3L8Aohr1DLrB/Krgp6HDhCbClNBI9
a4Zr346gvssN/BmxKymW7y9/k/lqWCwApGId+RSHWh9XyOlaZ/Pnz5HQAhUHsdIpwdubtN62l0c5
8xW4llwSWi4oQ4jFtvamge4rsgfrehRI6poIpCjLWMG9H3eXRzoTWgnfOhe7wReX9mLvJr3sQNuR
+9Edqo5TkHnHgu7OmjLK3IKws31X6wFakK52h3NI9fagSkJNrLOpeRNVF1ssHWB+hn1grV0t1941
toBbIcYiv4NynXy5PNUz29nC4tjkpcDG0pcPaBCScIBLxgIoPLsASHxqqdOBpp5KiGVYn135tmdW
0eZmZAkx6Lbo5p3uFUx0EPO0KOkDWqtvyj5G+69onLvKcNwrQ81/arEtGcrVDdIaXs5LC2dcemqM
gTwu40TRAkrqsEWiNAwQAcdUbdubwrjHGUu7EiHOztAxHNsCc2NZ+nxa/op8gDirCHUmFNEgXeyo
c4IiKdBEh9WRH968enQm0CPnDDsKudHToWwNLXnopSS5kyc+mGUR0TcAd3yAVRm74PC60rgSjM7O
zrV5VXLn68pZzM6SjU4MZMMI32/KrYao2D3KJla0CaGWv/25wldkCW3HNiQZ8On8Gh5OqMHxKVFW
sUEakeco/Lq3VQG88/KnPDcvIpfjGiZ2sEou5hUjo52DP7bWEM4sDIZQH9YSPGpbwIdXNsi5C3o+
ATweKOnA9VxMC66+sNuWaWHypPx14eSdBUxA5QeE9TU0jAMkh5PezXreaWP/u6rK7oiXT3UztTrJ
+dtnbnOX0TwnqFrWItzUCa5QqkcnE9NddWhhQO0Gt35ue0ix/2Ik10UPC3wPt8UcjP46GbzeMCjl
F5AtGhgKQA9D6sgA94oj3pVvfO7sq/l9hqsafV9ncVnUQwVEqwZOUQD3PaLHSJcN96pNRQ/nBuFo
7Qg10fkXx5H3BfxbIjc1Cnk6P1+h8zginA2iOPFh2gLDSANb/zqa6aGYXO/Ki/fsHGkfKZMUCz3L
xcLlcBwcY0S3yQvz9p0KzWiNB890QFEjvoMliOUEWoVvfyYSu+UMrdJJ6+zFHCck6MDXId2egFXV
tzNpFJxgo4wHl7F/WGEQfr28a85N01EOe5MdahPtTr8qSmimN6DjsbZHq34eJoTGqxw4a4Qj6ac+
cJK7ttfGX5cHPRcOqCujKOrynDOtRTgQVaZKs0cpASrMsMlHbVzbiQZBgG7x/s1DUfekJkNVcC4C
Lb4oLtsz04zeAfRffRNQrbyjrBzvktLrrtyIZ2ZFmRyak1C8GclxTj9lC30JUlaNUqwrxC4GWUkv
JLGRv3ZeLk9q/kuLuxeaH5uS/IlqjFgs2iA8r44LvV5LYCUPFabVA1zPDI/Oy+PMe/zVOJJHMFQ5
wZQWodRRZRZHSNuCd6ncA2cl39tDbeM7LhGcmmz1LDswCwXXISYIKv5xefg5Yi2HV8IGWEKjzKYo
dPpBnSprLV9JTryw+g/KE9N7UN1IljpdtivHTLtScT1zFhRep1TIqXFJZxlBW7CJKohpKTqTD/Mo
zdXvXNT+OqS9j4DJbE8JBPL9mydJzEb+RUopBA+J00kifYxoP1jtdeciTpejEvFo053eoQeJpgkv
yitr+uerLb4qlyL705EWZ1Atgreb9CNt0hphtTaOf1hBqn7OIf6HUFA64U5V6LPrwRBAYZogfYDm
8j+mVCDtzeWJv/7alrJdMgpJloWz+OK4QOZAvimkUCpszXiHaWLyQksCB1QICLdIJVhqNUKwMVeX
h329qSzFMWX+0EIQbZhP8V/XpI2+cOhgqoR/IY5jcTZLmWAzeYTP8ptNGF6Z5dnhdGfuMbm6y6V5
OhyShTrUJUBOswbgR3A85rFK4MUP2gApO8iRmXvz/OYvis8XJHidOZ4O6NizKnHe19B/NNqSkUyb
D1Nr2sfI8noMNPPmygzPrCOGboypuEdIWxcXpSy7MMVlCeqnm9aHUBao12PtsNE8Lz4EgeYdJ00z
Hi/Pco48p5uYmj7xnCcOrzieV6ezpECb00biqOLpAbqpGjAZjMl4lF4Uv+ygLH9FTY1/ACSjK+fn
dZSfR7bJDHiP28CvTkc2URYaq9LiwkS/dEvrWR0r6Rh36PzkV1qGZ/YOFVxdUpWjlEsQPB1K84yo
CEwTiEOBZmM1jNMWbjVg56n4kHs4eV/+pmdnxgpSVwJdZ1qLWyVOVaBNIdATKM7ZLieDBObvaTuk
c5IrH/Hc8ukUeFzbpe0k1GKTRsYAxyOd9WMmCIBdpflbE90dFL7lJxq/xh5Bo9kmYdCuZHVzUDnd
N+RXDOm4pJF80cVmjfsRZ6K0aqCAUF/ScCnahRQ+rhyJ1wvH+4PyMfuSUPPqDHY6miQQv5t1XUdI
6kAK2CBCU+xQ6kRxCGeYK59Tn3fCclpqfpzReTLIjhfHoRIFIsmNbGg6leZDlPCCDKIMUzNTliGu
LV61F0UNWcAW6aEsU6RKQ7fZNp0vkfXoy3uBqNrz5e30eo1t9PsMSnl0nrlBFtsJ5LUPBY81rtME
dYiOIPvFj5thj06Q/blpYGIeogF24QYcNyDLy6OfWQKXdyZZH//A21iEeVfZA7zcksZ+PX3zkT+m
8YLJ9AiliRC4uzzY6zyJKKTTpuXcWNJYtp9nU1wEEXGnEEC7DxhyIbKjpv7gpVjmUlhTx9xPEZNs
mybaWkAR3l4PVhwixudX2AiyL85TQolUIPDUrp04+sWDqL7Hod1DSDY2312e6usDxEgkZFBIubuZ
72lMakus+WILvI0xZDCOy6DZh7Q7r2zoM6OQgfHAnFMDehKL1Ss1Fxlt4fFBJxfaL+Y/N5qBVOrl
ubwOeGouQc6zgd7CdjmdS45mLUrSA/Kss5zXGMjuaOvRF9lP0/5fjGST4UledlTNFplsh2gZ7JUe
Y1fAyPiZ+uomRXwYvQ+ZHC8PdWYvUjvnEaKjUk1nfblAgYMtjT1rx+D7WMOSaK2dORj9vW5Qr1+l
so4/piO8vVp15ee6t99eSUZ9DsiQAUDBptO5OPcI9FLfSYFRYV6Y3dEOn7Z5jy5lLAZze3mu5xbw
D2jB/bN8y4YgGjBdq1qjR46nhCYVQyaD+x49oXZ4rTMxf7bTCIs7LjOagSwCQenFjnQ8TKr0EbZl
KSf5Ab274nOh2cZnQwPfu+oax92keZa/+bpiVJBrPCh1amfLxUSuZxgS3+zWA1DKW4yVio3eu9a/
OAcY3FEHnPEENHJPz0E/YgwtTCTaYRyiCzpJtFrlVK3x8nt7kYqp8J4kftBYpSJ4OpRuwFgGZA3s
SWFZohBp3eKEZ618iRzL2zfHXEuZQQR0wK3FmTOqGlOgTnbr0qvH/eSijB3QKN4l3fDj8kjnohWN
OK6ZGV5Fc/p0UnYjU3dKcNsoq6I9NhUv5MwB6X95lHObnQtVWnBrUcW0FtGqkB6lvwjuZelgG4Iq
P1LQlVUepibvrlyer4ZiEmTVvIQx+QJhssiSJnSWarvF21VYndpjjzIeyr6lxgALaXt5Vq/O1TwU
X86mSEqmay5uLg0jb3hFyB3FWeofgD/7SBA1wROebPVXtzOhpEY4duRXZnhmWJssF3shughcM8so
SSubfVDghckVQFbdfME2Ud8naWz8RnLVyRGBssq3njMeDH8Putj8FlI4qR8ME1p2OeQ0A4MdVDma
3Rj23eHyZz2zgnTyXGYogdCIV1CkkCeQgWbCukB48wbEMsqcCj83AODmlXP2Ks+bZwV0knYt3xLA
xOnu9wCXhHKIZ2POZMCaDWlXUyLAA3xB2xedYX8jD4s/DKq+cuxe3XSLgRdbB00XYPVmMK2bRu93
vANRLwotqJr6FBU3qK0HG5S8YOBjPnxHYzm9ciDP7iEuAw4+HRQq06cTR2RvaioXqxMRYEK1CgWy
lhs/SLI7D4mACIpGiTLIiMTFlSv+/MDSQneKLhoZ5+nAldKRYMVpiy5f3H1C9aP8bmBDtIcKozal
UNM+xgTy7Qd17pFTDeT6Awi2+Np9obl65uXzbAHxrylZ1eld22RZ/3PqMu2pC+pIo4KbVz8vb+VX
0RVYEa9gqrcUUCTwutPZ2vlkliMKOGvkF7QJNkkLKh7HYvXx7eOQdErSTRcw6bL3xnVhlE4Ff9qm
DDU76oyVdxsE8FauLN+5CRFaqVxw5DBgXEwobCZlJl4sZk1kzFtz/BemurvWnz0TAdTfoyyOZRCj
0Y7wh1gjB9Lsle2h4h64swqRenNJhBUiWadHAjmTBs3iukBHqky7wAB0Y+fG10Ab9XdGq+h2gSfa
XF6kM1tfkdTiWm/Pvecljg6jHMfNEk+sUXxDbQ/NSlTB+/FYdcI5+DjrrjrE2a8s2JkIR75i27QP
dMQ37UUmIVSgNEy2dCTm0uonlZfvKCJODz0x4RYKfraxptlbzlWIyl+e7rlFtOcKF9UE6v3LrYLZ
nd+kMbukTe1xDy0dI8YIlp+B1s6Vy+ncriRrB/ZGZcR+BZZ16fVUvoVECAXwfJ+LvNwoigpXYuYc
JU7SaLYKxUIgfAr2orPsHCoTyc9ywsUNePWIeqQqj7Pf7a6c7S77cjSuNNTOfcC5IjKDOxWv40WM
dgcs47D5MtaVlaXbPGjHHc5f4x5e47U66NmhFAFEkK5bPCdP45QoYULRbDLWJaTELdESYUIMytCd
VNcgsme/IrcfdUVKg7QqToeKQ9D6qUqMdY0n5hESg3kscE+5GWAuPvaW9PeXt+G5U8eSERkNMjXa
W6fj4ZwQNY3N1KSsfsfQFQ9hA2suxiF302AYgXn1lF8Z89wcefL8KZtTU1lCBgoA7342EPZHtxHr
SS/jaDOWfZrBoceHERHq7O7yLF93RticLlcb6BmCC3zZ02lauY0hwOgSmCO3DVdJ+EfyenD1XYx8
MsJ1qIYR55xdGFio0cE31HdeLqCZXf4h5+IN8+YJD+yLJs0insZKxycqCMG/RY7xpGHIIsBo2P2e
clr/M8sbC+oSsvRdXclrcLjXY3P+CbAY+VHOp5Z0+g0KzbeHbvSw68qjctOa5hCjk7cy3B3cpHpT
mkG/bdJa216e8uvow7CWzl42Z0zW8qELYZ+61nyx461ubtUYefcx2neHy6O8PqLzAKC9eUlzU4jl
5GJnGjGSG8DSehaBx8dMC7mX3VCUn988kjKJAvObmhxtmUzgi06RblAG7ERpbN14Cva945Z7fert
K5N6fThppM/AXccGjPEKZObboaVldQg030VWXWY56uFCQ5Yqc7wdgFgNqYH6GlDp9emk7wwolPcu
j1HaIKfbpFWQuVsLEB/czfBglnjbVtjMHYYG5m0dgiN+6/ecy0k853kn0mtafs+si+Ma/ylksoKp
hes7VESGnIfHXQq+5spmfH0GTgebt9FfLcKi9YK+nxFEqmoQonZqtCL8Vm7EZPVY9cLbVzkhPsXV
+0q950wIMoB9IaYA9nxOdBaRNhdWY/n0Pum4R+oeG8NurQXml0yzcCsqkD1FmBT72AEJ07LC8dhK
je5KGHy9tDYXJoSqmV1CAJj321+zz0PXCRqhj5ux0twbrR/9/Zgo7xCn5YTC0HgtpXt9KBmPPjQ0
FgakAnM6XoKEIxJA7oiTjuHeU3EeMEML5MY322vFhtcLqwRBxtANm2cxRIzToVCTGSa0MvqNVVQd
qoZd3TyHLprtetvELZThwfqG8Up16+PGfmVTvf6sjM2igmw2qawsKVbJqKOnOuT9xsEq/L6HQXPI
KMiie2XU+0Do7ZVM+fVnnfNGGsGkPw4YRnk6VxxzBs0OVY8hYknwdqNhhZwGRqei+nL5bP5peZ4m
dWoGuHJ10lqbe16nQyVB5VKx98cN1rHINPYpeKJVZWKVCtRPtp86NLOebJR2HkHljmj9RzRHVrNA
NB4FGOyu+iS1r/ROX18oyiAAC5Lm+SpbogARj2oFMGJUVDyB6SByPsFa9tn4cnnu81W8mDo8LmtO
VCgBvIqD8MRx3dJN1BX8GgUhqO5iDeinDPc6vqNg0yQAB5hSzga5zkau0hHdvMs/4cxCU3SZR6dY
hxjEvOn/Oq+m66EdGztsakvEd6QIzUFUlrgBMC+vPITODkU/DQoOMR/k7+lQdSTJQmq93xiT1uCF
lgW6uQ7qGsVnJfv2yuPnTDCkWMyDS4KEm997i5kFHSshkCxBCanXsnVr6PCl0dS5kVBW112jw1uX
Y7iHJew81FPlP/mTfo3veW6FobHSIXKAccMIWs4ZDUFDzwf8hXT9bjQkPjEhlbssndArxA0WpUtD
2yQJ/H6ymPbj5dU9OzzniuBhsZ+XD14zqb0gJnBsdD220KDUaSjHHbRoJ7IG9BLBxwOyblF5KLCJ
1dSb8dYOa0BjeSYFza/DxRo0NtCOdqiGjd+lxY8Cx8K99Fpr1bdle+XInomQXDzsZTihVEWWpBZf
b53GmPoBmZQYKQ0clA/9AMgbqZsQ1Ruj2V/+tOd2M8AjOrd0MnWSp9OVjTDFjE3F9io7d/hoM8AG
hmNzGxXhNSTHuWg0F0fmdAms13InN63AODIE6xjLwsiPQeYgt4QRGsYDl+c0h9pFPKJGwb0N5xWG
7ZLyqpKxK/ycGy4vpXOLOaq19XJkiPK2mT40FqLXyG2528uDnvmQXNxzPWZGVhh/0Al/RSB0TlXv
xwjq2X7RYyKGV9CmkLNJUFUj/nUlLPxBxC3nSI8duBEskpl/cLpuI8DjNBMjls2gj3sdvfPMxfBv
yoTaTWWnT9veC5sc3eV0/IEog4W2PHKrCP6WsxxNT4W0XzUiQg40xtXiAXx2M+7pier+rm+Rkp/Q
2vjWCoXBLNJtrBG2Mfb0TtN9zVtZld85W5Tah+YmMsL8non7CcrMxps5o+wVSb5DeuTCdDAWZacs
yKtEWS2ifKhifhB5f+P3yC3ioaVuEhMrhTevInQ4XpuAZC0KJvMq/7WKCPt1dZIkJk/c1v3iNMq/
yxEo+CqNbrqS5p7ZMDDoHRijgAmgjyyGqvsSnaWgNTelTJ0PyMSkt42wsoM9IHR4eVZnDsTcyKIq
Y5OcvMpm2zqAT9YyFI3w4Zbk2tnozRTcRAkNOniXxp2B+dGV+Z2JZCSX9Dn5krTQzMXKycmolIck
2SbN7OxdqMIjNhYkYVUPMr5prmEMz83x7+EWByJL5ic1dY3NhN+Ve2gcH8E1MWGWuHJrrqqODilO
NGYhtpc/7rl1RCITzQBen5RIFzlmiHQqcoMUeftxEF9jqjVfSuGXz0mcTk+Xh5rvmcWhp8PCC8EE
VgWqZzHHWkf1xKdFtynHSWwpImLm3coXTHYw8Ro0Y51jAPNS1jQoLg985uMysAK6yWLqkHJOj4UV
oaPVebW+iRuFDk9vaB9BTb3kregehgZcpT3q2ZXvemb/uBR+qPjSdyfGLSbbOwXSyYoxO69yuCgQ
KLlPAQFGq9rApSkbHbW7PMszKwlNXMyAEbotFGhPZ1kjC+a2EwKmPVpIX3XR1A+jGWHhSyvvyvvy
3AedSdysJkGcMtfpUFoCPSxF8gHZ0UagDtpUvdO8U02m6IM0hrE2Ksd56gvYQm+fI9RGKdFgIpOy
5q/+V4ALS0o/kiRyU3keFkINKqkfy0SrkFdz0+pKMnPug7JZKSjO2TKR4HSwShlNHNJc32SZ53yW
+ZhjLPG/nJ1Zc9tIuqb/Skfdowf7EnH6XGAhqc2WLMty6QZhu2Qk9iWx//p54O6ZKVIMcXyioyPK
lu0kkokvv+VdUkwjbDddLuSI594Na7sOQegDFjlF3OTY9/VYwGih48WdxAdOG2/GwrVQ66IQpR2z
RQKGXnqEKsBwATR/JkH1APyQa9AdZvWTBJHYumZtZ2JtYDXKeLU4RXJwYrTmg3ZJwIn1hW5+KmPD
/lyO1vCzkvSn3v9ezz0+ncoNRc9kkg9yvNX4gjrWJFsjtPMSmfZCWtm8N+vC+lbknXplYToeCZB/
oVwo0i4sfu7x6deAdtoYpW/wC4Y+D3NtTwZiYaIqosUxkhaxS719zD2gtGYd5zcYBtgh5eoYQYW/
hPc6d9Aob1Fg2FSFuEyPnz5n6t4pqA6B6DQqhHB71U8bzzwoyHP8D4IEDOENPU9+8CZBF1qeCQe9
8rCcBHqOwh32JR6vV2WD08n73+m5CMgSgJ4o4MksT14fPak0ZM4yI8Sv3kiCifbJazUBSfbxdplu
Ruyaf39JpBZ4f+gxgktGm+Z4IxOrbtAK61bi0jTeD3AmI3w7Ma/hd+dvTYxu2fvP+DYQuuhaoS6x
6SRtEj/HCyIw3tkIBa5hoenZV/AaqFzFiubnKnZOJX6JPjLM84Xo++vuOL5IIRsbTHE2sQdaIydv
y6yreEDn44ICaKLW4TzO2s1kWvG3CVb5YxEv4rZPJIrYS1PZh77Mprscx+P9MnrqX+9vwNujSxZI
2sBMH7rbm7nqiMopIhEKnT/MAD6r0Ii/V+AF75qqrZ7fX+rta0oWuIGZuFKpik7TB91gNpx12RoO
qG1Hc6l7kcCvNmpKaX324qGM1CntfG5X5yDLOY7eX/7tcd6SUCIEE1ZypVPYeQJT2qYdhioGIooV
qg05EnkZqAaSM71rb8fR6y580WdOl2ZsyAnaYKDQ3ZPbzoUlPWJYuITaRssYC7uLjEHxImxa1u94
ILX7XHce3n/Mt5EYBWe69C63LJnmaesYkzJtHlokCjuZpk9Fqd/L2K0/EQmVgzYJNEcp/kOXZPhC
uDh3kgh+YIVBYVODnjxsUmLa6YlcxXoV/aN+1pMbpQDbn/d5cuFif4u1d10yF6AV+P1wkk4bq7If
umKyMLgwAIUCqJ0yFOZzjATdLq4/cHgmv8BiNsz0ab5ytGT5lJJ3fUZuFS/Uvsjv9NZJDu9v/Lkv
m6El3XpgWGQAJy817mIZZgaEknSFbIApqAsYHeOmJIixt8BcCaHhq8qz0H17f+Fz3zipFN0a+HIg
qPXjGJbVmHll87SGsmmmWwyD9C+4tRZXrjTKv5a5U3c1ggc7LTenC+f73CtF+AIhrlMf0+I+Xlmr
0ceKW3ST6ff3H2ap1Tyrpjyji9VfdyKJL0SQc0eMl5h3ygKLy+TreL0SoO7kpNhTQh8ddjOq1AGp
H0YRs1tfuBi2b+skRBOr2E0m7sSr045uXWLEuzlkIpE79w8MKEwE5/vp6be/Ovo1W01FX4p8+OSd
aREBXFyZLbh3lnMb4FfoXLUVgjmakjc7JDfpIsm0x10Ulody4dycObBkarB/yZEprU5xwLRz21HS
rQrXZG1wz2rbK6uZ9A8D1mQ3tMsHf9bm+vejMOkEd/sGVuLsnHyFFiN/K02rTUFV4ulqmlhu4Au9
U0fryc1Tff/+Bv/CC5x+j6B1yV+QPbC4dY+PjIGarZ5j7hgyKM0DxJ/zCKvKZbdOlv3QGEP9oqH8
HC54pkSziiti1HWqvcdDM/+cDg269ShKmoHXUhRd+GhnTjPjdqItXXzc2E8bkqRyzDFlv4R27ej3
uaesV844tI9A36rvCa5wkbogp5pPnfjaUDX+yLD8URGNNOsdjpdptOIfcNsTiw5qnk0XTseZzj/N
E+ZWWxVs0v0/iWcQwpvVMcY5nKxaIq3TTFMRpsjs/ClVQ3F2joJP6rWNSsaPCex/EtRJpd6izYwS
wYWdOhNneAM1lcEdQ1lARMdfYpnRHBY1/X9rxKUSd7082Q0oPN9sk/Y1Qs3FuF6wWzvYeCQjeO5V
P4ZladKoRqssbB2lugMXa+5Tpylv827ChG/IFevC0T6T3xAFSaTQpNyGBdvP/17bjq0D30udwyyu
Z1r0q5ne6Etd3nBXei9IuyOvW6P2zlZWS+Or/RJ/eX+jzrzRG3mAYQFoe4OIfPwJLMT6cIxUeblS
C2u/BLvsa3wNxie7cBnejD3C2xFufe7v3wMwrlhyoy0CXDm5B7K+1Ucm9nj1KUOD3WiHTfSr6AwF
CrUO/AGjd6fUr377YZmPayZ0K1BsxmnRa8Ua5ljppIY4DnXNS6Is4pAx9Wz3Ll4BqZ9I3KKucbpZ
fruzSDeRsE3nhCDG63a8y4AQTWyRKjpDXd60+OB4OLUYeVvAYo6V9YBjvVFfChZbXDyJY6DMNiVX
ZvSkPSeXPPRPHcp0jn59baN6p8VTjsXg0Nx44/LdAIO0y9ThfvbycT+jsxIwAB4e39/wt/GK9gQE
O+55UCfI4R0/t2lk6yTo1IYgzfRnmkUWbDoLASdZoeX9/lpnog+4FpU0dkNhMNw9eeWFR72jrrws
qz7J+qYkQFWhUQjnT3PoZHdXrsvi7jyzW0x84SE5BjJGgxvPmrK+ROd+mwsABnF+EbrIb9HFPH7w
KTWQNoGMgTU7YcWXrSb2K5Y5F97et1HueJnt53+LH/3UwC1xjSEE3uYmOJO6w41scDbA00N+87LR
3L2/yecW5IWlcwRugIHYyZnqM3uw5jIf8aKDMunWOAZhZQqJCgdEPwZucyFDPrePIOa3r5OGAmp2
xw+IyaYGIEGOoTF2yV29yuqzbs2Xrvy3YZhWBWoZBtJNZInayTaCmfOmqhxGrARauYOMmdu+hwXN
PZOq7n61vPi+zRXjrm6SMrRH1bx/f1fPvCasTXZDgmpteJPjp6S1IcwpY31RyirEewun8V7Ku2Vd
2uj9pd5m/nS9DCAfBCIyp1P2A2LWg75CogmxdcqxSGky5Tkrdec60TSsvRnH4wRS6fErlUF+qev2
VrRv67nRGkJ/iHnVm3FAq2A1kOg9D5pibhHgCBLfOJPMbyq1t1uEj1Cs/WWp+FXglRzEZjN86dvh
Ryl647NM1yLKGzEjMDg6t8yI+k/vb865cwAZF8jsxi+FbX78PdRiNrEUKkdG2UNDRxuRoU+KXYv9
ojSGgW+066B3N05IGGWG+oiou3Uh+Tx33skDUEkliFEmnXyC2K3MuPP4BJOFA6sv4hLAbubKC93f
c68xHE+g//BN4dOfhKcca71Rx2UuVBR1fGprNcdpEhPWZe+ta7sbGRtfvb+1Zx+Mxpn9i6Pxdmqf
ShMngYoXmYv5WZ31+INhU6S8v8q5FwmBEDSYCBowfE7CBXTuqq4F8bAqejXqldgJ03LEHKxWfh+/
Q9MCVDwdE7TmKN+Pz0qcCqKtcBDMGN1sX0+TF9pCFVGceM2FXOncUyEcRI+EVhSLnhyKodbqIjW8
IQRRitLrMPSRLnSMzYW41JE5dzAc4vomsqjTgDrdwL7v3MYivi8YnN3oap+FGH9XmD1n9uZyMf02
0J+sAKzXhlMBfH96TzLYqJoBP6IwhkSE1nfZ7bu5TUING7fd+2fjTOTTVZJsMBYUKCSBx18YACgj
o582hr3jIjkbr16QVEoGeGSUBz3xKBIUE7jmlMcXXuozFSXKRIQ8sEhb/+lUsFro4JsYAw2hqQj5
VOWLk4aYcjq+lgLMO7SNp/2JzDQO2CoeaksgJtqpVKFmtRmsY0rFaR5wK+MGOyQNZMTw/a05c8A2
/CodTrq6m27J8dbUi9tIhmlTaOJ0sF/b4s8GeyD0wu0LAfZMFDha6CTuyJgSfhKgKVdwA3OIigiW
JUZvyQvdvrdVDSUo3EbSBnBQTCSOH2jAgHsaFI6xvq7q3hvHjspXU6LOREnQVSv1g4Ke4IVFz91u
cCltJgPUU1DuTk6YzlhgMCRGpUNmizpYlQUjYAPN0MCdKv270pQqOhZqb4QZleaE1YthPlRG03xq
2gVFaiLHkJNFxclNRtm5542Zn9//ps9tDCj6bepGRDFPBXhy7Ahts0E5JdMU+3OBKWtkpIMSJblH
ayWbnRAzbftCVD636IYDZKpK/+aNIieq+vivOvEYuhzmQybqlwKYU9RjT3qFeRh+rzH0z/cfdIuJ
x8UPkwluAYvwohGiT05anMkVto1CpuEl1Z92PX7NEcjcp01f3Sr9GF+lmoNU1tLVN3mcv76/+Jlp
DdkxryP4x80H5ZRc27hT3Gv2dr9CKZBhKbv6Q7o4iecv9WLt07ovgjJWp92cas106ArgQpOsALsy
RL/EcDoT07cajHkNkNcNk3n8MuBzWSRjofGdl7K4IsTOH6ZE/9Y73XJtz63cv//w5+Is2hxYv2wZ
HhCok+VynBOVFu+JdbX6nzj9wF/uy8aKrKnFlx0H0/QmQSLuw2o13oXr5NyjuvR9GGkzMCJLOV57
NdSsxlK7D7V28faeUHGKttA58T2vK6OunS5MTrZnOT1laAFzmWxXC8yf4/XyshGaN7AeqekcFSWe
x4rd1bvccoYLNcK5bYVMS9sXGDz/cZJvZNW65CVmqmHq6FMaSdfCh45mKPZdUh4oVPpXVJ/xMAWm
rT+//5WeeYE3HuMG6gWk+NanRU/qvExYe6gUezco/eZAhn3wncvvtoFZZf31bLdu9P6yZ95hwDsM
PQkeWwfh5NsUVlvwancwYJPUrg65qk5Ylin0ENJYmT/NjjG1+1FXjMcFLDu6CtK8VLGc2XXQIDSB
7W0oh4z38RdsY+bnrkosQ8Xt8523FI9OM2JvverDTm285grxfRFKLu8Lb9GZkwUuYoO4EuXRCDpp
esep03lTX/ShkqXuC9605r5Y9IYhVXVJylA/+5DQZEkBUBSG9nT8kJW6uvGq4rszzY71vcPA+JrJ
lL7vxmK8WvtBhCKxReBoafVlwBLRhgwBTGNVTTyQcjceEx96wnQ1zrMRVglwRAJrhbozyHP5tW0M
gWdSZX+c4jU1EFxfx5cSNvfEfq7T9VCkbUCYsFyfphSue5ndHsSSXvLWOPuU6CZuzT9YrKe4TNcV
WNrKqcePSqk/K/N0XaDKtkAx1Tuf2fqi4Fs5r3f0XNsLxc+ZsAR6idKH0AR0+fQg67gbis6Rfdhj
V/UnkfOxNepEAn4FnWAJ/en99+ZMlkUHbON2bPH+jeTI0GauII/sQ1s2VNHwFQfdL6tL+innjigA
Ip4LHhtqaSdH1GllPFZC6UO1HTDYqPIyxUCukct14+Lu+f4znYsFQGq3WwyFT6bUx2cU19fMKsaV
yk4xl6fONbvqYe1jKOXDJI27iX7UguVRP+JtSXUdTTkWfe9/hDOEGXAXCCkwuURgnKbm8WdQ8FoY
R0ODX6lZ7YywP8qx6EU0Mr611wq8S5cY3RdUQszyzhGLvlmCjwmKIb32I2+W/FVLy+nH+x/qTGgm
x2UcROIO1vE0QAnpFW1h4GIM1HK6LTPsq8fe6ndlUi1R2kld+KjpXBIuO7MqfOINveSRWzGPOt4J
oece3pNKG46NtJ89OGZ4Drax+ag2urn4DE28m1wM9e8/LHNjIKs0sAzu3JPrtnO7Edwquthj5qoy
yGEL3eY1A5zAwwklQlsaqAY31YXX99zTbnKAwJ5pD3IlHT+toaaasOMVv/LK8p6tVp8pJMw4gxbQ
Jc1O7athZ8/JfGHZX23Hk+wC1Ak51DZrxabxpIpRK63LXV0BlZ/zbt0ZmsSTfjS84vtCD/1T5nVG
7hfQvA/DYla2r+VMFMJ4ylodpLvAaNZFGjfUUP1GlRHaAhpmPdZk/loryev75/BMMPhVO27Db76a
00xIs3IxNd6E0FVX6TgQm4WXLve2gTJHiW3j0F0KCOcWJIwzZqSwJrSe3Mwg2Bqa6ihrqU4D1p80
urjpiia9LnsEEYL3n+7MCeDlok+xHQGO/MkJGGZXuoLrPozjzHqWnf1UN2t55+IoHM7t2OzSNrmU
AZy5NNC5I9P71f3mwB+fuoVBpZk3ThsutYI9TFZIBz9xtUB/1m6n59ab/gdtcCjJ0Mi3QmFrBRyv
iDuyufZ92dHIElMOfyJb+4NwZ4a4eeqhl7ZqirhzEnMqr6e1NZXMrzpd//b+Xp/5YmF5I5DNnHvL
qU/2OmX6EJdd24ZaCcB4cTrDVxKHOCYwtNu9v9a5PUaOhyE4+iekeCeHyCtoCPA6t6HIuvFTohXL
U66Opc/S7r5aG3Ghk3fmHEGdxCcCxSXSgFMVWsek1QEGhYqw0NoH5P5wCp3VTMzIW/bZx7aJyfDc
cbxEvjmTEWyKNRANSaTRITu5PY1CyyxdMhpLQd9EAk2IUHMpjt/fzTPfHNKStK+ZLRjImZ6E51T1
UsfLGxkW+VBDMTeX6wzX90B4efv7G8nkiyECOdW25skDrfXSl6Mx9KFXWW3rJznArrxO3E/swCuc
ImcHwyGJfvv5PKwdoWkxX0T17OT5AEyrte6ixBxX3Xo/LrjcIhWqgAXUsgux/8zBRCJkU8r699V+
spSb58j5tw0p3NCLn1NZdpGWqeotFCDnU1Xrl8jA59Zj2kB5t2URdM6PX/2hqLoOyes+bGfT6SMu
1mw9sMfeDSmV/jjLwboU394Swhg+QD6DeAxbihHpyTNCjEyLcRlp0ukFcgeTg8jDbqIPXmZ+Omp1
FrZSNZ601FnzK22kqbtLlrbfJ6NKomm2amwg1lVb+vfOmp1un6hW9urGVrfsSjQsyQemLisfVt7H
TTDCiO8TWSV/ib7psYNTvBr85uo+F7VbloEXV3qydwsGgRfSxjfvPG8CNzhIInDmdJ9Poiql2zxY
acdjgnt5yLiiwtnoVL9ozPWQWeMP9uHp/YP6dkkI+bQlNnU3uCiniihiBQGZV7UVtpl0xxtASZRv
ZoF3vU+PoFt3Sk6acz0A5bmUGb6JNExPmb1QunKDMEg7id4yw+VuWRIrlBkaE1GyOd2nMQfgd9/F
bR0CKfUAg3Y8MI4PrHRjPBRabGhQNpkWf0FKPJiUwrhdZrf8/v52vnk5WAvGC4jEjczrnYqroNNR
OQP67GFmxPHeNRrna9cZ94Mi4qguB67B315vyzTBAFMvqrRqj59Nd8oOU0v2kIZSqQx+a8feTyHS
EfPtgiP86BkVugfvL/qmPN4wuIz2mT6DkH3T6cCoutMwh2JRNUEbXc1kuDZZGXZdOoQLcJ3Awmvo
o54YlxxitiNxlOayMkyUjY/GgUM5+PhxaxyGB5lmdihFqzyNCUC1Q4Z0RqAnzUUzyl+p2ulqfJfI
mZJacT5PNlfqQ6HiBw/txEOX1Ze9MG9bDMonn6wje1BdSI5+rCc65XmrI3NtiUz5qNWW+wkzmfKn
3pZIH7BiaYRwZNYN5FkN4irPOtJeD+uwOzUXGjIVsZivhwzSlK/3KnBJJ+7rzFcVhPgCvr/sxa7z
5c/3v8W3nWcGHqoN3Ie+2QYtO6lRTWGRsOGRFjZJqt5CFdAn35utsuZjdlnnT7M7WBGlXXMzWB1a
mc5idZmvzKnT40tiOOXh/U/0tru0faKNCk83i1L1dKiuSlN0tCdrZMPMdIr4UnO5S41kVSJUGHUG
HutKTVJJkAk+/vDFq0m9gzxkgn1esGaqLYMOr/bOV8HAV76NKHcdrrNqqrsUGkIepDLL7qtWLdBM
N+zlT/rdVuP3qNXnUY3JyedFd1DBKnITdwwMmvurdJ28FJsBS4PcA1H/x/vP/PZEI9yBhDr8VSRZ
6EQfn+ilaGFcLVUTwv6zg6XWi0NX9uAd1unSpOttbIKBxDiHUohR/hvOatvBC0lQJAl1txv+FKNp
Q+CyNYx50PbzVYrBC3Hi7AljykWNsKUKCLIcPxyedEm5oWBDvc+miBsejGzR5RGJEZzOsepCpXVV
X2SrFa0AOA7VEseBcOr034Cv/3XkNS9/ec//qJulS9F7P/nlf39sXqvHvnt97e++Nf+1/dX/+0eP
/+J/36U/ulrWP/vTP3X0l/j3/7N++K3/dvSLqOrTfnkYXrvl0yuG0/2vBZLXevuT/78//Mfrr3/l
89K8/uuPH/VQ9du/lqR19cd/fnT117/+YNP+duC2f/8/P/zwreTv3dfFt+qvN3/h9Zvs//WHbv5z
g9iA64fvZWydkj/+Mb1uP9H4CaqyBD9mQBuvmtBX1V0v/vWHZf7T5U/+AjRwrVJR//EPibgAPzK9
f+IyBSoDIzSKbf7QH//nwfkcS4Ia+cmv/1EN5X0Ni1+y5tYZ+n/hF8j4NhsFvIwkxYbLPUVooHKq
dSoZHBYSzbpGiO6r/S7Tkir2q0RxHL90ZFf4TW5792sr7MjIc2Pe6wP00t8qV359lO2+A6rM7GYb
MxwfZOQvp1ZS9AdD0S1RglhSNHTdp8VNLsluHceDtyudpICyTpSmSlDarDxN7lt1pOGsC/Epw1Yy
+NtJ+M+G/32Dt9Bysr8o+uLRzsCPjPh08lg42pLLUlODBNbNfh3lFMzYsYYeZrMRlhkD1DEJLJH8
8UZxvfjC/XPuSf++/MmeruYAUISGM++7SD8aaBiFZTKMnxyjny8EouPI9+9NZfCGOiTgG6qCk4u8
nmUXWzUnyVNy9xYqWk3Uc3NFhyLgacinSdEpu/d39zix/vea9Fm3rhPFGUrox0fGQtndtASPl1Gg
CV9pFS40RRGBrKXyQclV3WeUvV64Qn958Zx+qSSCJIXb6I/Z6vGyS4JrVj6gLIhsWP3sasNwmwgI
vJEcJzve1caMp3DnVJCkLbRwQ8SFCvWqWzp3fIF3X9oHK6E+iUrV7toQ6VOyFquu3CrkkhDqHU5g
ORIjC75G9w4VinPhUJ47FZvsK01bKJO/otvfYaqwvOoRyJYWOGauLz4mffkBHOY0+wYXyYUjiJLd
23cA71a2iiO+keNPvqVlNREQRRwnqJG7G32JOpBHXEnTh9qtBGOmQTRxOJqFUgRMwp1bh57u6PeN
1dBcW2Pb8ROlRkyxmSUZg0bFeKsppu2Ek9M7LQjmyugPI6j2Kmy73kTrfO3nzwwhNc1nz+uncXbm
8mlNzVQEXjKUaZABtXB9emfjeIjjpv2pw9NkOK251X0lYAyFllbRXw6dFG7PYrgKCWMDZe+goCZQ
M3GjzRiqQ1ql913toOXZtO6EyEDXakWgVPn6UkEhKHZlZurWXecOgAmcPlEeO2s0vw+lJZpdbFQr
lVkepzYm2NMUqnGTMsFYFfeHlqhVRVWtdXhMYFf8Sdvoo50zWGDUNVJzn//3A7Lcoh8iXZ/AbcyD
ln/t1da7H4wy7jF0Mpsnaj3VuZvGsX6w8tYq90s91MT1YnWevB4BloC6X//odLL9k22yEsTE9OEv
Gu/OshvMJMUZfo2L2JdOYr1OpkCKZtLGGM5lUcgftrk4z2k52F/p08yaXzeZfd1Y/fpD6hlyvjh3
Gl+tvFo/dNmUvJJhTg9jDbEfw/c4f8kNt3bDrlpX15cJAJ0+n3WBCURjfVmAo9b+WNvLY9ZV9RA0
a60+YoOVJBH15vjo5o37aXVGNqoY9WXy58ztTdQdivXQWHVRofBbDoM/qVupDU2rd+mQOq2HfI+T
1D6b4vywqznO9muupD/7bCObMNJGACxuseSbitwDOLGozvjRSqR+3Wbp1PglV8AnbkqniGw91Z3B
rx3PXL/MSIyOe1uZTfta0C42r1N31GPpr+U0ZnvY0tlTFXe6E7gJkFa/yqZ89FFe7J4kptqG7wD7
aQ6bTKV1ZSJWXO+cUdrCN5lX9n6cZtZg+FXNdFYweZep/gGc9ErzRZNJ7JsdOWLUle38kKhqha4t
F0zrNwQyI9DQDoAKN9fFD0Pk6RyBLKb86QQKPr63jP1LM6VDu1MUZUUndXSs5bDI1eJVMZ2MBk3v
9E8GFxh66aiFGcHaj4iXYQ2WOxEJjvyGF2Si3bYgJvypySvTH9dsKjDk05UPmNHF1kEX7VTBXk1s
2NBr09lhpTc6gqzjsM47FwEyO2yNmKMAIBZ0h58B0K5urMmysqe6JYnye2VEhaay19bbLzCql7uY
PpVyp3fg+p9n1wAKUTWt1e4wVZ3n11iKbL5KJsH/fMeZ7CGg+piL72ivuZDCpgLlIhOw+Rdpx2L8
qPd6Lj4yPbeQeuFFuTGTRUhaJsmgPjQApp8ttY9df7WXutsraqJgKpJWlQhqDqsT9NCjRYDqZ9d/
4Ah4z2qzNPaVuSgxFHil6bJA12JvvZIC++Ng8Nb002rHcxEajjAfK00Xpg+gxEAQrfHUu1GXSuLD
yWVk1KeLzPy69ZThYCeFtUSjphJBCJq1pT1bEIfvHdTQv2vWsI5f47KhiEReOI7bl9q2u7UP6mlA
bvhO6GNLQa1rnVXexEbcOofaTu3RCcaxt6saL8pWbzSfkZdjfixz/BWs0FNlkRRRl6R0769ipVTR
jgIJ8rkYrIFSe14dbsDKMhvfEDZWOfqQl+V+MhsO4aAz5Q/jLBncYMLT63OLFo44lJk2N36humMf
DPxjhm86c/68WOoa+9qC63Cg9INt72guJ/s6nvPyzpRNrh/k0sv6cbAWSukqq+wv+WCPn+2x8m4V
rRN3SJ+v0B9zLXb81TKTG5D2807ktkBfC4vIWZXs6zo2T7I24kdTzGPtJ+1ohdOq2YNfzGX1LRYF
RsNTq/kLooefpGjkE+LXdCq9hV7w5I5fYmXBLypJ4hABzqjTZR9NKFMWop0/ZFnxrTZj8BdtDHG8
QlwulH2HHpYsgAwJb9yZ+uT4SpzooegVBLWSrixA1o+j6luDpt6gtRG1uZtHatP665T9mWR2EppG
QUk3iN460PBKd0rneV/zwVN8CIUPHRPn9JA21i2tkfguXSHio2qxs0aR0HBQ7Rulg50y1+u4IwDB
ABziJFiX9TFenNCtnM3nNV0m4TeqHWVemUcGqhujI/eL56A2aY4WZ8NNCt8UI82DvBA7RGgOsdM+
I0teE4qa2f0m0afZOXVRHqi7hqu8i4s/vVmfD1NtjvuyJ3DNs+XuPWROFuAs6xI15vyj8urnPI+p
0WsRLUbLFaA3+S9gS7NzrDm7y+aqYahtyJtcNoYKeDJ+MSdTgzcIpsQfXCf+TjpzVRkKgquV/sOd
AFEHSqm9tPmqBP2ScpvLLN8PZacKv84m1W/i+hkXDvs5lmvz2SDqBeSX7oMCKiQqER9hZDv8zERj
o0oubqRsf8xO3IVjWzzUlXXl0R/ZK3r2DBjvfkIoFBsUbul826u8QAg1yZF3Wbtl8IJY7TpfK6rx
KhaQu7HbuJap9lkvDDOoaq0JPKi8u4lpzSEzY+t6yZm3VWlrBKkCumcgNyh9YCDq1zg1+i6Mu2TZ
a5VufMhgLNQ+6k5Z2OkTXclu1At/zNsXs2rFY6WPSHKDeW0t9HsQnoqcpLkv7MXe9S0oTLLYzxuU
/8OUWtw4elt9xH7oGpu7Q9noTeDK+ruAYJx58bXerQrKbpq8cvt6va4T52NqYqzjDfJWwGYIYsdT
AqvawgpKJ0sGyri8bcCo/CRTdL87K7b2WP7QjMDwOgBStd5kq43tjzfoGGSA4ycaQL43KwUDkHri
PuY6vRVotPtLYcYRaqRXTbquj9ZkfMTA41Ud+Dt9tegHS2bBWKs/pwqAHLXxx0ZR+2CsXABqWOE2
SvkjdrMuNFcXPQXD/CimZPw6W1K5MlfxkFPr5n6b4cKi66kSqo1SP6z4j/laN1ehvRY7Qzrdrqyc
cHDBhTuyjQZ7tvxqWIN5Qik6VfqIbBBkqzXpYV24YwRp+qE2u2QnnPIlkSOibZV2nbvNFCgqKjAC
CKwXu3exVfi903wzvZECRpGPyphd9TiVyER8xR/58zIg0DW23U0Dwz1sRPKtzLjf6EJoft/GH8pC
iey0aaNKtuKm0SiNYrKeAeCLbEnB26l2A6fV1L2gCRcYceGGTVarlKWmEnhS5w+PiRnvkywztr1P
7a/14gAtWpaf9PXSUMD/lkO5Bmn3vSkNy8cuHWkgOw3qpil4OZcXRPUHZptDtCpef2u4C/F2qe9M
EuLJJ9i7frEm05M7p6kd9YvS7atuIyur9jQFU91CDSjnTqk47l5Plur1wEl6cseviZUgpi5MsXzX
h5ZW7twvhL02zlw0JLr0wBBgfUjtOHmEN1E9i8nWY9+x0pZdKxPEaHRDuLk/Trr66vRCW/3MHoC9
MdXK2qBIbWVrg5Z95XOVsvUVUhUh+YldXWlC6q5vKdY6fPVaZ033KhZH3hVM6/5DNi6xudNis77P
1a6JMc3yjAOK7+Ja5wYG6RHbW1e00+crNS+8gzJjlRwgAp5xcmC2O77pCeN7otlFEVhQYdMowy3g
J9tYOFwRlUpXfvH+6hZXG/0uHszJzxHCoHkKDEDswNM5L94wm+hVVYs1XjXAcj9IOjxso6LGnzO1
HDfRIUf/5C4p5h+GomUf1H6Redg5hvtNmyqNi4AOlM6htmQaAKvOaV2mVhZHTae3MAQ8tYcz4MZk
vrq1wtaMkaaR4eg16hfK3semxOc58GjdpL46tQWikZXIRh9qM/89mqOn+ZCDxM8m1ug4D9JMYB5L
pWGaWLdq62OblV5pxli/JIaxRJMV6196z+r1XTYo8nnyHCBW81KxS44Oz96fPKj4QeMm9m1aGL0K
6XTs+G1RdZx0ri6H2m4ov9jOkn5Jk5KDqumV81lzZ64xwKRu6gsQ4gUkiLh7kY3M2KulXDds69AG
Ddoz92JpPTNKEDbnbmDGzeJOX7w4WevimFJpzUHTiwXvMt1sX2Oa3C/lVI0PwGWmF4Cp7VUxNAtW
oXXV/m/qzmxJTyNb27eybwD9zMMpfFPNc2k4IUoqKZmSMYGEq98Psh3bVXZb4f9o74hudbhlCQqS
zLXWOzn7oIq8j6pPVZ5UdUfYEN4bimJ7DXTSzgzKYruIfIUv7Wh9nbI8+uimEftR5YmCfbc0BN4p
S+8/DSToUcizMHHtcqr53g265rWcpGRbEl1aJaPulssRoyIzcdd+ol0ZXa/bl7kzTwfTQQFMm7y4
X0yZeo+OL9shbqD+NUk+eW0a40fdM6IajZmdSy9Vy7dYz6/+WJMludabnl/5k3XvVoG6E6kn8/OB
q9xXM9VBLOfUmI6up0rOy9mvEpUNI2ILJ1y/ptJr7hYDDQ1xH6J6Thu7+zZV5npTAvc322fWeiwG
0T1CgFV0vn6GeXynogiipjFX9k6Mw1pQy5Conqh1FQ4+n577xccvbuEHt/NvxkCKCkduKl1wbG8A
CspU/qNGUXU3OpCVYlcFw7CjRlg/hWvTDZwzAdSuQU1LfRzstnrSQ2ohD6pl/WqMo1uwE/fd/VRp
GlQ0zk0bh2y1Yl9VtfnapUDJCS7hc5AMtvDd/Yy3HKnDC7G58brOi0pWb1kuc8KF5l1LPu/nagp7
i8gto23Ix0nTNZ5CPZSkBhu6iWVZhZsj3UJX5aU9OEo2YyeMK1zokMRnc15kcyGCxLEr796RaxHG
BiX+U7UADcfWEBL9thJMbhFqQJT1KfPNutsb4Gln0zgt4rCQywibW/nWmfQWgTtyVih9WKHBqGM5
2dFyRVypgr3o28Wz0UQyiIPCze4C6lYrNry5b/YeeEq768h/KqHBy1owgehpjYy+XL+HzjBCPG4I
J6aAnIz7MDN1GJv4l2ScHn1QHvANm598o/ebZPPgM6iw6+7OWjHmjvOZQeppc0KVR1M41V2vNMEJ
qx7MdE8k3JSzsGwGx1NJPGyMipX9POUMp1+bDquMNP5nrR9+THOmlAnwB+MNUaUQxwcrLV/+eTD5
zt6IySReCuQIox9mMrnNft+OCP3G9fE6k9muqrV5j7SiOMNxF43byglxNJxxCWLlRPBVVbhhuzTQ
zXWrDXGwiB5/tIeyuxrEmv275KDf7guZOF4ljP02SsDb+8ojbyjLEsWa7Syfp7wYKdBxWmhGke8p
yMzbf34OfxkKw8uFMcMI3P7pwLlNIv8kiC9F1/uj9vMdSbTlzk4XLBeYPpyQCv3Ae9k5/vPltqf6
ZjDL5XCPZwQJ7QmqxTsszLWZ6kNYy3d406bDS9dg/PkM9bbZu0SoL1+C2bDKl27CEwcxjP+LSeff
jFWZzFAeM2ZxAxiqb3/Y2pQNY0ZghYVNPA45R+JF+eYRvsL8C6zkL88VTiC8Zyw4MeHEZPgdgjH5
RbmO26V0v6yHTjrlzinI1rCUP59IU/93VKufg/bthwLKJgqXnMd37zFAMmZ6LcN9O+g50oHSL/ju
2YkNQ//iHf7lKcKM21i9kJ7sLXPq3aUcZw76LKu4lAj9JDCpaqD56sRZLe//A7H8jzjkG+zyH3HN
/42I5fbY/t8fQOBfEMvT95f+9b/Ohg23/K/tv1ffgBleqj/+v+ENmLn9Xb+BmYHzgcwCFDgRtNQN
e7T/ADMD+wNSWnyhYBZg6/bTWuR3MNPw7A8RXBaI4pt6CBUYf+p3NNPwnA/wsDZyIotrU4a6/wbO
fPv9b5feEBnklDCesHJ+b8blu4LAUymxh/ZGeYhk4e/9Jv3cUQrvojF1DsyLnuZmfPrTw/sbkO8n
0/B/9h2uCxsdAiLIvwscBAPy7ZcfqTVsmf8V51M59LetOUQMpWYGCnD85EuFKuOerr5hhJIqdaZc
vWB7Bh+VGbrPWQ4cww7VWhfF6HsiMcFsLnJ8UK1Dj7s+g/WADZvivP3uUHy0yUhI59Uy5hN9wWw+
LmvW/TCK8ehWqx7JYh2XfWGV45XfWuJb3cun3rXaMZFraDC5zG3jEynn+S2U8CNcGYbnviNHpiyz
UrFndmScZEZq3gRVXvz2pH7H6H9/VO9IAe/+8T8j//+3v7gNOv/PX9wtwP4oXqo3H9b2R377sAz/
AwZi4O9o67aAA2QGf3xZhmN9gI8JVAc5imPNZK///cty7Y1bwJaMrb0NsWVzbfr9w3LMDxudish1
iAV4SGL188du8OYtwZf4mwW+nVz/s765AlQWPs/NIpAkaMt8py+hYalW1yyCRAxlcA2VJL+bhrQ7
hJOA4F/nDQwBFBhxV5f5lTn62cOfntXfXP+nGOzNDUC+hfEQwaqBC/WXbIQZ9lSdATAl3KnxZAy4
M6rRdrlqrc8mII+YOEI6YlcN+bUnjYCZAENRQu4mGrsGTONCe377LBf/c5q39ACdduZHWxTTejRa
PAcOfR3sa+3/Sn77jmGxnZrsbUDiPLcAseh7M5sOoAAOBvMa31+0PC2oV/zDkLd07gtQxCdYbWN1
iLQBRq7S1c7PwI+t8mLR9pAm//wc3+6P3AtCXHTwGLFRAG4H+dt9yiijoYJfrxPteczUkP1a/slv
Kp9ELFI8GsACgZGFJfJo3pWZSTPyzzfw0+f97YvciH5wNjfvT2Tg7wqXblkG/BKcGaN5/C730TTS
2LjLWGJEb2XFVwA874B6msDhFPt73MeGaUpPeLAo86hbmWfnDfX7crANcpiSyjCLal/NAjiIXKp8
wCNjnn+Vgf7OMGJ7blRZfJZYguInQHXy9rkBZJW+Bb2KLhULmDib1lokUkeENzrVBEDTNVGRnZup
Oxm30l0il5nr2Gih4rHx0/vSruZhr0C4IdBYFaMno+hy9fyLh7uVt28e7najmw4LW1Xg2fe2ZmGU
+7mZrmPCl1RqBkrh+GD2TXloR9PkXLE7RfqqPTb2qVgNO7tuV50VRy1aunzbXDu9x3DIgotZd6FC
v+vM9i9cwZy3hKPtUW76GVSDuN0AC763IGOZ24j87SaJGk/0NzgPtITPZmqb2y+zv+68doFXO0W4
IwaLRM7shxU4iYHO/FSPLdMLMRfh+dqk49cBZ44DWEM5X3Re9bXoCqOJfV32942nujCBGj0Zu5oq
1d31xpya+6WPhMuktpDTDSBf6h1RzPjpEyKQ+Slg8OrF5rhNA/xRhuIXVftPPcmbF8Tsn5YQBibV
EzTMd/1JsFZ2vYwBoKgo2iLBV1SMsTRN+tTZlAJwL+3II51nt9jPi21+zMLJuexRUMGPaJhpIF4s
7OAXtwVj5t3CwcMGO0+Ke6omyErvu9UuUjNT7KUEQm6q4Mxq5u5sVosudhGD2PprYUuGaUGa1+NF
JdVZnZPnsi9mhIyLCm+xgCZbyJr0fBa0lQZENA5D0ffPoznOj4sTfUIW4pxVaT5DsZCjlW0OBMF+
6Ht9GamaaVCN5Caw65vcgrKEE4eqz/tQqqNj9gVUxtB8bKb6lRQAvG+C6qkSq3+9wIVmMLksxd6A
fs68dJZJ2s178Ho8qVz10CJJp4ZafkydDwbZ1l+02S80ovALLmajH1J08655svus2tHayAs0jdyJ
YZqHulMQg1ku2WvZQ1yJp477ZakG4X4wt+hAI++8KzTowwFjMEFrNI7ni9b3KzTno0D/c1pb3T5g
PPEApGTFqKbMU6WL9crVFSqZMK1LhKFde2y1H74YyOsTzA6zq1Tm1s7uU/8LW+n54PQumQR+dFoa
U5y82q7PdQceNYmgBEJTEMkTpoKT3FXC9j52PpyOMjAeEMhEaL5VfVZZxA9aypQHmQc94R8kCgRq
nu/bxn6K0q68sVG2YX/DDGoxmJL3GP8YeX25wAH81JMM8gWpJ0RsaRYA0WahVvPcm5Hjn0d+OX7H
rrp7lUomnh72DHrK41Dp6haRvt53YSof2kx9ye1IH0iR++5ouxv2UadJkdHlAHiwmP4WDNQXX8lK
bgFQIBd4TEHT4seghuC1o+u+jdzR/9jrNPyOvXytEnCCKfZVZly7mCEd2+GKusN25Xjmw0s+4TaK
zMSsL0xvYDzPtJepD+9hv0nugKLoInaFzmDC4Ht1R+k7n4m1T8+cRsrmOCOXuJ7QtcZYr/cM7iOI
HdPcnDlD6O8wVq2P9uRnz84CSFKvzkUh0nlPsKx7LsqMMnuWlXscp6w+Q3Ncndalndj1PchIbTd9
m0rRj7y0un/Bcaj/as+OzQKd3fUQ5nb94CkGnIphng+XooFTveKj9RLVwHxjZmC4oOAJhVgLfoSj
iRTAkDnzYpQnW1agYRJq6xfzLVGigF5Q9cK4GytCQvzSHQu+pLIeDqX2g/4sG3R+HAt8K2BFfRL0
aw8hQ+m9MS3dVzbW8jS7dvcFrX51200AM6HJWMNaCuxL/JxADAl3qWSDfewKeJp6CbaGJsSEwVxt
+O2GXdpPXj7NcdYL9nJf88lGoPJnshvLy6Xs1ivB7BoSl1kmdpZfVR4Siyhzo1Pt+eaFM5HRncMu
P2Ih9LU11/HJslmxmIPa+nzO/f4w4b+cSOlW51U630K1+axGdzpoM+zPwCAyEkipkverbc2fm7XM
76IJBnQ0l9ZdCJ/pHiTOOLOnud4tPgPfXgbRCVuk/lEzPEQbGJTuiaLmln/KnwuzLk5lMHlTXE9G
cAZnQTxWQaC/TozhP6mFkSJRM2imJELY64UgrZNVKn7RGUTaPl36V6sph5zxaVF/VuUynRYDjJaH
tJxSdDNlrKoUrMip++qpXPWdUxXyhhjK5Wu0CgWfXH2Vrvc96jqc71rHyC7QL1UPiDTL69Euph+a
XB9qX6doLg1XREcMYLLTEK7+yV4dXp9TzgQdAnbXSco59ySH9bXP8/GTSx7hPd6RM3phJzzH/k8n
2bo9BM1z/EaKAQbHUmZJCTc52gW1Jfe6YJwtvHTYTg93OQorE3ssSB3AECPX8UqUfLcnGqd+tsvQ
uSm9bI09AuMuHQI9TpaZled22r5YKp3u4OwU54zo9RGSR3DwPaO87rVPwsDcM86v++E5rdv0spp7
+2wJiwXO1aRuu2oobwbF1Wb+bbGfnDwuN8J9P+llT+ZRdRQDvDwqsPljXtbquuzJUTn6+C96h7Qa
MLlfyry7CeFHxXk/4/4kPSG+mxgUTdAg2PeRfF/7A43E7Ktob1BD8b/RQa/Vd3i/05UM63qfI9u5
HYtJJhkMy2TwiwJSyfIMGYl8+0alcTNo/xMKgugAnMOEvOzgh41pShD1YBYOrvNE0NBYTXeit8sr
OBvZvTXb/VlBBkqDErZiOg4wnJ/B1TOfOxqzy7QxfFLGOPWyNAOj5tL2sYKUt++9PDgRu2h8g9r8
PY8a+yzN7fCcin/RsT/xS5Cyo+FyNfeIN/MCYg19QN8xrSjhqhx0H9qPrbaMFWjbfTUGJ7oMMzlC
SlPjdJOP9mFjUxRGOz4NsraO3mT6jy0ywIPS7Xi2lo39JYjkYQjx0EoytVrfMRpi+S92fZu6oj9S
hOrPemzXa+DA8Tr3BLRBkQ9nfrvFMXZtCVO7avWFk6/LDQz+7jSpbmOBWXbMDuBcYCooIHm2H6c1
is7xtIStiX6xuWxTF7ehrAJYDfPyIq/oulbWyREyYn3u1s50knoyyiStUOPntv299d0ZvH2uDu62
t4STxNiv0+EjFuU+lhJY1h1nbVsHGbrNA192dbFCOkUT05ciCanAYzd1lrgzVne/NJ7xrLzFvM4J
1vqsHRmcQOSsfI9yLUqWVIPOTCWNUAf0/GimTf/cCdP5ZMyaXT5wivk7Av7g1q9XmA2DREPratWI
hK/5xZ7cBxnmsBk4hHSgooe01P2XcarEw8RA/se8NuV3XMyyuzxPy4OvDP8UDoD9MbQ4zAda6BQJ
8Io+830Fo6bNXpW/op0qPWIuUhPdZ47Ivumz8kpt78x28WgG6eSsKvM2PxWYr8VlwSfiLGb30OTN
QGfhUl1oog6OhV6tBEgf9ZUz5eLOtjGz4cMq81fCyewLGw00nTvasm+tmYM6O5Ny92pOl+d5ao07
6FbZvDNgTwIXR4v3CQKUl0icMR8mx4Nr1OSLx1MJXzObyeQOvjM7gAu+GGuiDW+9ph1otZHHnC8w
pm4MmEpwC+sMLIgPq9pFEV/9YdSktcipbO7xqCNrKjKX17Hx8KrScuntA7yB4LMt5jyITQvcKKb8
C59cmGWEBDlRkWLWzSUdhFvqEBlS63PQuCJ8htNdH6xqjDgxGejzteNy7OKM1PbSnVF9RhEYFWRy
EfcaXt/dlLfL4rBCsYs4dQJKdJxCxPNP0AaWW1ZHKS7xcRDzoeh8P9rN5Dd6BxvmnkwEUujTOKjo
ycpG+Wo7qj1NNHs/RId/ALWFVFd6XMWtXK0SUfs4QnyBoTuy7zAbRSHgA4WOdX2VBWNTJ5kVvWID
SxRU4UyUPCLoPnPyZpekqpknMy8ikRQ6h8k1mm667MxBcW4AG/vH1MhbTjEHvX4RWZ1Blu/oJqWi
vtlx8jSfZScCvbeCOn3y+3DAuylc1zap7Qovwmm1Ata+4XcIjKOpelWzEz5VHYx+Pff8xePGDeHv
bIyXlGOrSigxmxJb1kA8ltpNXzBQwqZ1cQx5hHOmm6SCQP005+VcH0Eygs912ZdDog1HqaMVLVG/
yynL+8TMswCbZhhVsPCoCP0vPoQrCL+BMrPEbIby2hgzuCeL4dUwNqAqhwcf6PNeU2xTk2CBCDHL
wOhsN3eAlXGb29ll1UzG9dR4mP9sx3WVLHM+z+dlWodPVudoD/px5FkXQMutkWBsHxVfaljxl3zK
tXFumsaojpQH43ossBrBTYTLkAmW9X11MWerKhLY40TcjX1qPodDCQ0I6BsGRyUM1qtdIwWgdu+8
JkH4jeciju7Qion8CvILx5TBM5wvvEUNzRvdh+3ozYegw06VKbbMeoxAVURVjuDvjjF1fr0QJLD3
I/xHSew1YQe3JQbqHnSxKwNzjs9Zrw29S8fQ2RPd6N83qz4XfubfIhK3z1u7MF7szEKJqdyVB1ZU
xYDbU+sbcQNR9zjBrXgA5+ZokD7WRVbvRh/bjSMTNn4n941e+otxFM6LZvO+bqp2+hExi3T5jIwG
mrGr2PKy3h3iQkp6zhEuXHssfTWqZMlW+BNkYyxEVhRMqg7ando6MQajNuBSeXLY//Nc5qd5/p/b
/gBHfZoKhPVAJExy3wGDHej0MKXWEAddCyVuzeh+cgG/riwIAgamAAevYEnB7caq8mUqMM5L1IwM
iiPajlQSVEqom4bQZnePVljI2LEAMOHF2NC+1lyNn0dbV35ilLO8MBeBZERl0wyPg+Xvxr4BrzmZ
zK46n8kmNdDsu9FCpzZiX2Jma6TiTkEc2+qF0ktyZM2/1Cm+H04htWe0zdCRdQcE5L+zF+jqPGhM
emjcbgrxDYhJEmeQDs33ZYazyq3Miem01h1KGgp+DvQyLv3VUonySusKimJxY1W5y6rNXf0L/+W/
DGm5OcCnzYETnYvnvr85E+2GajuqvkF2xZNIcXGPe3ONEAbITk6Xs8BUuHLJKdirtSA0NqhIXkkM
t6M3++fV8hba3caLALvIcjeBLlPv94o80do2VKnN9IT8i1039RcSQtde+I46rGXxq8iLDZp6sza5
nAOC5eM0B+b63ijIrfFgy3NTxunivihDt8/KH9akUX70C07E316JMJ8tKRqfgAAU8M9cACkao2jE
IpmbRFmSL5F53slsTnAvdM9+PsN/BTM9NpL/vFeXvsGY/iP2+78Q0bU30OU/40v3jXypc97Ib4LW
TbX680/8LkKNPgClI34AQOIgAaL8A12yzQ9kB1gs/xCL9eBn5tUf6FLIb/EpYB3KW4NUwQv9Q4Tq
fPA3QIawTOaGLNZ/JUIFkHqzCFFMcw/bWBjlF6I66711XdgYdMgIt5M2FWt3AasSPXPbbv7KvmH4
mLtgvUWpx/xGyPsW54XqmjSYwrYpYeYUE8GVRDrrNcNxS57RPkfFSVmTFZHeZUm5j0SeYqcoiiwl
2wym8b4JBy96gcyWA8xUwupugpXctUvCX1bjpAqpK4oh0YvssazS0biCZ+9GInZk1TSXXknfAkc+
sE5T0QqfWVyzZS/Yczbcm12zXDThWN85Yz6sZ/lYuh+BB412p/FdhWslZnlD2wWTcqQO6mgWaquR
XxFNWaCxygE6vkyDsicZBdBLm08m5Wt63YXm0h4zGdX+fkELYiMrSPmAQniaLlVrVn92M5n6B7ua
Jn2qQxYDBO2oSvcL9T2ks9FR5W7VHRKEAm47CiSLRL0EWBjikfRnYRyECJp2Vw/DLK4qGtwr6Wjm
d2WOWKDvhvnSrObGpvwn3zrmR8i/KLWq+8WHjBcv+aCtBJNd57D0hR/uJUNW9+AWZZ4R/RFaCxxl
sVHQEaVO1ZVrN/MnBGOtz67eB/m+En1uoXwwnCEWYN3f80UtzyWu1CKNFtwv8BTlssK/q3TfXFI8
BBz6yhdMxnNLvNbSLWHhp8a9hLCy7Cp3GF4Qr1XADQJXGb6Cy4yi4+OCfiLosFvwIMCfMxbHemHY
GNWzmUPTz+01fVJ1Wpy1bVhd2bjK3gXS1gd/Mh/Dzjc/VmUhvwpnXeBMQwSdpFN9w0SbaqWTtWQA
y9l+E5SepdlZZ8w8LWv0LsxCF1+qoWf1BIVOYXrKteXHwgbih4P1epcwLwoex2xhDFTniJC6tEbF
WvaBtncM55sHpAiZue+jqT0SiIWfQIcPCE+LlXu1GnpizrxmJvToqUNW2nrmaBw65sJMmOxyzoFw
xbJfuy0Xy3SV0SU1TeypR1nGQNKW6p7+kgkcVujNx1F1KwTjvFyfXMqRKZlzK/cYo0wlgfGBX183
uWGbMf3QyOQym/rHusvz15A8MJWUGLx/nLMcg0DVOsvjOPgBREXm2lY8d50yTkuuPEIukC+84meW
PfX88FDTUm03x1RnY7HT89L+6AYBQV2m+IHUVEkqFnCF77raK4J9QcFPcz/4lcmDnqrP8wQJI6Y2
5VVg1mddSFUMqCeohF/hlyrytrJytuMod/w7qyjFE4WB228T0/SImW344k1VFO36YQifcwWtM+6J
mLxH72JMe9PoiptKIPyIJ7iNX2VmCKacI78X01lonngwzZeCZIDHvCqa+34MRoWOYbDPCFdExIr8
c/hocPSry6Abl9OETtCAWppGV9RdVOjkHxWw4OXYm3u3Q5+TuNI3b1CgptGhUCWSQbSO7Xhud64u
Y3i5w2s7G/P3xunX6qxWZSRuvbaTJQZx5pLuI7id3dcV158+GTy7/iK4B8Y5/uisl3TXRppo6PdW
kjmy/IadhKsPjOGxyhhzI3hSepJBYtNEjPiyNhg3d5NVPlm+saQ7JUf5UUfOBLAI6/RbXy/1bThj
cBZXXodQE62/A543ZiA3Br0gF0+py5eoah8DxXQLgnhoVgcjtbMfKPOgpWLj3HzyhVDDOe0nqAIt
UnpZi0aHh9azVnjeBKxl+2FJzfCgYKcP8TA44H1hMS9pzJA5fHJsA18YgS/McMBWRF5nTjlFh8yb
7FOqC7gDwtLFbQdERPRTXqV3aWXIPnGdurvtVCc++bZqaPrcKBInLjrpZKHRTVHuOchTPF6b2uH+
uOT7znaabOdCtX6R5uwEST+z7+06Pm43aTPceQ/BPKeMv03IvjuyjYc7SttCxFPa+BDZM4+jyi1M
F45xWxnnrdu0MN7qYf1GCHT41Nij+r7KcL2qAhuQayD19stAnBCoWwPDiWRfi3v3Z2MVu16K8mHA
dWJEAuS2/W6NrClg6NsuD8j/vOI4M1atCE4NMAdBEIBg0einHA1HVKfy4GDAhZcmwa7PvLWph+re
pK/hVLAbVd6Kg2rvsNkmAXf5BDpIK5aHC0RvvVLcqTksMsCY0rwXax3qfSidvk7awh3PqPTtZufb
y3S/Unb2McrbYY2XfhIfcQUXN8HSoxhtF3sb3YYD1H0TldqNO8wRgacOBmLsVvP6Wgkxn+cBQ0dA
48HSCXmACmUnko076gWESpy5waeu1s5ny1fCSQBUhgWSNHL8GDGw+3EkC/neMGvNLoH2Csbw1Aan
2cI7KG4Lz+l2pt0I/5AZftUlc2S4eWLWjvliBi4o2eDO9QjpW/q39RJwCK1j5w7gZVXrMLl3l1uj
5HaSHmLNiGG2PTzjlGrfAa+HxoFTzcwZUOTWE0dXU55702hz7vXTus+z3MGKpy/TNq7lMJoIr9HU
HBrRL9kOVu/Iv2hHwSe4LQTuMq80riNkVBLIKWTVyK6dlx1WyuEPgCcwsKxrEGo568j02TOG8Rt/
R1rtoQ/Zn4Wb5bewA3IHEkVr831hVnYudZl1SdhmAarG0MsfolVlKUueN7J3KSJ6ghzq4SJNF98B
iIloN7OFTTNGslh+XdHoXXfaJpzXbTqXDs7lLSIwqtWdhTxtOSfaZjrioAm6v2BUjml6uPgcyPj3
NnFY2BvsINLyk+WkOt8ZltddViPCuZjkO/QSEuopxQY4+0evQerKCTU4T00ZWesR+86VyYwyVojd
s94gl2XI3L27wiCPdcuVErjtzCFHd6nXU1O3gUx8PpphRzHlPfr52jgx8q+0TXSRRbfMCPJpH7Rj
7l5qG3B179HkjnuvN8Ilnn1qZsRCk/11NHRtUWOkSB9LIb4o9PjdOd7zOIW2slLEO4WDcY8ivi93
WYjcBML9ko8HEsHdELHdNN5BU+7F+dpBYTqTAJ7TZb+G26e0WO2u5UgoLq3FZcwJ+88zkybsF/wB
QJnusXlz7jHyLL/MAfOq2G6G4uiNoywOrQwJks/bhtVKyntJwWGiNgIMDjPK3JnhgndFxRq6Bwf2
hH+55lO93DjuNpk2yK0LvpIqnXPY4DgKp2SNqI+aONeWGVwK4LPsmYK5qI6ILOr50kYxGZ27q9E0
90PfDvMhH83ZOutmon4PWWFZ6Tcc+Mrs4OkxDB+xZoq6S8+hA70HT3XsRFmghzd/6of+hkP2dv5A
j+FCi+HFePRAFiTUd9yLtLANvy16sZP89pXbl5DSm0B+++ervJsk/LxMiHO7iaE52zXDjrddbtS3
9WCorty1sDxrqoxKP1iBYu+k5Cwc/BDs9tJHdVIki0OJaPbQldIg7x//fQv8H/vbN13w/zVuM/Sm
P72Tv3CbH5imfn/fCm9/5LdW2PI3ojLnKeEnkNDcjev1ux+T8wEm5ebSw4RuC1ZgMvNHK+x/CDfa
e+jyC2TKP7fC3ge0bbDxiW+GW4dH4L8hWgJzvB2T0ORujv9od7GL5P7wEXu7gPRQTf7mUIlbilE+
I/tLv41mM3Nerx7cCyTC+ZwMnReRB11k3b2Z9et89LTVYfhh6YnK35gZoLtjluEW7ClrL0B7bnpE
p2rHcM3/Oog648wPVuMabSiws1ltCvSxHTr7GDo2g9kFLgjKWwXbXzoCeXKxwZS2c3TbaLCPNSKO
JxIorAbJNgEFh1l2qRN7Ux7eB/5QPNhtgUfF1DvEZo+dqflrkIH42N4X4dVab8kEuR/4BfBH4ypK
ZweCUanlPODinZY3oxgMYgs8Z7AQK7GrxGWUW9dNawT+zh59ZtKomOW5nXniYnY3uRavz36xiolN
WdRFRbmJktw86yyXrPhUdGsIYwZWKPKMLLp0VdpfOn5ImqyGkgaRT2RLAvcCMCa1Z7AvveIidNDj
5Ng3HnGsCrZhZYTccVAqcNFafSqEgLXpAf+KU8cpOO26tdCfSPTr7p2aVwnvwjT59JcSP4bRceV+
QEz3SQrP/UyoufccCD1/Kbuou0n9fKJL1D71ndc7mXFo4XyQcs9h6rQRWjyIUXYzxbhHnFqQIRA5
7BFUEz5HYrhosiImzU/S0ueAUCawqcGQ4ZPUt71bXaTk56WL2GWRe+Iu6g5fOjc/g6WV74kaWnL7
wE71Emb1nWldNhPG5uH6ccUv4WQ3q7peC7ZL0SH3RD5vy4DyQX6FQ/gUgicncLqSlhkKbgzQE8Yr
y1NHX643ehwBNaPzzLCeq+F70c63nXiu/Py726F1FOanfKyB3vIYfPNmVNsj5pTJ0zNrMsxkdp1j
mg2furKCbUFNMS/H3kURZiMKnCGOOlF97OSClLPZz8F5o0u8h0cda98+yB7NfJhmR1W2l2sIoclG
JWOpqNsXaYSLgVD2I/Rp58Gv1uZbYQ5njmbNhbPWuywgIgkNm/WYTkGFg5W1n2YzeMAbtp0SEj2Z
oBhMVXHgWIxPWHeD+nbjD7vsr/ywuPXCsP1v9s5jOXIszdKv0jbrQRrUxQUWs3EArkk6RVBtYGSQ
Aa01nn4+MLOmM2K6o6w2bb3oWpWFJUkXwMUvzvnOqfjyoI/t+NDOtrv62/qgP0bh0FzLAalyCNZo
qPF1nxs99iiH77BIAGpYPIBJT472ps7Xs2kDGfc0RP+j+oQy29eCmdmD6ecNX6RcfdeXGfXIQvtr
2A7lo97dWzmj6T7H68diXi033fJqmcNtsHT3hmTvmFguJE+uEMNjW+mNyXVmia3NMlKV4U3LioJz
0oPatE27ehvb1gmvHhyMLkS3egpjTIwFQ4VEnFHeeE4buZla7IWR9r7Ja6Hn2JcdcA7lW5R91/vg
ZECdDudn3UqWjVN/l3QcanyKg2zLJM91pj2zm++RRZkURqg+O0zfcTu8RCaSJUY7MrofHe2hnopy
hzDoXVGcNy6105DP3BHRsIEXlXtKejuiEcORXj/IOhtclT09A33DlXZ1m08wqK0igt46clAVz1bX
nQeTTehsOW46Jdu8q/QDm1diBZYdSpjJm+LAT1pxQxu8s4LxU/QguThYdf02bvCh4qEjDzpML7Fp
+2TnnbMhulpUI9gFIs08Lsd8y7wkPU1ZTz4Ov3qshxfJUIIid7iaE+vaWNInBqO7EsCJS0D8rk37
g1jse9JxXWhxW3JfsYzeqHF8dLJlW2aKW5pcvUObXePEf3cAaLUavlJGdCLeGHUGDYkz3dnW0jqm
Q2Ntl4DbtX2mR3+t82kvizy5L4jqQafsmblxW8n4BjKDWAGlqb2rhuxhKuU13aEpkKPQGLlV3dzL
ZLjTlfFg2p2vtRcFOpAbh3fjWqPW6bHo3oah4BnU9s09ZNCrkEMfVNPjbDR3+nh0RpRaDeOEitoo
nzZ5wL63201jaqA8GKdTuJzlSiRScjZ+SXzDRvUMZOkM6AYkEnfjiNCyRhQwbUpLOQtiwx3GwPqe
BvM8RmSBpiVkrxY0hok0kqhfJlxJJ/1SqksKwcUhU9BhJc7yvMLEXs0cKqhZYZpiDNKDH+0kDomd
7uNRBqeicJq3XFipB4hiLysGxHh1NgvIOTcdBuZhYASimsgz8DIhYNPUoi8fiW5mawmgrEP+JxDp
8VxduhvmXOc2+I6d54zQxrWLctsNuU+OhCsS4iv6nCAunTVw/17H4qzO1oUuAUzBsjXHCWNsxsn7
vugHZylu5MQwKNws7UXNdTQAJ5MlvWW0noZqwClz1MSWYkZvxtIRSKGwnqYdbm/SgK4hY/CIMfkN
D8QZD+Pz0rIMXvpnFKenfiZn1zAXZHAmut54y06Qs3VqtjKneC/8PrQeRiJZn+xRW/WuZ6XI3Dit
bphVcdhi+f3WN+LFXhpG09b3WiqMF7r3pem3Y6uU78jDvFY+Dkj0d3i5kCrSSAc2etqZziNjvA5a
7ZkOaPTaWL3MBB5683Jx8CTT+yGP4iYrPYWpTKeiM4WNa+QLp2D8hlTnTQdCgJ34ZrH1K72b9jWH
uabReHaWyaA3PIeOwsB9dPahVBE4OgiG4+dGkXxf6Tkca+1Wyfj186OqduyjJ5Tc11CyAN3WAolx
txWNAzzfXEfrgjtVgDJYsv1sPBOkaJ+aBR3NKK4m2fwQPNZSbQHJVussuWNXzCOIJZ6lKa2MfaM1
T2aeb3g+PoLoPYZlzkZ6dm674GKH8mlK0kONRCwPss00vdtajEminE61WvkwwFwljHa1ER/RYDwk
fZVs9GlwcX1ve5P2mMKv3szF6DeJ+oSjBxBr5cVJtW+a9hoGCGgS7qSyO6QzToTFEFvD6T9CCxeI
EPEVroEjAK+LZURWzRCaxcmsPQir5t4MxvlgrPBg1ifn0EAtK3ke0D8vzZ5yK4I/c8N6x2MGueu1
Qb2w5XYTo9/Emr8kH2XAjhpSoBeuIrYEOXI3veWWBb5tdYHcw87dAhF36/TVSGz+SvFSoSqFtnRn
k0dszK9GF4MERLq2DLdwhv0ESkGRvohioF7TN8gXWJOwWEZ0wUCImDJXtfeW0D56K9wDGzukg4Ye
g4KWqJCYJgxdjovTEWmwgdAHSFKu+Rr7iESZLg5oZkJrXQP+RYfsdzHLR6ssNkn8slRPUdLOzIbj
/CZWmIYxTx8tEyQ+8wWEelnGSIwW+HrMe2m7g9npfGXW0Y6QUZt5G+5jvT4kukoWO290PsU2Suta
3I+6GjyBPWCcnuypShjNa1SkSLwtxY9gJIU0BGY7e3kxbKvwY9BNDxUPUkfwLLT568N1MiD380Km
pfSLAO6GZXF5djzr1OUb60G0oaG5tZvbkbr7FsKh5Q0xWJgF2gIYhBCIjHEFZetxqD9RkIIMvBnU
U151Plx+z8kgJCTmNqve7WkC2HyWwxuW6tnBtNMKLi9ITBhdis8AAkma37RVdBRdeWpJS3mG/7Nr
wbxkZGkDn9kg5wo49HXsMeZ95lBsdeHB6tqdlo39Jwt7zp2ORTgEpVLQQCO4FJuwDH0jpMNI6WcQ
4q6irOzZqDVq4OISJ+OmIObpEeVpfUAZ5mK09xpeAgQaFeGgBg5BdsY94zsqJ69I6/0IbzufFDeq
eX2EW71BuxKKs4kTt5hg3o3yo2VUOyvqg2Cg7ywVLUcddTzFAWLosmPmyLgOAFf7HjPNnXTjA4Hk
eFswhzfQBq1kmDkMjqb8NO35tW6OxkxNnqqbfDiREHY1a2Ifz724LTBxqsuJzcpnLqlgSsWbGkSz
AaVQ4dBCwCFye+4gMBF7kOeYpGu/xiex1js6up5VztpH+nask4d44osS+SGa3sds2meJcZVEzU5W
Dhp9sRuaT2BSviAIzgq+MwC76bBMhBi0ksx0kz5zIQ6fQpltLSanSYSebbgDS5Xnd7xWZ0OZ7OaR
eLR46NCr3upOTnumuaVeXJFjvrK49maYbpfhhxHTVOjzQ9NaV0Oonm0Oy2vk+jsmNl4/NhctKd0k
TzBGGImfRYZBiJZyO1vRm9Yrm5rJuicaLdVXMWHHEBqvgoOWaQmUe4OZXyXFGU3sK+bafB8mcj+R
33JIrbDzjEW5cWRP6cOQUUueM3kHjwkMjuoSe+FJRak3qsiaN3ZwG2DhlyJkypgetaS5kGkm/WGR
BhERoASORdZ4dlhc4VtCrdSHrmbNdOLNjyWEg8EEHHcBCI1khfZdB5Q/BWiRmLp+pdvXyVUIgIyV
ql8zL94N4BeRnUpQh/34Gtmc53rR7BdKxZy2OFTf2CNyDBgZKz8dLJ2C95f58oPOnZ7Tf8yNhgxQ
U+0NeQTHDOnIhu7mrDfcg10MBU707R7oA7AggUR8ToLatxRuYJsm1TUnzVvyJttilmG87cwfMkXH
XVZBc2TO3p3wtBhuhnLjU3Hsxo815cyK/TtRczsWLIKvf9o5oxH5lh3NkD9IyjUCEPzYtWYXBTcG
zHo6K3btyyYrdgOzztW10RNmLRb1YPaOl7b2VW82T8U87/O0YEwGjwL8VshTTnF1p33Lw2Ena13x
Zq12fHZc7pwwjC4avwuT9FIbiQWli2p9JTzu8Tl4RWPtZvvc4cfbSJCPpDfcmYVqHeLqtmqxUABx
Y/WyccqDNfc/lviwfnf9Fhs3vyQxYwoYvUnmBQmANT1GYPSgy8BgeYlrXBCbuA+6H4FuBvoeKRwa
bxzuTbCFuGGjZgPNYLPErFQLjn+vUH3hHsHtOZI1uyHU3bzpy5xeKtO7nPePiN7Lo6x0rtW+QyrK
KTZd9brdx4ecmvU5CLQp3IdiCtSdVVoaoJO6rm6GfKoUr1wy7RyAdqPM4G6NQbNqleJP2iwvZA/R
F0Bi4wPViUl4Hhc6i13TCQX5ZGmzDwA3BAmJqOtmrfx6pIXQeYnvqiNbvxRM0Hg5ikxV3mbaf/zP
hLKbv5Q361DxP9fq3L8V/3b11sRF+ZNcZ/2hv2aUwBSgxqABYxbIDGqdRP41o9T/gBgvVP7HbBkz
NtPBf8wojT/WZDpkOfo6hvwiMPy7XAcdGWNFXL9/iXz+BTP4lxvw3yVjkmxDyDZwvskIMfESOr94
eLsEC5o10htKyR1SYOnZOaudQGA49UqovTs9Mnw0dMONgslCq+ODmXQE8+npQ5bofl+M95RatO1T
VJ+bUjwaOdtHI597X7HbzI8cIuebwWgOFo6eDai/zGtr4laiFMKbVILPTB/BpA5GwioYdfmkyh+y
ojIcnHxvO8WTZA/nDZNNodhr94Ol7hV0Hpsa4tEGQMTeFi2VZX8o6le4WOMGbgoDBDN4yIe/9g7/
ZVq0n2b1u89yzRxof5W1/XcUrK3e79/cBNVb/FPIAkH0/7j+zT8gyHL5ozAjFh23OEuUP69/RbP/
YLlCdrkpmNJr/Gd/vwFWARs7J2gj7DBXSsdfN4Au/yB+QV0H98zIYJBY/9KQ/lccgkTIalA2gkGx
SZdXf7GDj8C8w6iOC7Ksh7xZpSUETUulsAzQHLm1W8K0hYNP29SwVuYZ4E3WmpUaksXNQ6sPMgIH
ppx/0QPhNL5JYdH6GPDWR6yIpOmWcxNgvFBlTlRAznDj7m+f9X+wDNN47z9p7tCZGqwYpInMdJWb
cs78vGeoZrXFDjH86DmKhlv+KGOeloxj1ZvYlfMoxScQbSyYZb6mIBSBm7XsQIObn4GjZ+FLUDDQ
3rE4ZXBV2qRhP+EQWDSv1QuwVyy/U3CK8OTfek4t2pMajCBF21xarqgkG94hE73FfGzRm/tqxSMn
ZmaUF25UzdgBVbYGH5ChaElNWPHj00JQA+UtuTJugS4cNVemSOEnVg6HGLZJ7cZaVV/wtTu2G+kK
rClYJs2wocaaus2SBL3pwWZjKmnNdeGGeRw0u84WBdIrRB3dBrRZfY3CqX6xdQz/p24itRxCK2g5
SGROTs+QMa8cgqTCUNFD5vPjVuqZV5WKqgPbjM5ImUzdz4pxvhvVis7GmKr5RdFx7npTO/S4cmvS
u7eJGBwLtzBhWT5SsvgBKkTlh9Ahx12EzdNgJd7wOcJ6Kwi07qZ6euWnFbTs1TSMD5HDDOwWD23V
b8ldUKneolK9S/JaE1d4bfJ5a3TtmOKmcFY+QRvUL52q6cwOhhZeYjQPzQfy20DeR0XB2kAVolr2
dq+ic0nGaaSljrNsG9kzo55qCqPl0pO1m27tGpE5E1ctZARFpwMgstPo78ah67GPSHmNgak27uRS
DzHE55h30SV69VL2cMsP6RjotyMidhIJCZg5Viu0zzeHIZq2szM3povvZaqvu8ioIPWNLTMjO3RQ
/ePlV0EoWlZZbvAsLEep1/Fqa8js574FguINw/qkMEQfPUWFRBaWEV1k+iIYi/aghO00boakyOuX
Mc6THyVhzOGmLMxQ+yhFM10ggS6J2w8l6Ut4Jsw3rYbqceSpOgbbAHuL7XZAM2e/bfukZoeuU/iq
pQijb+CFx3cKp16HnKjSC7bZoi5ejIigc0UQ9PoNyg9+WThp/DITo9SsoUwgnduvsVmC38HQw3Vh
D9DAT+VUc4DU5mhr28JxJkqxGmNSLcdBuc/MzjYPtqJxs3WajfwBxzK/tJ+1DIFIM02XSVfT2QQ+
uN6KXYe4B158MvArKh7S0+tUwkjcQ0RbqF3LyJhwlHVomPIPE6AFkr8OyTmtlZICLkwQEVIBP04R
kEWTtd3EH16cqXrBadLpNxlOS0Ivvi7XRa8D8dxD2oThr6QcDX9edM2IbHVrVwPMcL1diuKMBg96
gGFlKQOi1n6TZgh724yVmot+CMWz3mD2OBQoHHXEjdJwK5G0t3wmeDvjaDZflC5IzwLm5I2ljTRw
WRKZ75My0jcVQfmRpJm6p1RKTkhJGn9odXHo2ei5VlF1mRfa+rAP8+IH+yIkUlQ04dZS8vRaIncA
zZDiBdpiAu/xuwUdctRFFaNfJIH6hMay5+hPdT9ZEuKtKlteM2MuvjkD9FkeB2H5Omaqc8rmGFA+
rCVEun3a60wIArQXZZk9kvTgHGoxllcsFeZxk4dVcjEwIaBiSmxjH9LSydVOHX3LJnFvRxOiozKK
Y5ay6tB1t7Y+9j1YvbG0Nk3IrJvPp5WrR3YNJsE4ywddMlL12kCPF5ZIYbxKZshxrTQ536WkAUYe
SixxsbS8PGt2xXdgKP0D2eFIYZnjHGc54X0kugIefAcANxRNfDdXUTrxGdrzzVL0NXPTkqwpoTEi
ybpvqeyS61kHEpyMzZOtlSW+axEwJLA4Z5XDkJfB05Qm9/3ShIeu7psz7z7zBrvvXyZo/JRwbP9S
zNlulfXljq0Ga2Tko61HEkdxXExuaLTH3UhvZTNnIAWYcAM6ncRNtAH4w5JG2drMRz+AJOf3nNjs
E5BOWsztqrbeqWjn+AeZRzejUzupz4yo2ZLuwDw/MwkWwKNqC91N6jw5oxQLI9fGUfgdqQzj/EXG
dF0OrOy3clk9znmhv/Z5UzLUU2T9HscKbmVmBvN9PdYWcOCwVpDN6U7qsdjqGEUhW/dRllnXS5al
BxX74o6TpD/nYyrdAhTuUTftep8VcnkdZkAHYa9DM6tpWhFbqUn5zqORqXRadzgwy6TbQ7NovBUW
yVIY/rd+jClf6ITzFYcy9Hxjm6lLhw+lnMxPKxp+BOrSXCEOC72OaurbTEDNi62m8lUhXTj2IOy/
Q+VgFpLMceA2akBbG8pBIwehFfyp1JGnBIKJc1Kzob4zTZSg9DNotRpnrD5n5uc/7KStL5zwK+iC
e+9aGFb3XdM6ed9HxB41o8Z8HkuTPPeFSZh3k+kZJGrdvq30Wb7l2HxvE8WKcT8HzLzicHlKtVGc
OhsoZmlXwZWdpaSMqIv2hK0x3ept290ChnMQEJIoigG09HKrCsEBAC7h/JAO8+9cj5aHBUsorUNq
r+UYEqVhnxpCOC9AQ1bVMEOtyE9SrSBsJoYIwhppmK/g2lsvJOFxs+vL4KyDc2bsCrKjZg2VyX7Y
3chSIxmr9tFuLJ79HAc2CxII5TxPAhRTUQzBmHiZgZFEZ/IwxlC/ur6swpDbMU6macvTIH3CqTZA
ZE+X4WQy2pZepTrZru1aPH417IHCLeuyU29nbAx7IqLFZ56E5XGJONw3wjAmyyVXL1t2EWyQyF30
OcYEQTGGeH7iO7C/QWBmPm0THcYAKpMlx1yYCPsZEZq9hiOIRDDFmixzz5gjzDwFkVfrUwSlXmly
cyFnLyrHg+aqfDIkYj08AnvGCZvNzgCPQicU3pm67UgmysKAYYgdHncVZ7emSIeJdK/naBRaEuMr
NHyxlwYNOVgIUCzlbpQxNOlyIKTFZ5mEcQ4bYKa9lrGpvfaGnKdL78wqTmDTRAUfUwrxDFDJTCjG
oY4YEQ1Vf7GolOKzFgDT4v6f9e4Yit6Z+CZYi52dxGmf49msbnki28MRVc2qraDqIH0xi3lyzU1V
ffRzJ7KdWkIc3eEt7UlkmQweH5mDNwV7dh7ukqFTCUJwZOWSX8tEexwFTsbWQFWDFzyxtNusNjPW
Ls4wXATqPNzTkVbteiN1GKr3ju3rFHitR2PMpGXtOzhMYus0B8j3WbBNyd4IwuRO7yeeq2Zlih8U
R9cW6RnMoFu9lkfNaCcIPdZCW+0g0Zm4JGMlR1Y9JacxLY0TYQyVuVPRIKRM9NrUPJX5xPWvEL4B
dp41IQRs6owXIkQIODGXsb5OeYYKF1zqrRlEiILVXmXmbkDhYN0yGBPRywql2KZQTLjWdjpzs2e0
bj79DMU6iNLorSnCjsXOwmOZZWN61Wi99RlqkhWUguImEFRb/pRYynWa5dWro4XMwBIAoHwbdY9V
gEicMYd4MiQ4AucCFUxLPCFg/CW2kPS2SP32BfFAw2YcoEoDGBpXrg44q3qny1A3Nv0ilDPcDrvG
JyQU7Ujj06GBwJ/z6Axs+ElnK+znMUcdGAtzJpYziu3H2lAj9nItZ4+LHa46JENkHPUKcYcL/5jb
t7EKXmZklPqjjbz17BQTn/9sYFl0JYEEZ2tY+7tQ7c1vWG/KFzOrhl0K3OXVROXLzZCV04feafWt
XZM+yjuOAvPQK5ZxIM2hHQ8qyorURcapvga4IFi8fDUBUaZNOvSU9BFgkI1v01nqZTsscP33HWkX
IJbZABOFDViClY4W/DDEGJ/UWJ1A4UgbtrrdnZ22WGd9ClhyJpDGYnhEiKg4kIhwgPvB9vkpIp74
sdfmHuOp1S/3khV+y4AmN07Z6uPXDbzBwPQm+4Igx0aynJka2Q0cFkJrkHKW5sAKSw+be8rvYQPl
DrcG/uc9rAcawqiEesUHn145+NfR1iuNX0kZHSJgBMKCSqCufAJuupENmB2i9W3UnC95ZRlEK9VA
Qad8a0Kn/2zM3PzRDwLzjxM3r84UOffhHIT+KrrzdKnkaxzFClJQv5gK3L6fwRdooVqZC11PcKdb
RktkeEU8ZvWubmb5ojWlMXhWq84bspEIzxg1kgms0q7nG8y5hP1EZbe1Uwmb21kpEtkXUMJY2RLs
5oojm/Rpx8OSCTA9pY3nunODL0SFpU4XlcpjlzjNU0zUxTdN0a2TDq5zEwP+3S/INaje5htTqfVn
8YXDyOsxOmlluxgIt6BnWCtHQ1cMEkW42tNwN5lTf8DZhtR21oZvU6bJnQwp4GvV2Ja5GG7aTkfl
HqwojyWTH+WkQfdIg0jlFkVIfrJXDkg3gCFAN9eniYveFxpMOekHnj6fRGWEH5ZSA66JNMO3OVRZ
Cq4MEhCRjeEhaowRponE0dwu66I7TskMPgpq9bGKHY6IiquTZ/3KPzFWFMqIFOa5jCEK9G2YIM3Q
KG1Js3BzGj+3Tobmksdx4QMOHK5GiCvI+Z3tgFDo0FhGdjITRd8PgeUCKMtNv9aU/NNOKsOPZVvf
sK9kIYaLAdZL8sV9iVYEjFm27S3hSCnLME05NmhVMp/IMSrLXkaShWqoCsxlNSl0mbMAWleQmvVB
mxEwZ5fJUV2JNSAs3pawmo6UF90+na0GqTrGf9uwzRuUlNnjkGPF8ie7idcRqSGfxmSad9EXMUfT
0bw1gPtG9A+E0+lcn4egamJjPxWj827C1rwrWrXjyzdY5FaAyrqTNmYBAe1flJ9uBf5kK/pHalQ1
nJMO2+qmitPduCKDJIINFrAVfiFhieHSSoWbKNIXjntlSZoPUGaI5NUvRFHeGU9Nt+4zml4rdqmU
03uQFuAEEqoO7l7yR5VNrtCgcBkv1OSNGaqbcYr7e9OGu0sxDospUgVLc/YOI09EVfiVUaDAb1co
Ux3oL2Zda6ciKVmxFRqqinpMMOEryqvKHBesFsAnLUmmUxQo4WGi/9ikmCd9ahSerc1KG7FXgFQ9
Yy1jclvM+0Ya2repk7AgOBdE6lsdr3myNO2psosABwKsRsZRTnoJAW28irCwMrrztnyYp4CNJO76
7IuHNTYsx7YQn+BkNcWQM+T+gmhBDByReQ1KcDOLgX1+MziPhZo1ZJ+p425uw3TZTuFoEgTRqazC
kMPfUQ8uW+0L7SU1KF/pyvvqv9BfJRAwBHVp42HCws2pZLthJYZReQIPs1eO2DTUld/mAA54ANbv
vaakF9SutdsEQ0kLtozoXL5gZQrTwgPG/vFQ0iTd5sOwlZJ4eU+Gc/YOHqAiOobgZcJL8hOJe/NG
a4Jor62sNJAg0Z6QJh5/FOu9iyvM/mxGdW5d1PS28DrJThp3nNIg1lo5bXIZ+uea/IJ92RN3dcGq
OG/LCMCbRb9FABGenzTPLvkcHXre7a5Xem50ewXFmSNL3+PyxY8Lpd2OPoo05XVpRP0M7u+6SnTw
DsxvkTDI+DkOC/WuaRJUUkvKhq9V4xeHzKe9ErJ7TmDclQFeiITZwwyOCZ0IYwyFaps+uUT5ZOVn
ouXSA+1ksUNhbL0CStO8dIXske7hdSWuP/RBwQDyeBHFgVkPcpdWnw99ZCp3bcKTiJpHcCsYd5oE
8MfQL3RXl8a2gSp5FZgYCmHCKJGvLx2SAKc1SPFZsLpSAog+vlYbR3sJeiq7sS0hq/WpUp6ccpiY
zQEklJFBDQeiUMuncVvrWfyoZ0ZPYRWAsXdEcpycqLlKV+ChDvlwgTzikkz5IVcoomhb7iCCtoqb
zIHaNU7tY2cWUczOtegeW1Mox7qwuxf7C9GIRLPULwl1xPRaCBtO4CB7NfO6oE96j37IYtw1xiGB
OFVu8h4Z9WGHi5ecYSrIgzHyIrVuH2SO/mZj4L3GvbVOggIzVutdZAwMLmsjpEp1ulJVNjGA1m9z
bfaADCJEbCGJ2CcFUj4T4hgeyIyM7oEnbjNsrSKmliLAKxRQK3BeHwaakRxRW1NXp64rg8hj357I
DdE9LNRRvE/kgCJCSDzIDRwzkylpuvhObYZPZHgOm98Pzf+jiblYrcCWqbKtsH7ZeyFUD0bdcD7h
XMxHO+9VsSfblPyeuQTLZpZ9QAh30MzXMlWq59//7f9v5cAaEGOCRW6DpcqvjeDf4Qm2NbQ1WrY3
u2yLq9gx+l04ayRqMXT1Yq3u96WR9XdKkJo5qg1F3f7+z/8Secu2wAYRwysgJ5oHF4Lmn7cFkRSR
Mlmr6lDVosjP1UIyQHTieP4eAKMbHirbXGOGwXowqoef+Z4kidluMXVT0Y0N6bguNX+deLPASHTA
Uj9nJ3Zvgb4TkZ4rnpm29XQpF822Vr6goZz/yVtgnfoz6YK6w5SCrRJ4eKzRvyw8lAikwawhnCeA
MbV2URMxByebgRQFLMM9AqRU0zJKpZSdTkRgLYV7pq2rGmUaH812DTNcGhzWnva1tVFqrIH/JC9j
3fn++iIhkKiCqodrjNf58+dsGBy2EgjsxiIqctgFhmKVJ2AovC4e3LddNMafTtqxq0FmwIf8tUVy
YM83vo7L2/KjJIwZ95ChgNttFovzT26CdSv30yu0NUPgj7EhpeimBcnj51fIYDuq4C/GALgzZ7j7
86Zr9ZbAO/SnlXXNuSHarRUzr/dk2czWIZzaJbt24G5NOCLmDs9EO6WUD1ldcLm0k8GVEtSIFk45
IXcj+rOxs+yr318Axs/OGsEeHYizIbiLdKGipf+FYo6rc8mcCCmWbmZcvUY6Z/ZrBn918JWZG/st
h8CaeaMSmelViH2R4L4SRc11OFtldBLSCMU+yyqib5G7xtmWFVgbeqNocVOLVaFVJes2iEkAzEn4
ufqjEAQ/koKTWSQEEThobmvqZnJYc1oNauna3il2mZP5wy3wg44puQPTwqw1rtmZoN+zlbcK1+p4
O7aR9eBMBj5+o+uq8p/cHfqv2Bk87pIbAO4OUbW4jn65wRcWE7lkqQPdLZqiayW2aW36jvhlRN5T
iY4Qx7Nx1TYdDRXULX0+LY4VYl0laXY+mTRtN0z/W7QABStafLqCKFsO0TQ5qdaMtRATu1DIHjT1
1quJzzY2dh7yo/qE4qfeoM0COm43fWK/VVaeLgemLskzA351fvj9lfDzYSp1FVsexwgeK1x6HEu/
XMLRCFrHTAMQnTaqZiro0CURNzvkal4dLaT9bqiSOoxvtdP9WXGQ9f3+BXwF0fxdQsFU1bQElyE4
fWHhKPv5JlqiScxFAmRpieK23FqhZlJEolxmYfK10uFjlubBCczoOVZKwtqzqFlPVi3Uv4tIwKvK
KhGbUIJVWKZ6xqxymxtj/1okPASxjmNUh2KI2otkeZTofYogoqbZxWojFiUfNrkeKL4wGVTu/smb
+/XjZcMO795eTZawYUCn//zmBMZWNbC6DzqT+opJCyJxvc949UwInCu6yD5ADyyNI4yT6K1SC8aJ
UmJ49kGGB4Y/OgUi5VK1nJuZyag3zAmGsomQP3ZKmrh3+jk5kT7GmaIGokjIIEM056nqqF3FEz4A
RsKMzW38lVgNSLiomOWJ1s+dCo9NQDPk/v4dr6KDv52JKGLoRVWOFWny/zH3/HKyZEopITdAqjPW
vZrB1oMeomzX2RmqhMK1GT0NW66x8irDgxbvRMnclZqctgapbTT5v39Bvyz31xcEZl+QucJ6H7KT
XO/27293MfvE//O/tP+dm2ZMEUHi4srOMw8lXLn7JHEKLEe9FtTeZFjztwGOA5tccDmxP4rZDs4O
BFC06n3XEprNojrZ4FFzfhDSnnR+Qlz9tTRSQ9v2VZr/aGLBqlIAmrjqh6LO7tXRnuiv1gUnB031
oletQCzLvB7As8r07utfkQRVDOtV4LnuHCI79kLFTrNtS6IweFTICxt1aGnfRFumOHUqeLPenGst
FijW2MSKLkYcE/U6rVlj+JSZuFCUR/zK0ZzdnFOkgzeODWKTfW0g9dw0wj30inpvWCZsVdb+NJIi
6AMwQHS0rDmDcvKNJKtLr5C5Yx6KOVlX7dCLz+Tdad9aZ2YiLEp6H6BtDRiTIXeuMhX1ES4WLXN8
oyMPma0geFaYvBau7FnrWTd9fbH/ZWKi/446oTXs4zc6oeEteyet6Cep3Pojf0rlDAOpHNlBtm0Y
aOJ4xP9DKqSpf5jCUZntqTz6bYBj/08pZKt/wPWhlKWc/jL0coL9pRSSaI8MfLzIhVaRET/4ryiF
fj4JLbi/JlUBChtS8Yg0+wpD+NttSDgW3Werav4s2/FG42pbAFuCCNyUU+7YZw3FrL1l5gVVtYzV
rDsrQ67Jp799YJc/Hyv/xmDrUsZFt97fvNO/HU9/vgwYXQTLmDie4ej/fBoU+B+4gDE2zADzYd1O
k+kcStyCrKjiMXhlQQXRNYHd/9zXlo5NqHGQOSTW/+XszJrlNLYs/IuIIJkSXmuuOvOg8YWQLIl5
TCAhf31/6HZESyWHTnfbfnDYvrcoCjJ37r3Wt6A6nsa2ix887r13jhNu3dZLE3UJYOLTm126CcGx
9Ork8Y1rXvfg/9kh4RQ4KLyEEOzUZDlFPyMLfrl1eW4i2FQN7UXSNqBG1csxi4lYbQK7vZngGVGu
x+mzIuxvb415wOaNmSXvPHGTTAC5epTORBSmMeO7Ny7t99X+P5fGtdmujRATMeRV+YAbm5tt0fn0
tahu5BLMm2hJ8v3M+fegBvNEPg79e2rinbGEOGWGmWkpRqr6v1/J7wfS/76QgLMC/WtG7P7VKl8w
uUYS/RNuEZFY61Vx/X2hgfXod5amoA4z+LGG6ALyCd6Kkrl+ptbfh+MJBwAOpEhLr05TfZxxUosl
v0/gGptp0JwQrznm9qEguRI4PZIY5rsdIoW/f+mrzfbntw58vi0F6xpsdF3GYy+M2Wlo7iK0IJnb
Qq+AF9cJTyrMJXmKTBPOdh3qTa9H71kji9ksDM6eZBFHb+bZrDv774+pL9HP/Yw9o6y87gkEJux9
4yD+clprIMlbWoRK58JlF2uoX8knHZixXPrcAbRrgrn80qLbcbdB2yVf3rgxf/4kAacaJJGoWnh/
1pi1Xzd9eo+1iQsV7cPOo1XK4KU7MA6P7+jhgwzViGk/ZRzptoluy/sMaO+7iQyLV0Aih5JJFu7u
aWk/9d5s3c555u+wV4AhNkP8xoL053P7c12EwUABHETeelN/ebfJLsBPb2so6ks64uiBrbDtAro5
BJ3cOdDa7r3R817gXyanN+7RH+8uMmgEoAH3iS6GCK4e26YzEI04pRxCQ8YHLI4l3TZMvRhCWa39
KauU80GMpflRROl8mpswvWGekh2KEJ3R36/lp8Lyt2eHK1ibKq7DWZq/1mv95TaMeZLb85KsM/8M
g3vRzQGvasOydjugwnquIf0tF4cV+sEsZMWcI/Cp44ZxEux9GtzmSRGfk92QbyOmDyJOyPhLfKJX
IHG1JEaMdNVcexG3lu/CfGucah6OjPyoXjxZlrielxmixN+/1RUAhdcT2yh7DG8nBwAUpleLUl7S
xMpEQWSPPwynadTjSdQcATSti93UNe6BEnIhH8/J/5mnyTqFQCveWqN/P83+5yIkGBb+ZGfib36/
tSzJSRY083hwgnY2GzV0cP0nOxd30SDf1Wun/e9f+19+TDZXEL8OulqckuHVJ7pjP7diicbD7C36
k80ZAPN86b06dlmHu44Kdduqdr7tTNPeRsz1LzRnkE06g3yiWP2m4Pe+R/yHc3MhYbdtiDFg5nKT
igXJaVqp6uRjn2N041eNtyVdHtAZ3ox//v49rhp9653je4DqpapiIfkjogiEhIcrNJ4Og8KJsOs9
eyBDcVRkQyTdTSMm/0QMNQkkpDafWpPg6CX29IXg36fF69tDlBJpRAZG8Oyx7WEs8/VKKAwf4oIx
assK+sZ+4Kx39vfXiIYra9669gUcqq9fI3LhrWXoNcrUPvtBAnKOFVmPwCjK5WkNRDjRYYjOo+9U
z9LS/3A2wCAFHWmnki7I8KUu1m1I3PtrEwbDg9PQfR8gaVjgyczywSCaQg1Rzw+oiN/JxCoInIvv
LDenFY1ShdmZNU33M27fN2qgPx/i9TUSLBHssw4/yO8PsTNALc9rMR3i0V5uVWGN+4lI9AcqueUc
u17+xjP85+dFq6/EowfkBsL749w+ui4Z7/584Kxdf3QH6xtFR0azptdf7SQb/m+k4/VRoxhdrSTs
A5hWvKv9CtlVhVBiBA8Fv/QdOS3Fd8vM8gYW5zpm7/w3Ftyr5urPD6QlQf8+QENDoOHVDaUVVYeJ
nSyHFtPJFiERs8uuqV4gw3ek9k7yntaf99KNgB49LUF3jmONyxuMjHgc5ZC84n2GzD3MwRv70vVB
gVvB9JX+m6DJTxPuqqRE9xlZKovnQ1S6xTFeIvE+iVPwUWUw3s9DGO1xSYvvA9CAjevUbxHK/+3j
Q4+xms3bz7t/tXg1XQWbTjXLwdjF/M62WvGZQcTR8ipYD4Ma3N1sDd/wfLeXNLfkG19e/N6Y/c/v
wtPAPViPXFQvvz/oYTjULtAmfVANNcsGQYH/2nttty27BZNEbtRrNJGCMSTynGHAP/e2nB7cxUeq
hlgWVczYMhAP8hJMPrPGd39fE/+4Oz4nSNI9Vm8JB83ryLqgHDMNPN89BJQCpx795kOTNDjMna77
qH33nxD60TOjD/dQl8p++fun/1nvApbiT/ZU2ybl67rezRT8Ppex4iHHlmg9W83YvNM0FvV9rnir
ABpjCtwmc4A9WzEczWnYNv1JCBhNmzlXw/+59OeCZMQZh53O5VtdlW8JCYM2Tk2PdULD5ZgGC3q4
3RAvwbgQrNFwO1r1fyO9cTf9byJIeUb4UN4RCn5MbCvB6/dnBJJmDGZUeIciUVAt8mgSPwYfS8pS
BfLoTbr6R9J5Rv2U888ay2nfKmzWp/C3fcbnu7qkj0bSW/Fha1X7S7k2pzpw0ilAl0m+C8E9GBdy
+sY6q89E9XWXvrHz6gzPDwV7wX9ym1pTox9dQNRqV5Obtj68cdW80eu7ykb9eWciDEkRZ6L1Z/Gv
fg6m7gjInBG8DVlCWGch0/tb3M41aHV7Muk+xGwBvJQbU+/qJqhcsiQUojdc1MF5RsGGTGdywuUU
MWGMDnWxcHpwATChOzWp/5JlOkcsko0mPirt4Gcn0HjWb93fP1YBoGwhvQ9y30UIFvbq/vZNVYoW
beoBWEkek1oULtCY8o6WQzqlDJbjOvECILWKvIs4Cudd09TS3iLWQPGxAIoejsyu1YNAnA5FFFxb
u3OXBW7F39/IP9cDLJAuIY7sXJijrs//sgmGNVxJHiyaP7uiXPzzMNofmN1Hd062lKewE8tXv22O
S+Bkh79/+B+bNAUOBRp8bJ+uV+CuF/fLU+iRjR4XWSYP2K6tZ/Jap8cgjWxoIxweMCF3b0Qj/Cyf
fn/s15a2zdbgOwDD5dXjRYNBBSJFn5zKmgA2y52PJWfenZV79i3zSa/Zx56vT+ypAHiTyN4Xc9Gc
nZKFSFpDdd8YWewwyagbt/LbY7VknbWvS7ohVWLCj6lsvY1eFPUVOOjt3+/Wz2TWq6tnq8d+TXQx
G//1xpri/bLsMSPOkSf83u2j6FXULri0RCTvq5kzb0nSErGRIFlviRiKtyJZhh25jSQbkb+EYiko
kvqNmlWsz/Lvl+Wy5fPHmodB13n9lX/5FXtaJk1roPvgFyvhA7DvQYHHM/4uCzxyw2cvtZuzXpio
bj2CBps9iJ3gdjCuvAykliLFsqwk22BE6omgdJL4oCtr0Te6i5BBuz100NsWHP3/58KxXbLQBrQ9
5HWCME+CUweTBfEgnIEMdpgT630xBtFjLYP4Uz10IINiUda0D90xFASRC/15VDUaWrZqF+OMNSFJ
zxS29w1eP3ka4xlR2QxQjrGwGP3Vi2jZb134n6s3u5UTcMdZXAhfvdo/dDtI5JDCHFDNefUmccXw
xS+g1ZRu8lQLpOpVElqfvR6yeOKk6jVsyhzo2lzf5wMv9hvP5b9czno0xeOKDdPlVv7+AAzuxKmD
mv8QSL0cktgFiuDM2aUJfHUXqwCIgUrlJWx0dGmsYb4vhanu+JuzdJbkjVDePwswn/kVbweiA+6Q
f72jL2WD7ooxPFP75lgCYi22jEL1MxrieG1DODduUvQHImJAhAX9+G4u5nIHhWbaGwDMWzCC5pHx
MCw3NZVvlO3/sgJxAgoZaZHMErEIXa1AK5JR9jb6ZoRvSK4a2tebKCDG+9GCiwIw3c1S+cFarOHo
O5a2D6G1uPNn5KQUQGVVWRjHZ9mIO9r19JJjP2iDHZReeyEvx6TVxTi1S96E7FbOjB+nzaE0GWVm
xqnlrVv9Lz888pO1mqQ5wgJw9WXCFt5ZDoToAGAM9Efq9BxDg/Aw54kFB8dX5g7PWnXWU/JqcU8e
UVkFJxcAxRG3rv/G+uj8uemykdmCIs5nVsuk8PfnMODXS0dOBocUXuOZcMv6vh74NXbCtw0Rf67Y
D4ur4M443j6Gsk1HSdmPYTXXh7SbbNwnuiOrhrWCk0kSkayRur2NStsvtyar0HKgZrNepT+tLL40
/9w5HSzrfPiKnjj/VFYyeP/Gu+X+sbhyhHX4NgKxD5k260/w6+KaF4tV9EF0cHjBHlJRuHcBiQuH
qC6LL5Nk6p4USCsdO0NYDZ7ye5bor/wQ7c6oJX0e7MLZ/D8uiQOWzwq3dsauexR5Mw5OwbwFsg6W
tz5Q7W3G87oBIWl2ziSWY1CW48eIXemedWHZzRRxG5j8AX62PngwNuryv1/T+sv+vgXRpgsRxXC6
oUN2vQJNAPNnW0icm4sffFjyKiNQ0W/uqOmnfWo11jtPQVj7+4f+y/NGy5dnjbnYGqvgX/020OeB
luNR4+FJvCONT+eEPkAec1WhH0qr6gbBRPMx6/P8plV28EO7xReg/SbfBChQjkU49HdWGQGKcdz6
xndUcG8h79wURmC9wSyrjk01CbDVVnk2ZIW+NpOTv7LR3BLe2cs37qL42TT49T56/Kzri4yiI4TH
cd11L8qeaIRgsrGodfDh3NkQYj6Aon7NI2eZd+THAQsdmEgkOxZh6Ifu6ETnuRoULo2FI+cGD2xn
Ngb9Rvu+hjqf7Jwa+Mwew7jt3C+2a+mNjTG7/zyLct5PjCOOhsG32k457iwQMsGrX6TLxxioMaOX
unjfzHA/kzGdth2W33pndWJo92NUUr3nboe1L+Y1IaSP+nikdvP0YzGKgv5zKgkJCVJv/uzXJAxv
CMwVdDWLuLy4SiV6PzWTIMqggl0IlM0yO0/MVgRzx8cE2QVeWZ5jz9b3SKFW2C5c7yduHUbYPO+L
7z3Cnxxd6YwZHy1EMt1MVDnxyQF2SeyeMyjFF7TG4kyFUDzRyOl/kMupo83Cl9tVegHYxXhAh9tO
lPBOG9Xde+mUg2dqVeNuCTvF/TTqaAWaSb8jUxusK2cFd7Fu4PZ0AHU8si0IoCSr01gag3MT21G9
HYk9vM+JfIQzjwy6Pym/m84I3ohBdUP0CyZOpLe3oRo/kCZg2RfRMGPbF6ZMg12ahB15PV1lx0eN
Qksc3UKVz9w8lsOeiGSzi4vE3vI2rmkwTSC/VcjfENv//RX7owHPA8lyvnLOGdGhTb7qcrVd0CO3
98W+Epm45HZRHyzZ874AYrlzDQFGm2Uu24NgE794jVucOT+K8xtXsXasfnstWFLWZts6+ObY7F3V
W7bXG0CChuihvB3OZREnlzr37X0ZZvfJqOuzmwQv4PAzuqkJGWdzj5pWRkTT5WQXJ8MS0AfK1Pe/
X9b16YmvzVVR46BkZjZhX52e2o7VvzMJhqml0t/LYobxP8r+cRqT8qOPI/bw98/7o3ZhheOkxgYL
pxVsyTV1vi1IAA/6Se7DaI5uyaoqLr2dlp8I+HW2md/xbiRefY9TLjkrU8EUsXHHcswSuEWCQiD3
m/LUvA+WvnqG7pO/+FWrNGbW4M6uRtaIDkcqWFOs056thP3W0wTT549fksNm8FNSxFbBnvn7dhp5
s9+i34r3uHJMsG882YfnruyCEnP4MJIuuKTpJYakqo526ZqXjucvIZfG2Dh7fKHvCHqHjFpocIQ7
MXGo3cK5aD7Bb9QEngAXHdK6wMWN0eVLgucw3041WNFNF/Z1s8vsdnjf1+jGY5IPj7HUfnrplCJV
JCuadH5KqxUZRkYK0hvTyvpjGhjNwjcoUtpp3qElSloCS09kWg1q3xC8VO4nOA/mnIRlPTxGBFmQ
8FyF/mU9X0c7x+6Fv6/7pIFfaKbqa9vmWXsgCaEw+5iTxFfURHV5mlUOUzqIegrHEs+M2gSZMN4l
N7FD5mvYL7emoDWG44Dfi6Zd/40FohxeacL0X9O+DvglR8DjB7Y+UV1qyAjIdifGejtyU/z7MnRh
UYZ2higjn4z+4tlL5Ry8Oc8rlrRA6OMYrAMmlC51cmY2h6Y/YGzr7cshI5UYtHgJGxgxLGiw2fjt
ZiqzUJ9Em5X1RZaRt9zhiRqxvGnTHrWt4zvHYWlf7Nas99p5jpuIgmhRLpFUkFi8f1iAwkffj9DV
DeA9du5MKhPzxhzotl25J/pi3YvnDrV1ihvAMFs39wsfX3KpHrRVrck2fkEk0xjZXr4Dk+d8CjMr
elQ5HINtSjo6mOvCRD3LsDKvNdZUbP2lXz6ihCSPxiqm6Q571NBvMyAn20YHtTqVc+7nm7iR6M1R
lwfzXuFldA78W4JJ/JTG8Iage1O+yJ4ob+p8mV5mHIVHKfqkfsnwLFd7MxO/9AqQb1SPUjb1dOw8
NiaSnFPrW5Fzdj0nWF+6/WKUF+wh03fvrIQIw0PU1TVs5srpgcZbQ4mjZPLokkHh628IcFmafbl4
MK49p0gRSDQqysgPDiLdPQI0LElKzhYYEjndpVsksYW9k9Ahid+x8/FYcdAfSCYHvnxs81xPt2jW
Bf+yKMaerh4RPQcka2F+aExbPtdss9POrbNl55NsXD9iE4FenIejVZKpIxzyaW0eXUePMrmrPc+B
rWvm7BmZUYaHfQzj+dZRrmlfLNMGMLh4N/U56zFabRyjF+s4YyCBYh6OkvHYXKywhEXGoKGnkBzg
wW3n8micokyP+CWnnaahX30vIBlnG1vbqXep2ilgmMJ/352I+V0NWpkFbtDJOvgaxBmCN8TcWYxb
TUPWPPDo4c2uEPkBW0/L/pBY3UJGPISKW6EAWJxIsupY1Dm1cMjT0WdgRSrYVljAd2km+1t+SECI
3LH5jAsHfGEcZtELXlAhH1lQpgX2KKw9mDnrKEYzBX0ttdOze4VK7ZJklMV2Euybd60gRWXjJZSy
B+H1Mcz2hYApBI0eYLK4U21JmFopyFL1luiFGB9PXOpq8V8Glelvfj82LG8NIsIt9CtXHRxdVump
wk5UEJPluWpDSF//yXPa0t9C5CYWa1KtqDHQArTArJmAZxnsSGARdvJx3Gv82+8LjXlLS9t97xV9
3eHD90mdIZYu8W8Ag1feZqx06O+TpYZtUIyggLYYkcEzubLKv8aNrYe9cRv1nlQhvKWIN0iAKWbL
mN2UWF54LIlMSfeiTAbMaDwxw3YkS3h4kilf9IDYhYpxdsjj2edyBlgcFeU/OZFH1X6IwLcidfCN
92QP7XDR2GnQRXlGaKZtvQruUi9PcWgVqHicMWOdWCOTG0J7RD/sOz8oTzj1JFl35cirTidbR7sE
ux2InTIcnuxuHN4Z1eP3U1Mx5HdRlysEtvQLnHeRq7wf3F2/vqk4YAE6pEh6by04a7doncyt1kp9
d91e0W42U1juXTkM9tmyDOBOQ5pw8IwW1op3GIS0c5xnXv3jTEU87fNyTiBft7gFCRyo3TPQ+vls
5Xk5nouxa0jjimzQtMFQLXcz9OWRhxK0OI5SoadNgue2AO4zUKSFtoKgT6qs2fv00jCHTikOAnpI
g9xUfTiTo+g3/q4orA6E8GDD3cajG9o7rw55gFOVeBcXN0F9sahOt35UEdg21KYdjgtKWI2xxHZe
C9TJ2Qs53WzlY6mj/oK1ygyoZIuBim0YX1sC2m4YPydPS8E7SoJkLh6LtAo+ToNs5mNh2wQ9LI2a
X6SrsASpCr/4A8wKDeLZSCffFMpjiU1BTJIZ0Q3AZMoOtvoO12NK7bfCdbams1Fm5GKIL/D/K80e
nTkf0nEkYM8lZ8i94TlQCHX9cnjWk4zNNpBShxtUeGXPoj9DMxaz24INEcPcHGbRRt/TPOS+hE5H
i9IJ7VbhBSQAapungv8XOMDteZ78+cZMkx534bp6bXqTsAsOVARQxBcCOLClZzTfopHe96KR1O0K
3S3JIQcbAr6df4QLdvIggUR9Li69U3e4JHRavl9at4S6QN97OfehLCFCO5WucIrgr8uGklonLL3a
P8eBQf1hrVT2CArKsAG1ad8XiAvBHFYuYWkg4YabRTYc1aYczsbOlAYmRA8Q4wbshWH0CddqviWm
ktmsKUGtt6Sx0SCbaTBf4mJmI6yZhFAVZDS8XGWCZ2RHw7QNfBhFr1WZavu+YmyW3ozJGHxFuxa1
jLydId2kRBySwdglfYXMuRu+pIOHu9gfXT6NU74hzKCS7X6aIsIhw8YoEE5Gq2HruqaEnDR3yzN0
aTPsybeev42ztL9IUT4lvC1cVwdZYMvqQoNpdMvpSC5SMW7sxnaf4sVghli73Ej6mECJOyu3CTjA
cmLdObVFv1xGOO35jMiuTsQkVtNh9hpAUBke+13VTUQBxksYXgYJM+GU1yX3xhZV8i6j+7qhv1mM
J+2pNLkjEAfJgUNXq9qKtokygrlQtZzpycznhvS24dnMdWttpOm87xKHjDhQ81n2k7F62Wx534MY
/0U6PJGrPSx7Iih5UikpqI5qk1IOKxXnK+zVJA2M6SG6sK8SIIhMtaqR4wsxnWpMddOBVSNQ+54U
oGUrI5z3W0msQngCvR4ifh9d76nDI9VvuH6San3djduOhRy7s9Yrl6r12l3s48c7yzoG3oYBz2Ig
GJK3OfahGb7Q+LTvmkBZaNQZWuLKDIm6eUyqYIyPSNpTxprCBUytfIFRxG0z6DnUP9EhA40GBLDM
BhoQSqX+MW69oNpbjEXzM18wiJ+bMXfOCNBic9fpRacPpBP4PbI+YdnHYnHED5pOrr7MbWlbwKyg
1U6lVzl7OcwMKCtF7iBu0kGeaph4Fe9o5n4pOHWMW2WhIdgNc2n6e20RqgP+yUu6E968HvR4J2Sz
42VviHwAJVAl49ZdKpAzaZCWXxL8Te/KKKzJ7QjGwN7gAuucx4i4rpjfJVHJJrBm+YkstiR8bNs6
7w9YvViHQHuk0ynrQMh/tBmVJSdf1+nDMFZOd8MKTh8G+vt8r8MqKi6u9lrUbYwIAXPPeNsPBWRo
fxMlZtS3uceLeksyg6IWbr2sPGcV3Jy9w6ThMe2IFgKW04eAs8m3Za5NQpu+TSOyA2+6LNU5cmj0
TcdGjSB+HJVZO9KGWVMz162eeeRRtGRIYtFc4XHjEJZ1XnMQDV5L4XDQ3E3+Esi9J1ti2kTMIYI9
mDi0RNtTTPfFDb8M6QrtihcbhFoM+pmisWrPcS1gskJvBbZi24X/3Lmd05xSD8HYngNLTEwTYCNy
Wzo7MWvsvLvGRwESxIsYFHq7VLn5amcFtgqdpckFvSnB9nObcwutji1bV2M4QA5xpw60Um1Z0Kab
cI9XK6PeGZLue+KtDIK5tLR7DxnKBU1kqq/urDmVzroNEUoNDfT72qq673NP/XZushUi5kMD5KDf
reFYummydm9ZcVIRk4TZbUNYI1ifUEp/46lOedupiInpq+rBjJfCrLpYv/L61/Vt0Nuuwh6zzXXS
vmde2b0Inuhs55s2L7H/zdplbQ5nG8QOR7GNHWa5gvkMnwTKnTsch2bOyJBPUQZqIZIfuuiz4qYb
u0IxbnTdy1BK2Pm217bZxcojjSccbxFpPCEKEEyVk7MDeVejWBus8THR+FQPWE9qkq9UkR3bzLPz
G9be4UlzlAj2RFn737paCyvZ2ca1X0hbr26yIalP9LnrLfWJaBhAurb8EsHkvs9mKu9NVfbzIWly
Hb5GA1q/XWha5hXK5qiwp6Ovmh/BvKgaFqKAoplZLfCMMfTM65SM7XRmohTfVm3QB9vcEb1H8JTr
qIMQHefZPsnKcB/ko5yAIhmZH7KE54GsyTr9MpK1QiSD6PtoNzv8b9zC4UtXMgTGE4eO9y0brYw0
zWoiTgzyxgt9u/S57xr7H56KooASAhx8g8GnNWdK+SG9T9quhk3mT+U3JVJ18hZZuuBYLOoDSabP
svOkVvNTTG1h7xynGRBJYyFvtr7ohHPE8gAEr6CAk7cpbrPwlsAxLgfYMTEiGRSYaNdLZiLbwNHJ
qk6hTH1wK6BBW7aDfKLyWIS/m2nbPXtoumac28DGyVDsYvhwRKrF1SNVUHFbe6E13qYSvE1EHefc
4QiWI9UzTJtHSzuDAxjLglfgZI5+7uyMhoHrJWo5Nmwt8h1THsDoJGEWGDMSKxr2bjJ37kNbLP5x
zkcQITaw1ezEGxN9ctGB7klcjNgEKFrMOXIKiKsN4bkEhIE+Td6lGGQ3K/G1pcSs5CUF0rlAVm0S
b0u0ph3ju3dEc/HSPpPADU3E8sQg7xRK7Ku0hekCga+fvHvVmAbCf4YyadvkrtEHT0Xpjb2k9hc9
yNDajlQ6F5RHtgaN2hBAQNMhu8VGSSSFIHt62XehUwbPEYGXewhnGrVK67Dq+7JVw41vQ8Y4mtYN
gFK6vbX3UqFvYqhYMHabUYAzrcu164uKMpB4XyYttybxyAJH7pf1bIdFCJStpPUMcyxfuuLcLkVU
4nKLbNrkUQ3xtcni+KnHrhYe1sDQc69lP+zyOJ4+p4b+wqFj4L/A9YBY+5A2MIFeo260onu3lNBS
aVVLeu3or9klQ/2pj2o2K2osqgYIsnJXp2PCuSYpJzJKWxmTp2xRMJ/7vI6ds1w80P/Wgr920wmV
dqfZrEumhXmtpvrgvHwOixE78oYYMPs9GVbzsh80lc9+ItTZHFrIdnqj2iL+kuekPR/miuMUIweE
9zsrjHNok1BWT4yeHbgCBnoV7hW6ZjeWn7n2AzdZfk2hHcfbII7zZQufYc4fxLxmXlXGiH8q8ESI
9+zFEDrWxlmKeRgy1ikvM/8ogZHlZzPr9YyohvKSe3UhNoK5iSJDWswfM01W1HbG4Mc2WCYoB6KU
h3VLVmG01TDS0t0IIYUEQen1H0yQZss6ZPTJE1YdS0Pjk252HBHWpocejRxbkz+Pw/0w4v/eoqsB
8eE0VkZSz6QhLYVp2J1lz2n4oS7t4v3cFPkXdyqIJne6PCU3hij7aYsROejOk8rItU2VTj8ymoIs
4wYTHw8A/dXUZcJcgUP3fOGgMzLAgwmxr+eGKAsaVekli9rJ2mVj6mIb7Iin2AA7JgIbqmN+h1Mn
vgGgJNtbu+o5t8fd1HoXn33jE0EHBN/gBPe+RjT8kn2Vx3V757k0RQ5OmyUL6AVO+NCyCmJwFrqT
8w3gWM88tUWEKl3i+nW2ioY8mDOZ9zc8mORpCSuY5CdX9dVHsaQMJGteUY9AG8Imt/GwjPoskqa5
K1KrCt/3WKURegRpfynrooW+SSULh3lStAKDIJmgC6IRhVQ4tVhfZtWU3ycZSKxRXpj/4Fzf1Me2
LUx8788LI9i60e7XqZ5tgAu+CO/JnKbty6U54RHyIteTJQTxQmT0rScUgF5/pHOUEf0UxhRtc6nt
O2HscNnxo1CHu9Jyn6CfSEF1nETf0cLBdUh0ldunFVdJ4AZxfo9p6wM/nGkYlxwM9Ui9a0ZSCoHn
3fSVcWh3yTRlP1uieDhASuxgQvGNoD81K4807hiqb5h8K3J+Mll9R2hjzmE5iq/0BpGxlHGIBQ0b
MtxEA6Quh9rxESJ24XBqAqn5CEPB+ZT3c5DuAvSM7W4elVUAl6qInUMLKwy1lqXUJbWVl+3aQP2g
1a3lE1nE5HH5obb6Z5fNKdj3yEPqQ28ksHusty6ofMUc/mKPBhYBpW4IC9AKq/TOrclD3umyT6yd
lXHC2fBb67Mfs39Baghb9OWDoXqbOay/qIV+xiUcurm6tGln3wEIzl40WCfKgHAhL89tVt4OIZDH
HlgvfNMspMJcfEJBbp12muMdyS+cIjnVpI9JK4mDaRU8xw1tDHlHyEDWXRhPB4DKXLvW923Uy/7e
lotPsMi4TBxpAE4PX0argK2whLo/NilK8bK1rc9VQHYfgkudHKkQ64GOSNveoU1donOMLDWnYrAW
/wDfj1AvVYLI4tUfJm/tWRDIRHPP+McOubV8ALGHC2cwDQHblZyX4AM9zJaIFhdcGqCaqutOfOO8
BXYTOmof47OaLl1p+biqY9c2l8ERI2ErZRFEZ3LyckzNoR3TgshUaN1mauqLg6+1hvDHimZuJijU
393Wn6i0cap2VBLV6BytpXHIWYU4UDoPbZfaZ+pKULcDjPQHTdUkTrpyJAJ2EVGDE8kSqs+dQjlz
T5KTLi+z37QfvSKXX1EDO+k2rYeU1JCyE6+x2ydPExR3vbV7W3Fk6It8ucHkOdRHlbj+tu/Z08nZ
aRFvLV2zhuNU9bjcEiHTfDB2wN6kEzd3dspvQqbLgeEbsqx5xc6jb/YJBmH4QdbzKpGP6UDtKg6E
UPOEWvYF1fDXpqjSr3YzJp9jqIvLKbR0jAYnqLJvtPjGs6dHIQ8QDRYezagjtC+N8vEFuxAoDgo+
oko0vwwt39QBksU0CApunNhq63V+f3ZyIT90hW2+FVk/9GcFWVSj9cBqf+B9boNjktEh34lpcImH
Kwotb5po7X7SGNbpHUjFqSFiK07DYz319nearF78UXZ5E3xmdrvEt5wePXI1czGKQ1FDRntu0SSR
MDnLefoeOMBPd4TNRO5OaA/has6T6D6azlT9tiBGfNpRzCnvkAeyvFPFxPyP8XDxpYlS5Eb+kta7
cvbkEQw8KWapcXsXKr0vjtwMPqYTMUd8x+9pJfRthEEhjxcFcpofp7xPZaCbg2Em/XmacVb8F2dn
1hw3kmXpvzLW72jDvph110MgEAt3UiJF6QWmlCjsgGNxOIBf3x+UNTZikMOYnIcyq6pMCYHNcf3e
c75zh1MIppzmjYV3SSkpty7fnKgDKkd6J302RehGG8fuwUnH6qcweyclBEPUw0/S4SQCH0Vg0AZS
86ivcbvs62cirshnbbQiuE5pXN3HdeEKZmToPcKAMcgX4G7ZfEVOnwwOpKVnWz5RfBEUnTb7r4oH
9qmPDSkiHbv9IcghzVxkcmC8b2UrqjMpbWlusdjr5a/JWfIiBMdSiZ3j1O5ymWdBmi4h/XE7RqzU
qUPWMCzbKmTvP9lN5/N2NkztF19j9lNCkz2UN9SK+qc1MSC7WTD55bzEgThkGRSUq7qzkCxNLQ37
0CuLJgirstIFSLCh/9zXYPxJLM7oo2apIKewAcoSbPOMnHpS9ibAgBPYCgSPvkWOlQZ7b9wY8ahw
xaKWJnWzaq0L8iwhamdwILQNC3a3daAbWXtwCuhOdVST3jZvGH/DWuTtelbdQpiPU5Gu98j8rblF
LTI4m1R2Q3EpR2HBvUXPne1LQvZusY258YagRFMLyWftZMT/0W9yXMM/fKxMZFQuk30ojFb7oloW
LsBeS6G2rNFxzLbLZFGjt0ymArC04iFJmTnDX4ito1YqGP0YRy03lL2V3GRD1eW7ce4HtbcZiRBr
HBs1uYyAf11eMH+NH3UT0R/jcYJwXNozjc7eLdC5KJlJpL/27LpbeodazpgISfy2YQ4st4vb0Zsb
jQnYY+dkGTuNrmrucTsa1Q6e2+h9nwy3/9yy9D2TACazCAdhazIwGqzr1HSgupf+tDzNaesbF+iB
04KRAvEwKGEtXYss4aX90ZcirbYDmDPj4GRk/tJm4FqJdFhfJwDZ1bY0M6H2VVX6+z5lMhdC+CuD
/YCOme1Uk62ZvX08PfWV1/yIe0cxT2Vo6QGz9OKDQl/chTWbPBIXfK+DZKl8+xKO38IkVqNftoEG
rijkPGg+e952CYXXEfjs+tFxX9gJtdOaMdA47DhK5V9gwEJCEjc58zbQqw096TxBCjMZMo+YKvlr
W9Q0bkvBIx+i3mShzNwUkcG6AbqG1QaNXCiDzMEyEPMuLeMx3Uz8K/dVZYxlCPmvSI+qKdMr3YOr
Tgps0L1MYMQIaxsJvL6gcitpW2DH3xWsxHJHpoCfH6qR/g2dNcao23RRqr5NPR2dUsN5unsPCSsB
gyUzQGYIWXfF+JA+YT3H5q88WbO2N97KtS87K87I5R2QL5COvRyMTDJN32gW/euw0+ZY38JxtuBa
zj6NGKDWFnsqqAVRKyeueDU58UU/CT2J+tbVvxErtGYYzmoaz0nXVt3Ma0ULrmViJMAoIHaEHvFa
B5EUOns2QwZRE9NT6umpbIfRkRe6lo34B5vkJ9ibiUm1AduYxoexmxqI7dRh1sXs+mRuqMW8kMvi
HoqmI8RkHNJHwTtLAZ8kXw29dCK7b4gZIfazf/xYiHIqOOdjg8mOHw7+CkmKeyLiKKu5dEemJZDT
bZvkMTM7pp4XMNYZrWPZlwxRam+ib8rw7oyExDvVY2IIXpWWjm0wHea/nxybIdXi20UDn9gx+1vp
IFGLB9swYQUHOsGCfLEm1OFMv/M9cbAq3nauO7v7ylOWtcPcAMIhMysXjrCodQelu09rn102EjkF
yJplhyI7u+RDl9z3qlKfc89Uy42R5bB+qVdVQREvEDBPBtAX5hku4Z+VR4uO6B0xdrt0JIV2YzL8
YcDCkMaJuniqxA008/QLROjVo92SEjdpI/LwuR3UY4Y52yKIZvhpIWcKaejWXxDByjsGHR0go3wi
3yAdye5M+sEjfABpKbkgqc6l5ia52T0lytJ+T/PY9bc6MDVFXreZf1+mxWzmDcW2Vj/TdMYZvmIc
vTB1muJnRfL2fWLMln4nSbBjEo6cbnxIk25c9oaN7IoVOm6+ORPZb2HfKO0byhXU5XqSAn8HAa4a
mqylRkPbKmJjV41t+zV3YVqcU9y/0Q2tt53IJXMFRKy2xtfvi02vl+47eeNAIIcda6y/KbAjHU0u
f2QNpbFV4HT+6oLi6+i2RMLHlberk+Uaih/j5soeb1XGb/74RXjjCFmfRnLLgADYoEXQ4L/+WSk9
E5PW4bRDhCJu+JjpT0GaD3sbOAs40bbfE+7AfNEPOmBoMraeHFdB1EK0G5pmCivdVJV1Ri53Ksbl
R/FqcI1M6GQ6aJHXP2owRSt1TPo7rRTJRRfAumWn0OZHItCXjWLTeXRQ3JxzIaxv3qslDQADJg7U
abhhATSeSAVdb6BwIgRy1wua2lnXU3kWdneDlh45CX5nJmjsnj9pbZldtPb4hb8G0qhfL4fE9XQQ
qEZw5xSEMS9dQa308a1679eB92CthSPGDTt5gAzE0AVTUGPHCnsLwbXvN1lRtdfCLOV4Rgj/xmVJ
tWe7yNzwGPBkoPh4fQdShsypJRMWbW2w/5J9aye4b+c+GkYdzPlMrdZmjRlltpiv6zXOyS+Fx3Q6
XqJ/etoe2CLsnqgmdQ9MxetfMhCVp2ydOKQ4U8NDwdaddlMWBKHfEqH88bHefhZ8EyEk8WDmaj4+
XZppTkrUFemyszzBxtxDHkqaLskFm8Zhi9Uz7X2WPjt+STFw5thvtJgo9IP1iiOMxLnvndzefvJj
pk488zKzV0Y4AwDfHCuwgH3ZR7AxtfTMA2Wap887Xno62iaWK1wP+ulrZsgUxJ4wgPDKvOQOAjgi
QnjUm2iwKmp6K5PjkchPfUT8V7RAzGuj2dPAYovPlkg/1r5NRVLrsvkt6R6cO10rij4EoE6bsqAc
4KlhEkD8IbXiNi5LtnyZPXT9BTKyUjvnJjm9hmBMDWYS5NGg+eahOdGzDsXEU9SmbOCROv/Ffmep
4fthn2b5ry/bxFFfW79FZVnNrGmVl9YoxgK6GQQuC0pCAOfSIpu0bxP9WkrN+jZ5SX6GLfnej1wL
D/yK/Aet98kDjT68qhhz72XTeMZuLjM5P+qN5hFaNkxGf4H5TQ7fP36y37zQXBoeUZMYQUg4Pr72
10dFvqR3NsSfvSB47EjnR1CZ2c4DNVocLQzMry24z4duZniyUfW6YVQQPg8Mo8/Z/X6bk/9cZ13d
AmTF+rLaRlf67Ovfkmhm1uiMn/axoSOva1AHXkKfN68duM7elXDNKrtc2PMVN7wRsbHHgZd7sO2R
SW4LjynGJsAVTz5DpgfjFYJXhhhoyDrjchTwWsMZxD26uq5nGdeK3rlhvlIuO9fy+/aoTJazDWlr
enowewHmL0PAQYR6T9tYTGbWXVeIHLyLwmadu8iJWI6vnIUG27ZX9Hc2i63gI2R05kzmDBYUYDag
a5yNYo91hfi+f3ZAycxfkyXX89umq2noTv28XApyX9xLy+5s68YcEDKR06C7VwmPWhnaMsWP10AH
R8UhR/fRw+Mdb1VQOeoOaVs6hbQvcUZ0GGH3Zx6P06XA5XOrr4YNLP2UxKer7AyWkn7jpMObZ4YF
YyAgP5S+JzazRPcgWlkt3r+wdXR/xPiUWhqCwNJXYRBnsrzUJ1+h+Wn1bjxTCpx+9ViHTcsDw7Si
IJDPn9Qn2Dx14GvJvF+ITtgOQyIwpha8rcnqVD2zgPAhPVkSgW/gRQEwwtaG+sM7+e41gA6r3h2S
Pco1r10FYEZzGzdt8auyNDFHFqYIpFw56rB7SS7kUyD9zL+QNAiT23nEkLIvZOLo3xJfst+eHMRG
9/Tf0pugQlYXJkEC8rtAk2R8bbS6nD63adaWUUuZPEVC9J0eOWRFke2tdMr9foaFdB039Nsxsvy+
4A0QsJtFj5MxlFz9PPImBRA5LpRmJvwxpzCeJJDa+dD3drk8egby741qbSK7bYAmxiEognpva1ja
tut49DkwYv8FojhdlMTwANkldOUo7Oph1iI4bdU3s0qMvW64sXtRGjMqXExaMZF8Bb4ljPYQTaj9
rf4WCXfnMD6nttozEQNV2aezdJlHJZJIT0sb48eeof3epe9ehs5cNT8mSx/rHRqkjhyTVLSfg87E
kNK2mvwlmsrbiCVQ5Q++GnR8Kljf1TNjGrMNhzQzCCzI8jikHLK6L6JwkmPC9qk62tIZH6xGuHzW
4riJj5YXTz8tVlaW+AaLfGgVUn72rTpQR8X00Noype6f149VsGlRmKahkysSSxs79eFP+6X1yyhN
0n2abJhfalSUn6yy6LyfReEjR9fS1oV3LwnQyHF2kwmyyXojZwjBw3JFantZkGamJnfj+XhLI+Q2
ZYsAK5Y726tq5qvdRF+R4Q+7GKQ/krBvP9OhpxUVAZOzRcQVv8LRLT6jXHH8K36e7F02rEuoG7L+
6k/0gTcekb30s1wRf+MDuTRr2ZZq+b6ZCAcF7Ws4h2TKZ/MJ8yyOY3MZCHsyuuzojdriR+j6fHzU
jOtYz2Qu/EMJ7ajaOqnfv0z5yNyxMhL2kS00B22DAI65A8K1QV22fIBSQh+gbm009r/Ngb6EV1+m
UiRkLjlze0GP3cOQlXnptGmsNPtryOtcYDVWMOAMI6uqsOiMhukFCfNLyJrNbUhrx0ZKTPabuWV8
mdyZGeJ3+jpkDm41S+V9pFXOLELL7atPIHDp4xr1lF36Y2FjH2hd52XJSa1k4KGTVaSaeL4lT5Uh
b8Oy6t/SI0cIkyza3dR43Xd2/26wdqZmnoCq/8suFsfcUUax1/FwnIfCtidC1+1KeAyI0xHk0WgE
oVlXlE8qjc0kyjsru3CNwiiiehiR22lV/Tlw8/lYIyP4iaakPbqFnzEWNgsw2MKCl3KsLe4gAJMS
zSU+GV9sNfaxS5jbzexvmBRaV5npBHylxxoh8OD0AqUO/liKb9gKFyNpkU+0YyVpdoOYHnSj9GBa
VsK4QtKpddt58Nr6isYlvEhv8bz4QZlLGlzmY0/AGcoWHlK/W8yvMKvpqPUZBsINDTUud41sEU+Z
kejTtqOMnSK3mCaGV5DqOmbecXGnlWU6H+aJ1hZCttwcEHnR6cDCg0+B0L944Go4S4bQKEhYhYJV
zuPFdn9Vi2xWEdRLgl6IDKzvUe23zzZNMm/TLI7zkI2T24WWnzSXy+qe3+iUCNbWK9CObNqpUKTI
kHJ54fujva2xAjxX1KR1OJM2uWxrkSfTccz98pmelj6FdF/shBy4qq7ImCHzAqsiEXezSUtACRO2
jFFnX8sCw8shqNrsKyZGLDRxkChCtMpFPCU5ukCgbd7Eysc0seapKHm2+ev9R5URuMFAKM6/ELKD
TQ+Z91RGC8qf3QKjvo28qiByl1a2HhOAl2cLakszn+8Hu+qCKC5d+64WCSOO2k6bhz52HXPb6fUq
D1nQSofrLGeA1x0YGf170/4hCur2aKwWTxwNe1ielZtShhCDRuIeNC/3S4kgH7kJkqV8SwsfV6I5
kIeYjooBfjOLOQkBDJu7OaYVGhpT4EQa/0cTesJDkJvqTvvDTR1qpImAD2uLaN67V8XE8lOnQ/yt
qpjVhxJEEcsPtPRb5G4OHpM5Xx4XyF7VZrI78xN1G4hqd6QTcYQUturZA/xK4eJ0zZYA9FKjfWVq
5mbSba0mmUf3yktmTdNTPjEtZR2fpvSBlKjiZ6cWsuT0pk0Pbg2BkwVLkyQzTrHhfDGYqwCZ76AE
XcBf0PBVugmfI6ZrX4yixqU/oudrIkad7lafGfWQbjCJL51IzXHb+TWqdJYpps02TEL4HnNgL3dt
rSc7LUC4FC6LnmWHeaBU2iDkNvSdJqyKzSlTAHNfjtj8lDX57i61h9QlO9UgkjntzeYFx1uPIKYU
XOe0RROB3KZ0fSSJXoSF6WLu4C/grpQ4wxYzm9YedtP+8BnC6rR8TUuF7jyRaDm6Vmx/Fr1vTeit
5WjcTebiu4+xy6MX4v3lowbKid5WMMYg5R0EGNs8j5MHM8fMgwN8nPYd1UPPQo5Va43Ky7kiA61P
T5AieVcy97sJegRAWy6t/GbNhRaXmyLRRm+XsUrwZ5QRwMBLtDLqvAlvqD6Zes/XtCWFZyTJJ7tM
K9t4NNQcVEfa9vi/aNcPPwp0WjXeizbW732dnCpPAvbZIkZKyQjg21lvCLD+MjgZGadpjZhtZ3gp
bo/ZB4SFvrVYHR5BxfCsTJKHglX5B9rvPOMiWra7Vz0eDuS7dbabs0k+eake/3CMJZgOMbc0SotK
fC/YKC67NquaFy/xEfl1vJlVKEjj0bAsNBVRLXiLaxangl6YUpmno/bg24UPwxmWcMTYCR1ctdOl
x5aHabCxjOqgkQ+UhwObX3bDAL1uzBJczyO43pjZrTa13m6QjftpKPKKpF07Zx0rXavnz5Nt+egt
syJxKA+Wq7Ep4HMCA6qPRPHaZEqCb913Q52gam0c90rEsCRD3cfwsIsXG8/klPlY/fzJRPqs5UMO
mlcM83KPmU8AHew7m4jZbLIJ3y2qmTm7G+TkkQBS/Dl1Setv5kyY9j6fCq/jOe9p6i+6h7Zz8HkO
gkR8MqrcTJCjyf5xFHO5UDE6dliZa4cI3n2ahcksGIdX+TChO6N1VpOl1k7tjieFNyix2PIRajCP
V4xz2u8ArnAeGJM+OrcaQ2UV+tls3CwI6lh6FkNM27o2svSqHmrZbcjyjL85xCK/tCwnzmZUudNc
1vNo3mGGY8CD+XkoXKJ1rHra5qKd8gs/A/W5LSoW6yu4GEKsiNNcRHwPMjsylWHHN7z0i49ubpyi
YGDRutaYwV8bYq6dSyko5u/tJiHbyEiBeV74NTdpu26lkZGk/liFlo6ybGfmnUMSj77M26DQbXQ4
eeM/a8mU6ixOSCA2NWAY/5AmRYoDeM4WjXIDGBDhCqh7643HuCa4SWP2EVvDNBY/nFTRLreF404N
UWqx9COq6mE5UKDH5ISmjcT3D/rB2OYm6oYIvSS5vONUUigmOmaVZ+KDkX+UY9MafLY0zdr2pj1c
g5TWqguSPrLviy5N2sCyzX7ELvc6xF0jh6vGQCZ72VZW6d6CPHLHX70Tj2NUIOMfj3W+2PdantnO
noqqZ9VH4TbJzYz2o4oobYKvRmrXhynNdH/D32LjceqB3txlfeozghjNWo+IE+XfzjUNd5vt5ENy
ldlJkD+UriJK1WX1Go/KL5P0s4cZc7VDCiuJsiLXq9tsQU9yXUGLLXe4QxL1bIyJYDvez35ao4EG
/eOVaTzuGeI1yUMJHht7QDtahmTo4/bzziWdNkdiOJU+o9nUWAOv+4D4YJdIaoWQX1N38Fk7Wlpl
3twnQ4+MnWDsVoWWYnZF6jP90i92ajf3qB/xui8p0gDKy6x61uckC84lZrztIVHpo2MxfM+1Aiga
rzsodZI5yAMSuUeq1twAgfgmMPCpDTNjfSuy6Rycd22c/dmxgRzCnACOiA+wA+LWSWc8YPNdqnmW
+3wuxqeexIGQL0H+oNJB7phWxDIMavUMZ0ZeU++e842/d3gaAMDFaB3RqTw5Xem7dJiJuiM/WiFf
ko0G4qK37e5R2Wn/FBh98qscGpRTTdZfaZb26+P2yOnx14kN/RHE3FwI+rNr9+QPhArt07nrMEvt
adc0/gYHF10Y6rEj8qchguLRRovfjKsaD009tWW7/fgHnLYl1i4I8xmKHYOuNDEWr3+AoJrQgbzP
4MJQkyO5Ti60TOhfAk79ynfl+NXhW3ym8/4GnbAelVYQuDCXcSVl/uujJljzTJLxQM1rxRMTm+xi
VCSJmGhVs62eY3JIct+/zA3gGiWy7wfQEtWZ/s+bSw8Fz/mNKVjTRMiBev0bfF9hFubO7FPK0IbQ
RqBul7qSowoBILbLZQs5qn5IW7v7WQWJfgtSZeh3H1/+343jP59/iiqgJqALmMO6NMlOrgRclrox
DGTi+ezMNvuoNeZV74RafnZOq8YHZCumF3a0U5zVIzf8MqnEs10JrGm4HvLeKK9LW5naXVEHTf9L
DaLEBJy5XnKZ2F6xHCgB5nEzBgMEmFEsJaHpwptYvFP0SHbqsuBq3SyjokUWE2qDUeqXy+QjqJ3a
tFE7YetufMiBWVWP2C/s5hmduG/e+LnEeOGksUwO9IAF4AsXPNWh9KSyw4IUQrmTTWCXWMhxHBJW
Zte6wjDsNF8YvM9GJKVZ/cQ6Shyq6pAPhgJw2Gfa7wbbHagp5WVBcrJzpkv+ZjBJUgsufRpxFmwc
x/sdX/XHO6cjop29QuEsA+u8nVDG7OKGEEenNbOnHCHIlUNa8IUkLmrTUF3fQpMnmFCss3M5Z2Gj
i+bw8WNgvHkOGIQxgPMhXxL2SHPgZCEYFlEnGhy6XdD7cJ4UTjPtYqhzQ3sa5gougB+POCPRUbZh
YgVLHUmPyuimo1/GO1LDCn2aSKjojsjaZn2PesdoN/ZI0+Mn3ur+ycc2nxzmmIZRpGqN+GliHlB7
TpPzLKTju9SuXvtF67uSKMQcBXAJKLfdJZW+xAfbxFqwka25hpabNeIMOBkoXqp4pjYkp76OyiwW
6AZlMXqX2DVUfUH3w7HvlZVPYlfa0GU/+YObtEfKTpK8g65JbXLrLKVtBi33rwr4h/aWSarzxWyX
rkTo204dzXIZ11+F4RGPMQ+2ZKcLwKPbNQSz4fbCCscWmbAf6sxhcNBcGOaQ380Uqt4F2x8G3oCn
lzyap7yTt67Z1XQQ67Z7sHOh80FFnjMfXUBA7pM04GYlWm4hnkKf4T4m3KgnNTbW915zpLjsJ9ov
EamUdooE1ozTXb0wXkEh3aPLTc1mWXYl8rLsRg2dYoPcL/5ne7RnJyxEsjz0vFhkygMRcbc5tUG6
q2KNrprnVCpjPycDPMQ5PgXEDAzDmBMG440z5kGzBdNAxxw+ZBdxF5Z4i8dwLna948vvokzIAh9A
rlxMRoIoVqZ5v5MTab8hVRynkMrURcGk4HUiELD7TRBXhhb1YOWz2zEHcXPR6BWPOWm57hh6iWjU
D3inqPc3PACwmaGtDmsw+IT0+yrpgnX/avQax0rcco9+1Z/vRNHrYpNpXv/MloxCGOkLSri+MNPp
NumD1n0wZFNeIGYyUI77Lgm/pDbLPaKnxtjFRpGk+1qbDOcSJyAnnQGJy4hlreJnrO4w0IPCtzuQ
DNCoqs6IX+x0wA9VzgrBmILaeNGXk9dfzFqHlElza/VUFb30NnSCdXnmK3ZaKgE4pO511vCbNTzF
OtESQDwXepotCXQt4HjJFHT3S0fKC+XMcqx50P7hHHc9HnXCCvXifhjeyQeLYlTK0eR4VqVZn+AX
/5jxuaQhipO/UqdTf328Jr0Z4nI8UNl+QHAEugUYrK8/kJ4WiBJIDG44z8E443XTbZoEuw4f5Ne8
giwD1GokWzIYm02QKdvYDIE57Zm1+19NN/leeHrNBtm1t2rxQMzCjs79sI5VFm8DlHIh9VBzVYix
vkqxReM3zewvH5/D6dh9PQXOwCRF0eO/6yerKvuzOJUF1L1kAvuC28DYefiitq630HNNTIBoOm3A
K4ktYf/xoU+i55h7ExCCqB78Gh92WGwn09imkegiZezu6gzLDfLFAkBur2ocZLHuyOCmNkf8RMiN
kbr2boLWQ1P58jwNrSO35gAFPKRohOzUs8fGqGdJ88AmE28D+K3lh1u6PGvuQmMCpyebmBB/T5Du
fEciZk7I5r4WmReAzaH/dC6i9c2zzxCAa4tqhCXIsE7LFq0e46RuRoE7ec63Lv2eX0kOz9UwMJqi
RNfyM3WqtY7j/iyU1vSXFWKPCo2KkZr59dOYwBoEP5S0ezXrdL3jhLgZks6h1OG85ENgdyq79GhH
VHsz6Vxzk1NYWVscQJaM9CErZpJjdQwm0DkC5jpuVz3VfWkPKBAyTAPsx/Ahe6mFyWhhWP2kVXJ6
TMw2S45IiWjWZ00aluyKdeLNnIo9q50PxwINxw/B7jBS6/SY1bd/+v0g/aMoslvxUn8aupeX4fq7
+K9X4WL/+i/Q3j8aQaQUudH/us5+dA2m0OH033r1h/p//f7HEMG334fvr/4HYwPGTPfypZsfXnpZ
Dr8P8O9/8//1H/6vl99/y+dZvPz3f/xoZD2sf1uSNfXreDF2ex8kkqmXny9v/8DfeWSm/Z+UcYgO
QGoyWKU++SOPjFfOYOLMzpLAJhtBQt10Q/rf/+EG/6kTw4hiymbTwsyXarsHCck/chzyyNDQsSdg
WO2vqtP/feJ3fz+GXLP/K0T9dN1ZfwByLzY3bGt1/TeW+I8SU5ZWyvgvsENNrKZAIb37svD6rZ0u
vMN8uH6ZeB2iXicHYvPHNfr3T/kzhGzdMPz5nqyHZsVjg4XODK3VyYaaeWob9IVwQq+Dx8VoWFxn
eOm2PlCbi/+fQ9HnJYOS7dHpLo56NjXMpcZErOx2WxUTJIZWtJAY0Sd/fCju2ZuzCiiOiX5kn8pu
7fXbbyQMRC1mEyjRIRop6eAkJnzpDIP7vdtGz8NeeZlsM4KTzTBsuCSPBZEVYnGDw2DNMSJPXVyQ
TtEy1fD50E19RyCWzOmdf3yG6999et+QPCOOW7njPLavz5DS2i3zHEd2qyFxxYXT1UStAcpDqQXu
ivZwGCtMsx8f9b2nBT4onj/a+8YbhmFQKqE6mlEhtJSZNNZ5CluZ1YAqi/748aHWW3Rygia1i+uR
ecLr+XuB/+Od8AeDxitusrBdRX6oahAhuHid7t2umLa2CUeLeXgcYbaarmPRW2fKtXceIR6cdT1A
I70KuV5f4DpL4SOV3Fz4nvml2QSDG3IzB+fMcU4/jbyAHMfxqDaQ/OHHeX0c6swpSPIcHQAImaMY
EEdovttfiTrtsG2n/uHj6/rOLTQRL+q8hDYpcaexBL4GMpS0drbcumEd3ARJxjyTOsoM4Rzy8t1D
+fRE+BLDdfRPKt7SJvJL+JVD17j9UXbC2yd+OdwTKHMO5Pvew2JxIHCvuDi4Ya8vIra1oMehwkVk
IxfBhzdgpSIVucaz3n+uJmRBoXJE+qSjrb6Cj1xtP76q77yOdGYMmpKus4o2T+6ip9VGrpmpAyXE
1D4HscxCD7D5ER/u9IiD2Uf9EZRnbuU76w9PKEJD2hIU+8HJGtBMM00Gk+vbQGTZtGSfhJVvOVSv
SrsosFntZRc4OyGz7tfHp/venSVTkiXA8Pimmifra8XQRg6lb6M1MBe20NJBFlU4W78NtDNX9t2T
pCCmkkMsyNj69a01evzmfAHtcHDZ4RlobY+TOxl/iX50rysaLHeo5gPMb8KGovWPT5PVxyIAm/Qw
Ws4njxVetDzRBQMlRuPloTczsqlweK4ElPTMvXyji2QdAD6+Jnw79MPc0/WuR6FYGDrHSjrcDkEL
HhLJgNzxKSVAYi6viAM2mSW27ierahg95N5PDUXDmWX3Ta/19+/gOiMIZXVgPvn6etPrH3ED8DtS
C0kBu9bH0auDCDYMDWVBVz9PHWQVQf4tJ15np0n95eOL/s6CSIkG/NH0ce6/0T5jcARtQN5T2DOc
IuDIKS6RSKXMJmGb455K//k3DQ8O0G19LRAJ/n59wqJeQK849CBhwLQ7HVfGFq5FFiW6ds578c4y
hS6Y99Vzfhd862v1xzdtGbVOd+LKDkE6oHLwRt/c2MasPrlKdse4ctxD643ixROqvO1GuHUfX9p3
Xltyy6AyWqAuELOfPM+MJfW+1uB3JI6sQmlrLmzfFKsvgbH7jw/1zqmSyERdHKwiW8ro16cqxDDW
OrzTEJG0fjvbVgY2cxSbXKX9jv6Tid4FcxhQSARFqPeijw//ztf7z8O7J6sGaG8taWZ0Kz1a0C1v
cbFr+7k5sza9flR/V+oIXoxV6uDxv5yTR0d3ZyVIwAGYUKJ/sfBCffG8xNo2yGmimJ72OVkoF+3/
1ET/Pp61jkHY0XJVT44ngOJC/A1EhMyk3wZdr7ZYr7idKvsepIDMP76Ir+/h78P58IXYt9MNQR9+
8lHTiS/RgdsNkQ7yHflVkexIJP5eCDvegUA3LsGaNPgAZQLHM7XPrIivP6n/PjpfNwYdLhutUza/
Jg29z9YNN0rRgdVotjaF6fYXUie/MCuVEXVOb919fMrvHXTdJPLkool/YzcxZKLNppF38K0Ieyhr
VUZ6b+dRAMDjlwds/N5bpDpzW19/4n6fKYp+bA98SXXaZyd1UpyXuQ8moYu01lk2NA6cQyZmkCXt
4tE1A+uIgM2Uu2QR1pmL/M4THPB26gbOK3TX5vrT/liRZMzmviLnM6oGOmwDWL+rQeBp0UfPiGir
68ePr+97p0qfa60H17mxu763fxzPoymcmybgXnR9oL8wY1x4oPKQu7vuVdmULVoVC4aGKAbzzDr/
7qlit2S/Rj1KN+r1oRGfVl6ccmtnT+WXgKIwbw/DtEqUPSR307lL+3sGc/K28iStLhCyW1j0T5ZA
fTRdZih2FwlhAUSqsC+iAlpwHjIXe2w8t/VDKEkQoBc7SF/S2g/uclJOjhYpZRixlXeuYDwpMv5+
0ugF02VYTUX0PF5fg0JjfIWOpkP3px55v/xdABFrm+QOxBwYU5upM92rPLFwyusdGAOlrB227XNh
0a8/RH//DprT5Oat/WKq19e/w8vQX2Do6CPiBgqOPC8XhUpIN3Gb7MzL9fpL8PehcNPR2XFtnaLi
5LZrQa2nasyHqEq84NqGMLQfYzE8f/xcv/dwkfNmWWubaN2GvD4hgy9dOrvNEAWdUYGaCModnCXj
UZeu3E56nf+z0vTfp0Xenss6RYfzNN5iiNPWy/R2iKaurHcw3ScAXRYScgsM4T8/N5fiiNY4e1Ue
5tfn1lpJPeeSm4VQvI2E7tWHBUU+mGUJD2se2t3Hx3vv4XBpuDEmoU0UnOY69msGQIOGOmq7Ue2k
5wwHsRLbGKCdizp9bzmi6nORlLg8H+bJymtPOt2TNCVMs1kVc85Sf24Yzd2WdmKuXDlIITCVoalM
8Tn79UnW2N93kNxEjJQE5NI/OnkXF4GkZnahbfmV6x/7YAF4kcFWnb1x2CGMkp+zuY9/zBlgvLRc
AjJ9EjrP2tBAx0vR3t/CkOnDakIieOmWJuNnW0vjo20AYHdLb/bPvEnvlANswrCzujwNvFEna3ds
9nFrBtgnFGCwa4L+rnBMGJA6gW5OySRv9Uyzvmf9jIminoLDx0/FO8spMyoaXh4eCOrX08eidPKZ
RmbM2pUWoJxSZiXR2BJZvs00iPuo89Dkb2i4B99Fp7nbXsqh3/h27u+Dsu4ec2exnj7+TW+vCB9P
9t1rRU+58Hu5/eNrZgvRjoNXiCj2AVJ5qfQ3/8PZee3IbUTr+okIMIfbJjvMaJTlLUs3hCXbzDkV
+fTnKx1gb5FNNDEGbMOAYa2uYoVVa/0hTp3+eUGJ+nujzsYfmZ67H4u2mz/OdWJ/exz+fvXKu9tm
SqjdkjxsktzRrI0JEAcFD8tBUrrJ4KJCXrrq3aA8N1Xl3pYc+VRtbsuDLbp5JcrFSxuH0xsIkuRt
bv3m8KMNHXNQCO059q3GHuvKhaUa16aO6n8dZbGfOnuK3ggvrOOzMdr6ew1r+T8eT8D9SQFRVeVc
p4NiYZW2OXVjJ9SWqkTBH0qUE5i5Tk9RaOl7Z67mp/8SiiPUk8xYY7v62MVV1YeEQlOn/9EqLQpR
XQsJj91oH2y0ve+KdTZpNw0BzXE2G23KMstIDYiRkOS6BS2hCZ92o4eDAFt0+bkArj81DdJGZGhe
e3Qw7S1qrktOYBqh0Ff19XEvoJqgrRgjSJTF+pvQjl0ohhFKQ0aBLKke0k1raallLqw3s9QO4Db3
FynoOh4b1Ft+XaabzABaWOP0el6f08EtEQgdkWVZYluHhqlWNy3PXp8WQnS2aeYw0/Qmtg/VcUZ1
yjURwk8xI7vhgYmiYCcsvFfRyXyTRBpI18dL6f6N8Yta7TryJEWJYfN5Q1Rv6GkD3RgpLqFHmcZv
sflyqNN1CA0iJAT6Ksv+w45F54JrziQub7rNdTNWderCHKrQc+7Dq5Fb2VthdNFFWAARQKs4z1hU
SvGHCFvctOqzd3YfT38/HvrOhuWmoy1LqZY2wpbX3rl66XVRX51bc9R+zNpYXOFRFBeks9qDs2Fn
IXE/0wGiwUXp8Jfp+G9n86Jqcpm2+DPAg/yn073yGZ1OcUJUCamnLl2ag8+6dybKHJN3jazxgMVc
b5wuxyJsdnGEoAY8Wlh79WFB2Tf7ElpKOJ/U3By/N5yl9TmhBnTtLDvsAyMKnfz86lk2ZJXJ/f94
NW+zh/gvo5JbSXPm7Ma+I/daemDC1ND8aqgtPg62s5oZKtIMFtoIKlfRetSLi8op2IXmnM299XYo
CnTV7Mm6IW/5kcM/Oo9Koh7kAnKHrF9WdHHRg3Aw4aBpuSXHWhbq3gkqz2dAEtqHabRAiCD19fPx
yHaOYco6xJDPcmrcm5Gl6Pkm1gwaHukjA+CRkaHbn3T+4pCOAbjmv51SAX3murhx+h+WL+kvJwTd
J6k/sp7W0rBb1FEd8m0j7FBsTkZ/RA5HQMQS2tWOKzAij4e78yHJImQnk1o7K3g73H50KmSfalQ8
C6yJenxK3NiZvuV1+LfajZJINir665cqWxNElBQgsFRzc9nkI4SOAnmtc+0k4qnIPPddPy3lpxov
oz8fj2/nQGB1ajpXC+uUuV3PqFF3Wq1AJKE9VGZ+3SCoVoaF8kZLXLhadlUeZAw796jpeBqYYZNs
CUWwdTy+lQMoGckMPY1rqJNsDB6js4M5ErZ0vV1NL63WVlw0fSjOyzw7B7Ws/R/g8qqhZMg62gzY
GhFXExY/AHXZ8nsb5sOLDj0S+vZQvNQg8k6oEUWnoXSqP9NW//r66XaBMlgIiBskKpvo6ZCnoKNx
DSTDQJQjdJv41IEw8sdRF88c+MX1ccD7B4Lsa4J+kkAG/sXdnL9OQYXNsnIPTfTMuWFUloKyE1qg
KuJLmWL/MsYDfusL/grAw9P/mdErx4TQw1xWcccDd9y7I4ofQ08XZS0Vc1zoAuuvr+JJMnhm7wVJ
M/VvW0ywgtkNzcvjMe9F4ZkovYgABPNmXkcJ8ducswmhKsNBVgKG1QKfpD3qTVn8KavjVtfJekFT
0RGmEb+9TyrGCI5QRzkYKwEfI8biSWsheWApG90eD+g+FMg3KihcJGBusDVfDwi6G0ebrUIy9aLy
28TO+MOdO8efmsQ+qAfuhCLbM+nVkmmrwETWoTycPim5zXrQhNEyo0qJ3uXJSCOIBaIy5/TgpJPr
fT2JfCJU3shG4PbSp16Hs1oYBKAejaCd7R9KEY5na5rrCx6ENECKSTmYyLvNTyTJliDHpITCCbQO
p2VzZCyO0Om6xHGQlHbzLk3L/r06WeNbFZGTZ4A/yCKEXbzcxrZVzKPtKCNsBgw0xeGg9ixwoRJX
tSr11lVtJVI1dOSA7fxIC6VzSijMr/Hoou2Md4PxFZg3BOgKV5gMMFA6kxQLrYhPRtbC6X68tuQF
dveDeFJpaGtR/NzeNVONWKuWF1j4YVjy3a2xQgKI13zQo/zTjCD0Z1Ak/T94yBy5Oe98elJRELge
JAKKhJuDCR2PTukb+lB5lczPKAJDxFajHo1f1EvAudsHZ899mZcjHwUiKEo6lpq0FNZT7yFtOIgB
v1vKaBRMWg20jF8sLbsX6xyMllED53kpwgmK8UyPB7XN0swVHy5N+++o6lT3Hs/9zmbjF4EEMehc
Ide42dezBnej5IQO9HlOn6oG349anb0zu7w/CHWfh0s4Ddc8n5nyO/ffevTY/mptJMXHDbpz5xRh
hPNUZeObeTTLC9Sc+IRRQ3lelgl98hF2LFq93cHhsvPJyU6xRPAkOuvuC4xYHGIPZMCudrTmqQo1
JL9DFNIRj67PE1rTB6fLznaX3DDTk/J5Mhdfjznpcjg8GTRNA4g7BOu4easpjfLcuaXyj9YhRnU2
Fa/5CFBEoIpIanvkW70zYkALMt2hIk15blNKTcOEaiq2YQE1sexZV3uY82G3/FFCBf9nqjyo9Y+X
1M52tnlyUKOgHqPBPlwPGcHtDB34UAsyRZ3i5ywy4meg7pmFcrXVtD6NILc5lVWB2/xghsNRBX5n
ynl6cIOAMEbZYCuDF6cWKAE3VpHeWNKLih0x9Jg2t681yqh4GFpO+zmv9fDa6OPio1j5H+5KEgyT
CYeTdz8BZp62IBPbJZimAfwyNtGnSoNPjr/CFDye653cygS7rUrMGGcL+kfryRbRCIO3dk0E8bFf
DbJ6Mc4Ta//FjdvwFKWZ861D+SZwY8W9ZbmXm+RYmvVubh04yVYfH0gk3n98rjSDuiOMCrKFbelz
psyHUnFjBYiAIi+f2AIXELNFD2/Jn0vcDtGBbscrtemjqbhPuahMUe7lIqeLBjthPRMZShaW8ASm
MTgA3PAAGp8xYDQPsLL3u4kUSMKO5eqCw7E5w5KZ1jaeQVbAtkKrImr0a9rEZoBHuImkPgfIwal5
f0ATjpQVdiFtF+yi1sNS4g60M97PmGxmRVCGYjkbRpec+NL15fFi2g1Fo4xCn2NDZt3M4JQProK/
rx1wGWu+O7jsGwxWoHk7R8fi7jSSfXAgeQaoic2olqhNFC0OrQABkRcxpNElMXLjPMKO8+sEhYbH
I9tblZLf4/DcQihsSzpQdWVabI3XnY6LxhcAwTDBQVT7vd6ln+oF4cRCM8JrZaM88jjy7kAdal1S
mozX+2ZOF7qppTFOzGmC++xY43kqoKy/Lfsuv9EvOerG7MajH6NCLvpF7VgvF81FuyiiDhYgojLd
HHsqvniRxbsuD8snO6mPyEz3hy2FNbnZQfVAn9hqFaJNgclCRrwJqREYG9I9brbal2kpzEvkZfZJ
GdDqclGtfeohYR0s2b3h0vikzMV5T41ksx17URdGljO9ej0jMhJaxhVIU0RRHkePRURH/XH5udap
KixZ1YYKBNEX9M1m3dbzlJnR2NpBFqbt25we9melsw1yxz4MjK53LpEdHeXHu0F5ysFzQMWTksX6
m2LrSVXYrewAxKX57EVI7sTw6s41ss63WRnh0tS9fjCzex/W4VnJm52XH8S4dVBNpIbXTKUVdEh1
t/6AvcylA5NinrR4tP+FE1qMyIolGeCYpEQ4rnXiL6/fOwAAJcaTl+Bdf7uP52npUasP1LCHNC2M
EUVKzAdrZemDYeiPXkZ7i4k6FK8yrhGK4ZuXoCfcPC8oLQaKbsw/1SLVLqA9q28ayHoD9mOV/Xg8
wJ0Dl7KX5O1TI4BcJn/Qb6XwLFeRrxswO5o65M2GeE4uGO10Z9T1fj6OtDM0SgUG9XbKPlwkm3Wb
9hn6MNXiBDUwa9Qt/oItl5yTJC38tLGPuvc70cBcg7gmKwG09Yu5/du4qgy3hAX5y0AdDOpYBiUJ
ZzC0oMnw0+lQ+T5IOu7jcQJBkQGnL+sG3ibFRVssLmwlic5ixrPM4YL2J7RC/ALjb1+gRXKQBPxi
xKyPARu0Dh1ecnueMltdXKj5LponPBbactZ/ogHl/sQStPhYTKP6DtdA83uBTvqHOE6jp6TGrBBn
eCh9apFML7QiVBoNpbRgCN2vJLC8dx9/bfk1tz+P1w1qHOj9uHyJ9bryDIWeeBmHga3n9o2dWfv6
nE9Pj6PszTo7xeTs5yIn319H6apRwMWYwyBJJ1RjuwqJwML5Ujhe94QBxMEKvj8EaclxwaCt4Ghg
huSv+W1NGfT+yBw76WLVjb4OtBxl0Qq7gKgUl9hykEiPyyMc6f0GpSRE3sBXlmYAW2SFaaRdGttL
dDbVHHefpYj9NIvMC2nGq9s1pHZkzaQoIOFkoW09vmr0FizZO97FeSye+8hxTqaNQTJu2rC1J7V5
s1Te0c2yMz70HjSOH8gREhC8DpqKWNB1sxNgdhbYFrUYgKw6w+ei7/uD/vFeKHqLsGmZS0Aim1BN
4UpnMj2moK4Z/9ah3ZQnG64AW8EU2fXx0tzboBY3NHF4CfIvmx3Ay8/GPapMztgrVf/U9ti+n6Zl
yP2RHtVVLYyai9qcY1+4evtTHcoKf3OEKVEmhY/a91w13mQOf8wRPkcN+Jrz4x/4K+PcbFGLYggg
WnYpKoWbH1jluRFG6NPiBTsjcddqyEEmeq28TxNLTX20ryHgi0L/sEx6/S6EFPu2w4fo2jSoIOOz
Nb/3kCMFXwEmVaB4goVNiSyCrsTlN92Ci4yalkEvs1HEweGy0d0AYsLrjqMdMgSldBpgm51Ym6B6
irCPz4Nafq5qNX/CdSyWNCmsZB0gQHHR9Yjc1joC0Vl/VbhUIScM7rscWRqMjGi0Pp7Nu5OIsw4u
Ib1AOun8c5MgSYwYPuKLiX2UEz9FZdYhZ4vGzocMhbtPuFwWl9cHZLtwAdC4koWd9b4J+xIVZqGY
PiV486bHnfFcD7oInLysnuoxPlrPd5sHrhthwOdSPLM5b9fxnGYZTAsrMt9MpMEtdBXgCeARlskV
weOh3T2VZMNPRoGOgDzBlu5O0qukowV2fZzwCDt1VIn+xYXWQp6gx+8uy1QEL5UpKCuvOwi9M0oP
CR9OW34D1/jmCFR4jHVF3Zg4nKNfBk0rD9DyhdNiDsOnx6O8y26JwP6jDIi6CsJV8rb5/TbpU1R5
WggXdjItZyVsHCoUoQjqwsE+wkW1DQeY6lOsI4yB5ecRsPy+EEx8Bxl/HhIsWaDl6/gxEcENpcSH
0hN0oTokKBqO6a12bPRCavrnScA+CrtLok3aF4Sk57eZUze3KAsn//FkyGCrs0j+GEA9UCopbNDW
Xv+YGhSE5kSwXyLdw7UBiZag7Mru9ZtU8mJdx0WNjNbj5sRTm3jUQ6cyfbD84wVVvhrfvgEgYD3i
814ZR0/D3VHxVpMsTtbUlog7QxBBCXQwffyzdBSco/JlQLb5YO7u0hI5dzwaJMiNE3GbempTAUxk
wgSbMzf826hIuozELn9kNE0UH7C8+WFWXeeA4Lxz4AG/5YVPZQFe2NbGICX50/BkNvxE6+0/O70s
UHCya/WymI2WnnujPaoN7Udks1Dbo5i9hdm1ejOiEC8t9cZlOhVmlZ3VqMlPBdbsSNHgR/7aNWlw
LfIWo4gMWH/b2sS0EV/Wknj6oCuoqrn9E+1G6+Acv/96RKHHCFLFI+/aEmkQkIhiytOQoZYoe6+3
bno2Wm9+N9VDDnBzVrDwrtTOOsAR3k8mSRduoyY7gQPI3mwFXkHs6YGtYEInvA1hm95MdXLP6PCq
byxcwA6GeX+mE8+kQoPEGBf3L7uF3047uu6FV3ceoOneLM+mI8qnwUNLFkNEMqSQmmllud2pKswj
YtvOQUdoKd4iPyV4vc3ZMkemMoGjNnxLz1Am7TGQxmpRP7edUwQzmORTpGEohUbHFFgF8pKKrRif
VKyGDo6f+8vFUNkUpLoQP8iyNyduP4J5slMOOUUbs3PYNAjuaL2DhtF8lFXvfV7WFWV5sjsEHDah
uiRCaD9ENSIaeitwakP4rTYrN3wFsDvssAN8vFd241nMrWQcy4fp+vzuckObwIyynFhY50gpmECs
el8GvioM2W4+eP7uTSXAEXamBSbpzohmsCeb5wIiDpmrDidNTfNgRt30PGj6UXP+/hBHk0ae4RTb
sTXaZnYJJr+2URKqdaLh7JHYBUbpHiGs9iYQ7AIFRFJaqsNywL/tj2iaozhscJSc4PieQty8T7E5
h34bpj+c0dEOzra9UwcAEvgqGkRMovw5v4XD6xN7CkeD2Np1DRlWquEiVSqwPbG96WB2+51WHhl4
3Gc8lPEYG7sAqghdqXVQJGpp/jq9iWsmjl4nJfWGD2IWw011UMykHSdafNOb4n/MTKmfRaaKPx+v
0r1DCOIwKQb3JextOSu/jRo1l9nLwID5c4JtcK4OkOKRkr1qiud94b1b85gpvQBd2unj48h7n5da
LQkO1yX6Q5vPa4iurGzke30cqJpLZ/bNKcGV/upFPY7xuE0Ej+P9YtmvEyrAOCb0Azop3GLuJpEt
c0vNbDViQ3beFJ/0qLRhS0aD+/fk8vANdOyKsUpRQrsIbCOy1NNcJOU7VYzVn1pY4glhorpmngxR
atG5ErXDoypBVPYkhmocT16cTwggg8z72iW29i826lGPQbpedDcQ//grqU1ZUyWx7fQfw+nFX5kt
yhabbbwoT1a6DCWeGWN9AG/YWWKSGwSmjXOBtGuzrvsqpn+9QBBvBPygOLPtk+Hl/VkKHqFjPqC2
79mNj9weEl59eYQbun9TkxBRnjcttHrYXNtt7BmdV1tYyyL7oibfZgNZ9VNht+rPKUf/1R/QDfzc
a4BSEeHPmA4MAvQvjTbjabr0ifknVo8RbfK4bZCJ7Ifwg5UMDWbqlLfFCcMLEm/QXBibRrRe4B7F
xXSUkOwcrbSGwTz9EjfgabDeJAgcYhGBlqLvKKYING/OP08C/yAe5PP58SrdC2XRMQaVQM8P3M06
lJEPda2xIVk3wC75dLRqtG7h1sj7g/rszoEnuUH/G2pzIZamPO2wBPAta8CBSa/zPxf5NDrxCozz
E4hWccOJe7k8HuFuWMuBQMbbWSe/W4/QNCPkVBJG6DY25uim2ZmSOTngn6LWQ/2n5yXKOTRb9yDu
zszSPaXQJdWIKUhs4mKEUoqY3+OrrVHgXZo0oHbd5iXU1Z+PR7gbCdEsnjKc3pw16xHmRdX1Ys54
McdOCSBYOBfPbFod5zK7+f441s5VzM34f7E2WYZAJq6MBnLluMvVzyNaON/R2LYPzs7dEaEPRU2F
pBFvwfWITNSTp1yvUfbQogYUd+N9Giq9fE6q8IgrtRcKJz96W7ARYF9sVmVSeXYWgij0jdqEoNVC
dwCqk930oYgPSuU7K5G8gkYILTyeiVvQ6VjgwKTHIa+ZuQX0hJbFRXFRqEY0MbpmaaN9mkVhfXv9
BwPbJhcGTS3ewOupTDDScKqRD5bPBWsxGaHx6qDmH0fZm0We1yQUUL34aJsPRvl0sHFokIIOrf4t
ast/akxPPtlN9h/WOkMhSUF8igrX5nMZzghAdRSGX8Vj8rayGm4RPYrqYFlC5eB77Q2KdBoqHWcx
75dNrFoqRuTeZPixPvWBpQK76weKmtU8H5F45R+1yRV0kmlkXQx43/Rr1l8pnrUJfWjORq1LBWb0
KKc6ffhqpCO1PMnZhWnNLLHo11Hq0nLxe5m5V/r2B1lfc0Z/crlgnDv7oz2Gt8eLYndQsjZK3i6f
nZtB2Yo3mzX+Zn5CqfSlxE4v9kOshtTgcZy9fQWD/3/jyO/4W04pbxzdUIhjTPC0kPGsT7rZDKB/
vAVJDC9/ztnbB7XDnXSShw/PaFoLfLpfvYffgsJqQSkXMzPf6CCansKwS76Oydxfmthx3ua9W9UH
Jfe96eR9QrUHvWtS+E1ihcFglw4qS7+16vKpX+q/ykjVD151+0FYJJLdAvl/c2vN2FNMut1R4SnG
/tlrUqD6eib8138xSTBTKZtRt7prc2HaUiS9bvgAmZIXlGcQMs6TNihnDFOU0H0zeeG/j0PeD4xK
i05xB/yjjZyQTFt/+16p1us13jKGn/M+CDyrtj9po+F+eRzl/nkj6zlIqELOlCWWzTnYFaMexxBt
YZE4+RXPseWNnibuO+y8ah9V6OZUoTvhl1V6pF98vwmIjEgmBWUOK5hj6/GhFlFPwMr5cG5ZfDAU
I/kKqHl4U/VN+2SYYXm2BKDmx8O93wQUkmTlUWJoIWLJSf9tUqludnnM5oN+NcmnjOXCo3OUwLT6
P0tu0ct/CQecE4bQr7rZOpyWRDaqPTJcJW2+vMTzMT7PAoFNEA4nR3ixvdFxWnpQ9TB7Zjesw/W4
OLT2whbPxgG2FbC8wI6zGFnYJPsjGwrloJ67t0TlaSJ5kSQiW2R0gqGIisyGQUHQjnw6mtNNjV3z
oAW7t1DAY1CY+lW42ZbA0hYxPCiIIE28LnnHw3e6olSc+uoyYWadNG4Ade7Iy3VnaHSREBRBoJ8V
ukUDA6P0egjZfDklmt7keh6fvZFT5vH6uL+wwX7x9ATljMEhQ1x/MLNx7KLPiTIUM0Bbp4xPiWl3
7xH8yl79mCHPkSUU/l+qqdte3EQharQLNrqe4oOqGMg2uzG2A95SV75mloMvrOiImryzIG3a9LJb
xRK5awCWzZKYdclFh7b8N+TV3WeaWuVXRUF03w2L7CD/kUfGOimRfFmQFvSo6HFuUbzI2NO0XWa0
wNx5+mCmE2Z+PUhQlGEiP2/qyVcKXIFEFBefXOzhg9d+TcgR5A4qPRoorNYmW8lxTFS92QGaj/Hj
d9cO1QZ3p6E4L9UcHRnc3y8dgsmiBR/Uhn69edcU0yLUYcGMx22yFg342Xxpl9m+8krVro/Hdc+A
QIHGRP0dCj3lU2Qa1su0VBwdt8y5COIJd48EdzWsyfT87GFI8SbqRfZiCTSQRGxBDFbEizm67YfH
v+F+PxKXbpW8pdCO2QIPQNEotrGghYMWr3hSE60+R8kSH5zXu1HkXUvCSfpnbhIzXuOs0dwtgkkf
+ltClguygtrf47Hc7wqZqEClkcU9RqWvp9PoW6FkJUU0o6PcbSTL+KT3Y/Sc2NNcnLAJ7Q4+4N6w
OMOoSUMYukd/R2aHUDJwgmBpjPZTr2X227F2u4PseW9YDpgQ8Cu61LfcTF6ROujbLnEJXi4zb7FA
AiBfKhzHVFGcei06ind/LzCDv8WTv+e3u3yu6CnDTCkDZ1be5uChviLMOt8Sq8I3dHG/917sHWS0
d0OEUkzvSwLoKNfdcUTUsBzqIkLtVeiteRrTwfMn02lvpkSea0l1BNu/2+TEgxJAFcpFNfROTg0f
96Xr05GVosQYdLQ1jR8DeAO/sj84vDaGAeBjZCz8y38tErjTm0xQcDxWCPkWQdeOs+ebk4j+ZC2J
984yjEjXYeBG0w0Hj7nAf6WpPeMvNUl1pJQzNX3pl1j/Y8Gm5SWfUyRxs7ygjiRG+spmWfyF6ge/
vyiqrzzqu5tmt/NHKtgjkm1Gg8lw1R4kerszx5lFA4Yblm7penGUNTLPgu0UJIWwXybVGc7WyGPH
7TrlYFHcrUM5cYQBkCFVRrc4hEE4hph4emNOPH+3Jrf8awqL+VqmfQxqvunS0Tfz5Ej5bi+qRIgB
SuPvOxIglqnklIbAjE3R5rO3iBr+g6WcQhRzLkWvqMD09SPnrL1ZpVgCARn1RsB+m5NrwfI5bGwl
D3ILHbI21eegQ4CTOmF5BOTeDUXDB6wZWoK879YfcFq62YlACAQ9iDB8nqzGz5IpDGIq3689j/mA
KOoh8A5GQBae1qEQupzMycU7sp8K9+rQVQtG3A/PClaAF8Mrwv95fP7f36cyILBFEwoCkhBb9IUi
KLXpQFcCTURpe9LMypNGmPnz0CrVC47N3RtFYP+spVn1d4Jt+NlR0+rgRt1ZQEQB+gFvjcbDVsDF
K0APViW+QWgxOEGbGJj8CLM+WUhhvPNCrznZhVkeBN35qhyd5ISU1bn4tuiWrughK+KdHKBhmJxD
pIi+LJrT0XoBKfF4lndDUZ9CdBh+B3nZ+qs2JY/LeSJU1KrRtevy6DK6+vCus9r89YcNiB2pKirp
TndNetQHR9MoFUKNjXeqwsW9KAgq+VXZHpU77lJcsh+pZQesV1p1bYlcUZFKmFKYIQRTeIEaZda1
Rqvct0bP+2lbjTiP+FLeWolYQFTq6Fm0N6kAs6VUF08JChObSSUjwuk1ygNcA/PTOCgot9aYBmt1
OBwUdnbuWmCmAB9kh4BDYHOCL04a4x065MFijCoMsrb+nIcoVVVhW940bDuvj9fL3n6gcEr2ZwNt
ofSyHpoxUCTB+jsPskivnwvHas5VrZcXdH8WP9NwQE7jtDk4euQgVi8W+Tl/C7q5dJO5WMYWFc1A
hAY+q0ORz58hddvXqswc3F2M+OJlDhZrwtSzb48HvBubchbYC+5+YJPrAbuamHsMnXiuiN54s5Rq
fyIzBDHZGbHflsNf2Kppz4Owj4B7e4uIyrGUw0WxFbzJOrA3l6WrJEkeqP2CJxxv3z9SlQICx9UR
LHQ3FNnar2tSyjatQ1HZystaLXMoBdrHpcDstxodCMuDGh5UKfYi4VgKdQT6ERIQm0ExacKErZcF
YOtw/e4W5TyJMj+nwmkvr/9wvMWgvZPsgUjc7IySumBqqxw3SISWT3ORts3Jy4tPTdMqV6OGscwl
qdAEaMUfjyPv3VzUIum3EN6RjqHr+QR2ikDhZHHSLYoW6F5qXJpW7Z5cfP38oRVzfHIS9+uIdWN7
wsIO4ylqbAep6t5OpVkOw4pjgVt7M/45TDJZN8mC3ky9p0GP0eozy9hv8vIvzUUvm1bOkazb3ROK
jSqRJlIYkHfotitVJ3qB++5MzAT6pzC74SO6P+5BQW1vS0JKQbpI1jHgfK6nty+iWcQdplkt0jLv
S5Pv6c4ivHBbfndCq178pnfqd7ONnMXBpO5dLNL2Ad4cYElni2KeyhEZo7bIA3PU29o3+2Q6iy6L
bpaVtV/Tvnb/cj2snk+tW8w+xoLqkTPD3oEvGfjgMJD3ICvZDH7ImhjxURzDuOR8ns9gQ+IhDSaV
6k1amkeE/70dK29QsncA1VT21/GS3NaiXiGelVq5787eEmiNnV5ir80Pduze0KD/8OinOsS23YRK
W1wBk8og7fES/eRVrg2VP+xuuV3O56lbzIN1dD80zlcp4knXjOritpVvm6224AOZBaOYPkUtRue9
SqKZg+J5dUIHBIOSjDyL6I1s85Fcinxh6JgFRVoP10llswOVHy9FO5oHK/ReNEDCPfiLbrS8prfn
nteVJsXggoxVScQ3vctGLEaHBOEplOuXzzNNvb8nkQu/84aEprg1fByr0j7pqHVcimmqDk7D+3OI
HyN1UjkSYV9upepyVXHMfsk4h5Uk/1KV1pT5udWZN3uiXHUKi7r7IxpwVj1IGnbjUmFBadgFa7Bt
8w56VLT9mGYBOqg/haIkZ6AHzstgUQrntT0HxWAZnx+f/HsrCjYHVQIpAngHtse+15A241lgTloO
V3DKsDKc1LezgZ/GfwjFrYZWHqcA76T1vlymIeIP5TO3oBsvlpss7JjGxsikPfKfut+X+EBz3skb
W4L7N0dO18W9NZiEmky9Oo0ZXPe+iecAL2L1Bt5Mf3r90OStBcIGWCjQzfXQ2sQe9DJv2C2l9R6b
+MrnLi8vbh8vB5H2RsZDgdUhwZp399VcJoarTIwstxOpTQRtYWmK6CSSpPuM53l5AKK7vx8lRISs
GUIGr8rtRzP1OVKcysGMUWuay+go3fvGbfUDSOTeKgT2IuX+JZd926DX9Ioaf1GnAdKm44nKh322
MlpdA2fO+fGn2hvQ76HkT/mtulgmZl/GPaHcKtPeZ32YXhHwHv/DVuYdRSMSPD+M9U0OLrgKtQjz
G0TDMvHGK3v3bdgiLWqNIvzh0JH06/6wL7+zNqTNiFRf4dxiO6+HFnVloXLdJwFdtL/DkNJNsRgO
Hhjwz2Y4Pa+fyV8a20BKefQjL7MOF6JK5VaIm6AD0HSXLrbFBzhSr/M9k+VL3hOyEEa2T7NiuwBb
Ty9MzNKTYCjqsQUoHFZ+09bpdxEr4h3w0qOOxM5ahJdAXYFMlJ22rYWhwOcS0ZBrUbQ+FDDLt+MY
TeX0UHZkLxQXHoUF6pncfptjahjUWtD+wJveSOpTFOLMMkZaz1lM4ejxst+7ZGUdE0YVuQrZ7ubF
ZMQZbG8O3SCfQvWEdYn2UwvxTj+FiVRXyfFDczEnCGLhqdcI1SQfBZT8Wg5l6U+FPfz1+PfsDV3C
ElSWKU+rbevJhGs+WUqbIMquJO+1JQ/fcuihUaRGR/jHnWvVoUVKt5JWJRTRzbboML+yi6VOArxS
8pPhNO0lqwew1nHSjkgUaeG5yrzl9toBcvsADgBuhPIAimbr3RHrtPFcNYN01SbeWRdDi8k1B4KV
JunBE/V+3xtQi4GHwX2nE7z1eADS79RqliRBIab8lHTNeAawhldLBavf09DWfTy0+yMU9J6srFLs
Y5DbdxpMYVBiPYL6C1JxX6n1Fmd4g8r1cZT7FYJ0ksNbic1Bi3kL6RgygRUxOy8Q/WQERZM2aGV1
WOxg/nJQ6d8bEFxWHmZoVt2Ltk8lYnOlpkQBGbsC6A2m8kSZP3g8ILmb1zUhIlAVxv+DVchqXq8I
NEdpC46xCEokqT6qrZdebAvdqZa34TXjfzs5kVJ+7JrZff0C4RKnukg2JFtOm2cKzHNHeDjHBtzA
WLn03nDpjG7+p1xS3CLKbD5Y+zsLkmxIshtkBwXSwXqkmC6FndUTL2yLGQhVlfuFOkRPnt7MVzuH
03vwAe+3OI8HMj36r5pUidnU+PK6R1+oIEPGqz681pB2ETlddD9MWuuZZpX5bCRDepC07AWFo8oZ
xssekTG5gH/LJMbMIDMXQgQw58uzng3O2enwuNLsQXmx9aj6mOBtdpBY7OwKwMH/F1RO/W9BVb0F
IwEAgk6oHfpVs7hvaEJNftvn0afH63V3fKTpiPyzM+5IyX2Wt9NYs14xx51/aNqEbYabKOUl0Wcl
6AqWUlk5r2aP8Q6EiMiWpxaNxOvmU5qIClUizkWQWbBU6LrNgUCT/Jkc1KO+Z7mvP2aIR4qGmYB8
yG++Yj0sHqZZpQhSZ258Up3+bKJA6U9O6hzcwTsHAE+7X0KA9L24i9bfLgyVbqyGWgQdvZs3C3oL
5zY0IBmlaappN7RwlGuoqeXbypjCg9g7RxztPdkNowxDUWSzbjJdpEPjLRP33fS5w0npvWjM9Mvj
FbOzOPFRhnmMPhO5xrYcQtaklXi4TsEQG1JecUiuXO91kCVzc/Au2VmckP3oWcqDDRmCTTrjJVk2
Vx6np1vSnW+zcaEiqZbPhUW/L6/TDqP1MT8IujM+RA8o4clzVOPCXX/AWVUWSjPJFNie8E5xmasB
WuvdLXWm7vR4KuX3WF8WMLmhiUNQp/yC0sI6lG11oeZN0P1Zkcl3BSCcb0KR+kQVrwhSCv8HlaXd
eKA2QeIAPqL6sY43g7iop5Z8yJwt97nIRfI2zqMavrGIih+NNxQHAe8XJAOkNyt12ng0bztOnRs3
k9CWMdBaPFKiZuzfJJ3oD26inSgoz0mAkZQEQiJjPaw4XjJDb5QhYMFCbQYG8Yw/UXlwKO9MHkUb
qIxAcViV24LRMhrdoHGrBmNsTAYZ9TRewynKvirtkLxZtDY8qALsDEvSpKRSBPUp7tn1sCprqhKa
ukPgVaZ6rZ1ROcfHJPv7PUbaSiMCWXIZZ4tUXlw9azx7GYLe6pIPUduHz0o7J5zMk0Y5eXA+IG3S
HnyxvblEgYI0BTEn+bRcDy1JlIF8xRrANBXuD3R/cz9KhbjFM7Lb6SiOpG/u9zQvMOqOUqQTesAW
qtl5DZyvuhjxgSowyomT5rk1WTBUb49gvDtfjf4KyCbqbVAxt+zheUi9petLlnw5Ns9NamjXLOZJ
8vjk2BkQuxg4mNR2ZkybJb9YqdK6GgMSYZ5/0NO2P6dmhbtgfCSueh8JvAh4awj1wGTM7ZlBsyp2
+rQiF3HV9r3ZqdYXrygWHXJi48UHw/pFG1+fiET79ZUQSuYI3tyeyG2NCaZ5IhiSuBrRAi8lRH9J
XOeErgXPq4Uuy22Iinm8WuQ0qP/MiYWCVJmqPGFr1cpPIc7EP/tF+X+kndeO5EiSRb+IALV4ZTAi
UpXKylL9QrR0aq2/fo/Xw26RSQSRtcBMY4DGpIXT3c1NXLvXak+p15VfxnGe/1bcNn6ZI3P4m7jV
A6hXw4R2N1NiNvxs1I0luL1Br68VM4AUGKDKkJwZW5TIwGBDaoi4C2JBvcaPprz8ktI2EozJuYYP
yTpDWN54cK9eUx8QklMdYqgAglaO/Obx8vC4bR5VXTAw4PVtChcF1uPBWrRz1fdzd4370b6YUmP3
0owMn9tzaPynOE1l+0samd6BC3t9z6HdJneUEA441rd63VMksnakwwD3eBs/tmTK51lk6FcNafeY
xo44eG/27NGTBjVCa5wzKy/nL4GzidR7qiUdwVdu6accbtyzVzN7G4Gd9Hv0sw7ehNeXnTI3euRk
JTiYVw9qO9BWyUriytiJa7AODTewSI+i5T0r0lXSsaXnjqterwoBUGDagDGDoUi8a4kE7oWWVHNw
Yl9fdElLJEkNebCJRzbBwbA0WimQlw2E7sZn6m7NJzOsU1/lDr4ZHSJNEaMyDE4jeIshSGbA7JlX
E/4jL+ZbSz7+kTuIsRKST3d2WIqvty/j3tKgqYB+Cb5LyYy+/oAV3GtMMhEXV+bknhpIyRNfL0r4
yww7+/vttmQgwvGjeE/JZm2rVaqeAwNZ1dya0SOvX3im+JS+G5S5OFKZ2nEyHAhiVandRKCwWVcz
TQWeQJC8qb16p0ye48N2V/oVIKT7eramk06afr69QLmAtYuGzITYGDpq3gWA5esFhlo9eZ0qXfRU
94AV4+hzno69FBNwP88wht1X4eBc2nnQvt+2LP/y1jLMzeCKAPrR9N2c0MkT3rJkbGNfU1SFbQ3q
Efz/6P51287ecSE6hqtLjqRBlrdeoZs5Tg9FF2nHQoU4p4/oZ5VboRdbTQcfc89hQTSEHd5WctON
KRoI86jMIdRmXD4/gVXuUiXQFyRu82in4/Dj9sp29o5QEp4YGe0Z4AfXK1umNEYrVianhaWhEwpC
s4+9qvaHZdHu5g494ijqPX8wliOitZ2zKgMv0g6uPSvehHygMzQ9b1LiCLGkzEkaGdIEMVgBQ++U
77QIC39yqul6e8E7W7myuvm+RibmZRkpNBiQ/yBTmM2PmhDTqfL6I0KX/QXK8rOkDOXYrL8ti1Zq
dcapTaqIL5Npz0BZSmoaPW8wmunjo5tqR/oW8o9uroRsKkBWLIm3rS1O0gnLCSIODRbAVIUgWjTi
fTgub8dj86TSiZQRFRnClpI0m0YVAtmYZ84T37sscZ6zxQkvjdHrR2OnPycHtyuivkexmwAKQUT5
mX95wiEuCJeuBCFjt27+wYqy/n4QoQl0OC7fa9Ok/NPNTRfordM+wAddPhtj2i0nnEP6vFgWnr3L
bAuBDfsfEZnhiUij/Y9eK9XXzJqRhhP9Ubdx71YxSUeKRuMbka9NJTQU41JmFS+nHi2SYApq8KwB
XFkCMgrgcS7Poi+WM3195eAhfX3mKDHjElXcMZ2P7Zkb7c7qUseBxkqt4tmv3bT6pBZqPfoU7OOP
2jK72n3PuI84MPz6XlGOkRNMlERRgtiiGIbBADIyU/ztZtu+LF3tPZLdZ/4yhOGbXSSm5BwfpM50
kbaE1XanhvY04bOSWSmY4XWGKlCa0f5gKWXd+mlrHNEW7S5O5omAQwDHbGnIVaVuoGzpeVY7awzi
2LMvOTIafqw32t1t//T66LA4+qow9wAp5/BsTnvY64kJD1KQd4556fQl/TdVCvcDgr3tuRoY9rM6
BkFVNT2C6L9+ebCMp6I5R/GE2snasiGMurY97vRcLdPJS6fwqcx56aJwhOSgSKvm8+2l7hpEbInW
NRUvIKtrg4Su9ezFMlZ2nfrRYYTPz8qkPOXNpF+iGHDwbXvyLVs7EhcuUTpYNClkBrv5tMLUEHqp
8Mc5MugPcWOMD54GA8+M8lMAP1P2uQTMcS2HavHNpfnzzdZNR9bTDX4AHZJNIiv0rO7pCZL/2SZ9
ZRFTtPWN3MWHeU13SpnvuDBiVrxL4r47a3p9hFrbOcSrH7B9b8da0fLR6YKupolHewQMSZcPT601
HQ06vX6ECCpoXfF7AbTSfV7v7KSljpd7RR+gd90G0EGaJ9WFuPX2F91bEN6OC0klEa7Y7YEdR8uu
hroPapuWfTjjaOawRwk+8d4soEERgio6rQnCFUm2vl5QzL+sNLPvAzVFMjXUzNQvRngKqzlXT5Fy
yCK1tzRGCQkcWBkx3yYsG4pmqqxK7QMrFcWdq+BIo65c3lUgNU+3v6K2cw1lzQ1uDvqAiFJtz4Uh
u6CN3oP5Y2SZ6Isetp/OivMXLS1v8dECti6oLs/FddYZ8z9HcO98cPvIyum09TAMgZbQ+jMV5vJz
Oof2k1PGSQQFgTUf0T7vfhep4AgJn0GNXP77X2IB+m5Ug7KuD/S4a+76AXqqqYleYpF5B85pp3BC
nIhUGAQDYAIpVa9NTYMrvFrjs6hl1V6atkSkTqGkWzVJda6b6HPCvNQV2ZyJu6u6J9dbugdGtpqD
/dnZHn4HQQT1NhKC7dtTz4zh9hDVBWWfeaisxovlQ9xmn0htDeYVhfPmZId3zuYDkw0Qum67qhFq
cFWeiDGYori/d9yBeuUwUHSzQuVgbTsemcEB8Oe4C/LGbbtDzUtAefM4BIVtoETAjNj9kuRJgNRI
FzBaCESmU4e7eomWwMjjI+Tlzmmizk01Dtsyq9uc/N5mlDYuXbotsVAf3Mz4K0d85+vQHF6yHYdI
OgcIkltGJXgLx66haCnUOITGuaiMc9+l1csS1vEBKcDuegCaU2RGP4mO8PrIWnVmRuSmQwCL1PKQ
LON4jrJYo2iqVAc7txOmUKuBCoN5F0De2xisdrwipwMzBJYd5V/6pS0estAznjU91f2hQpqqiLXJ
zzvz7VUpQN6UUqhLaUDtvI0LcBROFIjzIcizWgsYuSHWrcvkPEedcRAw7PoAyeZHLw44D55//UEh
N4ZvyaLz13RefVG1XFzzIinPUxp97kor/ThYeveEL8qDwV5Sv/fc8tqTGx187T0fQFjNgDmzymAl
N75I6123dstsDMoZdjw/W1r6TaqWTd+iwgQwHc1Qpd9+FnYSCdDQzA8zRUlv19jcDXPW7WxJaOp6
dRfT8R8MhKls59GdkdmZUCA7KSF8UbeN7l0TubE0wqFbJXFef++ZUcJet3q+N/mTn9mT8mzMZfLx
tpW9a0JkLQ8QoRiT5GsrTmLEltmggmd0wjqH4VD6y5zW7ye9PJow3/2KnBueEQpHABvWpjwxJz3K
XkOAwjEEilrIiG3cD+UZLsh/uykfvmSqeVQC2Fsf7xVICk6My9u1NmrmmtXbZTkGEHNMHMq+LQO1
t/X3fWYdPch7C6TQrXI6ZZdh27fLmiXUx2jG5WhD5N7bVhfHzzUM0tYXY5KvlChhy7X0MTvqDO3d
CdCnlAVwabwemxhzXGbT7CBaCCoVfnpBEB9UQ9tf+lgbz2AKjxg6juxt4vdQCyejSrAXV10SqPUQ
nbO6KS/q7LkXMRhHrGJ7u2ihLC875SB7t+QVkk9o6OdyCBQwbN+Q3EMhuw/N/owqeHzQJTmytTmm
xsT4f6oDAwCCop/H2fIeipl6WDlHRxj9XVMUi2ktQ1JFC3F9OEVn1DBEAgAwqtz60vVdfIqGXD2D
iH37DB8dXhAbtN1kTr0tSaSDp4ylztkslca7wm7nXvUGFIDH9bjcdil7jgs+HAQSJfaNxsJ6VTxA
bmHpwxAwSGVq54LvOcgphCOvvHcIyQY47dAzAb7euK4ojSm1my5BqWnHn0wls+kqWMlD5ZiihUV4
Obrfe9slhVuZhSR3ZeBpvTAXkXgIawSAWSK0i2r35qUu0GMLp14/qHzsmpL4BgRbdwZF6OyKQl9C
Al11Ls4poqEvHIyemoCVHJja2y7QubRIKJKSOW4+YxO6OhrA8RB44dDeF+R2nxXlUK1gd0FgyW2e
Ubq+W7ASDF2LG0EjFJRMUVwTO0cAyx760o/LKj140/b8MCiz/7W12afOKA03cQAwwDaQXRllch8d
ZXL/7DIGOxU1coKE0bLfOPX062BZAF5OvVMGib9kY1lSdXWf4KIobZT/5lrDBJfo3PAgKtj9jj/H
cOVgM3CbtRkry5K+GDn0TDgnyb2WCfMhEm3bXNUUjOntm7xrjDksidWQGOTNs9IA8SrFXJETDK0Z
+kZlRQ9z1yikehpe3v8NawAC4KeEowhJ7vXSNAis1CFNfsJQyvd2OKIOMhkPIjvk7tpbF98OWR0w
T3IkYG0p1BJHU5ixAzuUiUBdwuYeSZAv0VAqB7DjvdSA3IMUkiwdEZ9N+GEvdWMXMV+wQurqmzLB
LOCUeiqZr+Pz0HWqX0xKdlqm7Nvtj7lXyUCmERZq+Fuk8ujmEgjbU9J8JMuCR3t5tEdEvktrLq9J
P8Dw3ivWNcvN6WNdDfF3+JPCxwZyxOUEW3d6LqOyvdqJMP5Qwz63nzI7Kv7tjWH+7/aP3N0H2RvA
h0MVsj3M8I9Xiebx/nnqaH1OohF0baaIf7whOVIv2Xss6NGAsgAwKXsR6y23CgZTa4dHqQg9CGrx
Dxe7nWH418E+oOp1NFS9tzQJbSHSBZkA5HRtryu0mKdk4mlPZ9jECjv5ZkoO9LJzfycJZKKQFprM
PaG8XJvi6ka0KlmaXSdIMiAD1XyDUnuwT3GFnMhv+AT5VLjQATHetU2/SikwyBQGoZ+WhHeQEHR3
hR4bJ4QNo/Pt47G3Z6DgZN4FagW86Xphw+BEwhypEg+ygS90NKynwqSOlosUYW1vyP64bXBv06hs
UjUArkXCsPF3g1l3rhEnPexlpnIvMh1C6GKIFi5pFx48UnvPLtRzsBxQOJCpyXpxJPNOOZvYKgdz
eE5Tu1MC0sHBOdivHTuy48roGCOM9KQ275Kjt3ORQ1YbWKMR3Vv5XJ+zsM5/3P5yu1bABADDIc96
1WlloicfEB6mFpm3bXkZyki/F7E+etf/n53NWaeCAzKRJzAAmjX5sztVQLei+KB/91ouAgQANGg/
zzgN3W2+YZlePGgIwQaVbkTzg52Vk+aXVYZbGuos/a52cfnnOJdNf2eUmUYy0kdM25ugSv5E10o3
zupstfeaKpQoyOk5934RZw7uTXe6P5pC0xRfNaL4cxcXmR6EVUFxodEgNH0/NGkh3eBsDP4QFsZy
6pmjTSkzJOa925JKnJsyXV6aOWuOSKJ3Lpwc94MlhoSEqtmmxDPaI9AxEylf4brQBuTx/Nmwy+HO
LJMCmv75aL5p79QQDnJufsLJt52ENCxMr4IPIoAcN8n9cVQb3+mq6ig93gkIKc0xWUsoTUFsW3nQ
2zpPhkql29M0DKLpoP6J1tSgrHLtujQFHH6kRQdHdceZyKkKGtAUIMnvNi/AQmdxMTo+pgqnx92Y
TOlziz2f+QDz7SE85XBPNn5gRCAKXfuSPqOqggp2x3FNLQpgefrNoC98EMvs7ZZsAUheTjnNJ0/P
LxFupeiDroiCpl2tKt9Blo6JP1IdD25f8b1CowxbaN1LPm8e0bUdy+tSs9XdDgbquFcD253ExyFD
1fxUFLH9d92OzMLUTSvGd2NTdJ8Rb5//Smxb0c6mlqJzcvv37O0j4RtlHdSOmEPYXAoQi1UCbBSX
Y1C7WoSm34GI/a/QuiNw9J4l+OAAb8nZCmbk1guvR3VSwwWFdJeK2I9Bo9sFxWw6+SFCowfB9t6V
kHtJDkFpjOnita10EmnWGkobaK3iaO904TiAGYdEKU8m1Lbps5cobuZD/jf9dft77jkZSqh4GToq
PBabwHRus6bVULkNIktFamTuMiR30Of5oHnCPjGZPv/GBtIQZcjWoTnKuPx6qZGluKaiDIQRmZ76
iqM4UCvD7F/ZenVwdnfXRoApB/ipxm1JFzI0r810tLqg7MzuHhkn+xRa0XAd7Kq/tyQH8u1vuXti
APLCBAdygFbHemkNVWEiW3yM2Q7hY1QqBhI6nvZgRNpRk2NvaTSYpTg6RSTgNGtTA1xF3QBzACPE
rXXthzk5RZUTX5w27L4q2D+IW37eqw1CgYleagWyZEBEKX/QL+6G6G+E5ZQpiJwmzykfetfzu2l6
rKZiEf6Yt9OXYjHnvw2l5mGlcRs920ZaHF2UvU/868/YXErqc60pqMMHA58FZnwGN+ELtmBDicRv
vBi4O5AuP2kTthiQKDIGZHGYoYGwrT/FZqGB4kzaS91M5vn2wdnz5VABy/snhb+2L72mjgkcaWTA
0aykp1TXxydKr+r321Z+eqztHiICTFWEgopERG320DWbdlKmninY0rHPyajNFyN26wDUP6PGtjs+
WUZSPkUF+Lwyn8x7IxXdlUHTJvcpf03dpUl7h5kGii5XsN/lSxFa1n1H/nwQj/9Ev7/6rZakl4f9
k4O+ea91WBQL6MZ6Rsua7t9UOMO1XQpNpd/TmQzUtmgm56nTDlddT5sX8Pne98g00gvavMmfcWVo
OfqUblsFTTUWB/u1dwppYpJOamwXSeX6QxYVvEEaNXCgqY0Tn+oxdO/AbFp/tIzbHjiVnZoFBgAh
0VGA/mFLp15S02xFOHPxHIMEecrFOUWr5LTEQHMgTPqnYz77rpriI++5s0jGnYAVQ1DAYNyrG9+U
y0IAR0F3aER57uqJi24lBHWBZkxueuBhdtYJczTj3ngY2rbbWVQTvtdxcJlFSkLX9O0ecvXCHB1/
rKviHbBf/RKn6g99GtuD9GJ3nZLijTo8r/0Wq+O0JfOjGeNJlClHkCZWfq6htryqg3tEwbDnRanC
Sww1yRkE5/K3/OJFCyaXZkOrueiFEd/Vc6/7hVP1vpcgdax0rnPSwnb8JBRcjDLGSA8Y85tlnbBM
C5OpX8jfSCC2njwEARV1tL4Qo6seF7ern3Q6137RH7b79tdLygZiQ8pSbHV4HTepQeVThh0WTflg
FcJ6ZgbMffBG1FPUqEn9ZZmdIIdK3neM2Tm7SXj0ZOzEVkRV//sbtohXlwEO0hHo5Cu9bb5PKk1p
G82Rz/AdFA/jFHuf2iRP354DEJvSnObekOdsb20bepGS58BHhnYYfRg39MeQsPXAyk4UIEcbaFlR
TJAaLuvjJCBpBUCMFQ1VhxcRJWVyqs3Oeb+Ms3oOIyo1B95o56Vi9le2ValtyX7/2qKqxm0ftiof
04zmxc+9Ri19PfLMf2+/VXuX8lc7m/iGkcGoBrdAgdCqqss45eG5rkDejPlYH7CA7S5JB+WDmAnJ
4TYgzTSxCNXquQ+wIgYJEgonZq6PKpB7pxD+VdhlOIqIjGwKTLYBe2WVsFW9SZgv9FDGvuZ07uem
DiJ87V0+20fDWLtfESYfyXHGP7dtHtcuYevsf1Z0y+JBnSG07iykyBBRiA7c9+5RlIUDcM+QV27z
a20BNtF19K3sEi70AjVlzV9c/BsDd1kgirb9/BsnRFIUGcyjAPjfnMTRhUdaTMRMRm3kMMsO5inJ
p+7ZQD7z/ndMEZ+RsABB3o5kafPiKrPsyWkt8nfRPJdB7Sbu2SmNo8HtvR1DwAqmdf5LqVq+kr88
EGYDk7ymSGdVl/XXvl7EH0h6WE9joYUvt1e1d+5lJC9nxCEo2T645PGd04+ynaQm7gsj1NlXBe6C
g3OxuyDKYGS1kMORt68X1KkKoyYdLx5VPOWCukftj2lT3Y2FGh74pr0jyHQJKGa4HuBv3JwIgUrJ
pLk85FXWiwtc68pd1iTpy2L0zQWarvDAcexdaWACLEpy2PAZ10trGEUXqBWQIJhTHVS96n2IxDT5
LlWPcxwZEVq9S/jX7V3b+57sF9VQUEhELJu42E6UqprQSAlEnrovjPmPCIT31WM4wqh+29ReRPaL
qW1WQu6c1mlFqUV1o3y6xFGsvM9KR6l8e4y8k9NZ+bvJKYBH4u684Lbxvc3k3YTKlNiBkvnm3CxV
EpuVAk5bage9I9v8kFmNGqj6vLyL9ehIh33vMgDqYspAVnrAt6/3UkctEVbYEVi4qTIsZFrTRWnV
t9M6IbJGeidny/CU2/CvCwdC91Hpgl5E2r3mVojapIe0TnvnkvMoqekoQwAlW68lCuFwQvuLc7n0
MxideT4nGSXjrrH0i5EaqHpEUFPf3q/dDwhwjU4JsCdAs2ujqZ7riWgpEwLdS69VhwwFIyFHzbU9
K7hgjj0lSVAfm1MRQgBi2HFGY2PKK2AE6MvMXZifb69l744RrsJZAvqcVFmezV+c8LQwg2sNHPwE
js5vcVJMPkM9s/Cd1P6dgEqOqTEpysuivQLGQr6f9TYFDadyrUtilTmTNe7R1NfebSIWxTMajDET
gKxXJFXdk6hXGRBSug6mdVMGAlZ+rfI0v3ecUhzc3r2qMVEAiBkJVsDm5h2jnacCvGCCEtlkMJrx
4l0zJbafTGWJzmMIjN9YKutSL4nid6ldoFZnhtdFn4+05PdWTqdZyntAEUcLab3ybhxGPXPGMaCt
1P9jmFlyyoG6oH6GDIUmEvPH288OfGZSSQSFY+YB1vYmB4mNvsNeoXflnWNG5dk2q+bbYMzjAaZ6
7zLQGZXQCRgUXquox+HseiNzbdHUeBfhtemXERHV69sXBAkVURbEgQSSmwVpWRYZ2sQoVBXqil9o
iQhmxSV6VbzfmGVjNIdZNk6OJD/Z+JCyGSOQd/B7JXYX+okVln6thcNLNo/zQfdkx0fSQqBvDmwH
Gs9twb1NW8pjnqQSiyz7YiRt4c9ZNV5gSWsYZ3DcE23ZI5rCnQdVSnuSPsHaL2UJ1mdjCPs4c7Vu
hHxBSf7QE9e4K5uhPxltk/43G83CpGj8yQt74+Ck7Dg02nogDeluk/pvO+kV8Ae6ecwHDkqsX+jc
/9MOjXWnJuIgOnl1JCkWyeFHOa1jylG99QrtAdH0OI4oukVZe5pbgAIlTdfn20fy1Z2WVnjd2Dig
STSD1laitC6o3mdYGfrxwQZZ875AKuRCcPgcDcqbOc6lOQgZmEHnvJC+rc2JzBiboaK+Vkaue1XU
vgmUwUwQZ9WMt142GoeEBpBQ4UB4E7ZhyEwHMyy7Kqi9qX8wvXwJ2jnJH2HbOgrM5Z9aFVgxRexP
oxJiXqkls16V2oncyUVVA3MYpZZEZflOY6eXuVC8uxCErw97S31fUfz2R296M5efNE9OCAkqw2QU
GNfmc+i9yrgF/JNDeHSmUlY/V7mcLSUUC5qipvHVzEdByqt7II3SLJX4fZ6C7ZortUFWLBd1IPWO
Ti0T6ZdSQdvTiENxuX1Gd02RcwNooxDO8Vmvz154clvLqAJncZZrm+j4FptgvWqc+eCxfeXLWBXB
A1yTlMqlKM/alNSvsgF3VIHqCdmyN8L2hx4V/eSLylQ+lUZnfWIsI/pye4U7dx3QkcQLyCwSZOza
bM1PaUahVcGkldAVzAPRhSi73/iOclkkOzzfwKXXVkakeUl9OSfF0BVXw1L0wI1dze9G4Z1/Y0ES
I4ALo0S6FbUVs6N4ZsiCdNWpno2cS0o1zYZu6LadvaNBvQkMJ48dvOnbJXWUuqPMrCD4ivOzWyf/
Tb0HMGXwjvpKe5bkcB6kfSyIWv7648Ez7CmUScrA1hb3zgW04teJpz4NiVW99YnhENK/Yo/APUjQ
6NqU4JAoo0NlxKriESnnUb26y8Rb2prZ/e3vt+P+aYgw8M6hYEZmO2nJEYgHSMyLQJR2X/vtnKnJ
O50Y7z6lhRmfKsetfrzdJM0BEF+SAvhVfx6BOCNmgWigtmN8ZnzU9JN2WnwN7exr4bpHTfK9K/2r
vU2kMGUhmzkgD2r1mnkqq045JZM+37t9aMDXEEXXqk6PmI7kFm1fBEoZHH6NF++VTEnBc221al0E
ulIUZ2ri6imjovLYZEsD0alePQkYKU7GZOsHN+/1cpkjlfIhpI9MwTub5Tqx1dhVgwcroBq7z8Ri
BGPHzMcgsu6zmo71vaNzVW7v6evLIYdXKTGQIjNHtyW/83SAK/UAQQP/NOhDFMrDRB7h6zBEvNmJ
cVr5D+UMSJYwt74cfUlkxlmm0ZpN1td2mGZ/ssL8c9441cHl+Elyv95FiECZLaFvB8iCUeS1rcSy
M2VhZSAyly5GaqJ1E79QyvRHNhUlE4EIBZ/qNhfdqZ+09h1wcx7blNEznbdKxD/sMIVUwTWBxh44
vtcvBkk1YSGOgtEXd3tx66Gs89S0+QyKkXxOKM6dVKRWvtze19fugU4T2AiIrSkRwCm1/gDoRXZZ
5BLYJKrOtHisWD7dY++lT6vv+ti5B+3DvUVhkDydSgGwaXnMfikWLLPdmDUVzsC1O/PSMAJef0Cb
3D7iNtxblhygZdYTEpNX1U3q28XCwakZPq4hHuuiLPXBmQq/8Frxvu2Vo4r+a35DpnhI4uHoBhvE
0d2cWmidVEpunFo3icT9JKbyvVnO5Z3N8TrPpqWkvj7pyjumR8wXZw6ZIoRMq30X9l7/I7W9NghT
r/yWFK792HbCfezaxP7PzEvrS1VHJmq6iXjOKi2mfVUfgnFeezN+PQK6sjgLzcN2AsQJSZkNM26Y
w+0Kx1e8VP1UL3r2YCC++d5zOvWpsGbj+6wp3kFyubdVABckOo3gD5rX9ZGY4d+a3MEgtO7M//pJ
eO+9pS7OsWt+bcD/HlUV98wBOWL8lo6jBDCvzRlF7IVqE7fBjFLRP4ViTXc9KhhwQRiu3+fmUXFn
x3H+JDVz8JoEMduSflzYZtENSgNRhz68j7pG86memveVOx6RDu88DJiSWR4ZALnX5nKpZtSpKWI5
QWs1w3Jx6746Fyo5woMAHP6QGa0btCKODyr7O2cHeA1VTLwoNc1tF0YbqTjQrW2DJBPhl9ZkUu/K
oF47PVrG7FbUT9v0R9wk3VWrQAhebjswuV8bD06ESY1YNoB4FzZFzqINM7ct9SZQx77/nvQmZOpu
Pj012hjBuNYbX+EkKNCI0Mf4eS7SI/t7q2duAWgeZVZ6a/K8/eLRvHYJGbxu26ARc/q9Qm/Dd6I4
uq8dRZzcOFle5qof76rSOeo47JwsqbpOOsqn52XepBQMEFpaN/VtULmKE9T2KD7qqogegSxkn25/
5F1TVGNoYssK5RbC0zEZTd+khAKmQME4X4Tp98D3TnkMxvu2qZ37Sa1H8s24siS6bY2WvcaMPuwb
Qa8iR3NdlGbseJEtIJ5aN+fnVo+OEt3bJgFQrbfQTQzUmKD4RDnZoTtqu2FMNmjZyilelPlpaK3p
rXO6MOX93yJBI6wt1o49J4oSNoDVlyUQdkNXqJuXJys1jpzC7uLk3aTr+5P5am1qVFotDs0UotZ0
ML7FXp89LUOlIE09xyCkMs/+eHsD9y4EwiIUs0lC8USbtVWRXalLDIlppPexH5ZFee8N8b+xHjcf
GYGeH5zW8t7DgnA03bMTW1CqAEkq9TnoTm3iYjgO2taImyYI+9RmpDBvTpBrvT1LZCqNCoxEA8lW
+sbJznXeGzZpdiDU6s+yyJZ3hqaFjGvO3fn2h9y5dKj30SqlwgU9x7YA2rZVuYiBNMoOUZiEm68O
xhGtCGhvj1A/O06U6Idl0ctjJHnbszdnTW9BVeZBYxh9e5q0pH5sesb/IAZS2gcXJq2v0TAWD4VZ
pE9JD8Du9lpfY59kiwr7FLjIiLn862O6uM7gFBKbwB+fkPQd/xkGqni1UprXxqBQo0W2exbEP37R
2d6VaP1IyHDnpjBOScpKEMJveEUrlqjz1MVIt5v5mF3sxBw/jLUHPHk6x7mX3d1e8c5p/Vm1ZNic
qwI2cr1g6NDbKUxZMOQV0WNW2tGXoW/jAys7lxErP4tOqkWivXkjsl6LHEIO1oSE8I9BTW3fM/L6
nedU1WOK8MEzMUtF1Lcc+Z29I0VIx7w5zgDqq21YN7lzNDYqRQChWXdRU7lBkdBKEnEy3rVxq9BT
0/RgWozy4rhT9vX2593bTEaNaWbJfhoFzPXn1ZM0CyuTmkCiGQsux/leE1ZcYLL9T1Ui/SBX27uq
tHvwd4AVCWM3mwmSx4yKGKewcGwmv2yL9kEv0vj9QtX/4Kq83lK67lih46ITd22HY0vXa5Khho7N
G8P5U2Rb4SlHSsMHtWddoW6vAhGHTECF/JDb31R7vUyZUZHWm5AFgTvd7GkdiraPRNUGjiUQ+ksj
Kz7rvdLgaNEBz3x11s07Zxmts6MMbn1WnTm9tkMRppe0jExf7eom8RU7N2AIVJj5Gcyx+/PgR8pv
vQ4Iwf1SoEAInYoh4dF6511bJGU8QiTaTGJ+1Bf5EvVp6ffdVECA5XZPi/1MSz/whDlGvjrZ1l1s
NG+GsJFggOOB4kjOoNMKWf8MqCXsSoge+qvSsO87ZfghWqS85sHMLho0qOckXI5qpa8PPaPaclpE
8lMxiCP//S+xqFj0MhZhy5QTijTJWVmmQfMzeDTVK+h1GCG9rpmT6+0P/vpQEPuatOmA9dA12+Zv
gMocI+tJtXsUSE40H8VpGuzwQ5tk1kH14CdiYb23DsmpibvkAaYTstnbfuZKeDlUVKHSmSgZ1WG+
+G1oeLqvVdH40MWwkl/Rh6xL3xjBwpyGwp7+WhplMM6ekUDuoi6W+87tmyY/KU4//Bj1BmUKxZ3d
r7DhVvMF8WHR+W2hth/KIUPT7/bner1H7I3FB4NIQnY2N1EKyN4yzBIOZZ9k6skcbecEKkr5T5RR
xrjkkL/ctrezPWQnhBAUuai7bLMzlJP5807aBE5iChs+zMr7tEB5+NJYI5/twNhr5wRojVyQHg6O
l/+xPoFVmiTW3DionGdqWb9LdSO0fozpiH49FBq5+x7UizX6Cnq8XaBkCsqTVt4n4cWhb55cslES
Vc9NVn3T6R+2flnaeuS7ahm9E3lMhbwfopByibK8N/p8QH7Bq7wvdcUUt08dDRGGcHSdj8lSRC9L
v1S6rzoQ0F/CxIo+OKHbP42uooqgLImH/DqLaCOnmQFdIgjCtjyDMrJQLw7B9p1Gpbcs1MuR/bsb
mPyaT1M1zvFliYoEuUcGaMVDnma94acl5OUnL5tUZsLgg/Me0XcRCWLZcTJcOqV2+8eBCC/63oD3
RLlA74QO96AH960h1PCjMaVadQdLGZoYhZY1DkUx2/1jqSBBenN+BQiCUgtoa6pV9B/WOwTAVI90
m7q1cGLPF+iyn6xB5NAne945myPnfHAk+HvrK8sEEkzCPwERcmRhbQ/BFFtrgXcDGM6i761ZV+cO
4qWPxQiz/G1Tr68WuSk5KjxKJABkxGtT6ACImiHPOtDHOr+GrhY9OjN6nOSO8yNjJ0cJ+M8e13pt
NPI4VTg++dJsaztGNxtgn0DwzqGFmumsN8s3Penj/pryf3gqDCP8q4WJVwREsKH4mM2lmZ9KCjPL
ybFDL/xSutP4hac6Lv2U7m/4aDaN9k9Z1U3t87jU3/rOTD7GU0kdJYrF4r6H8plEvx7EeJ8rCfRx
ZFv6dGpSu1b9To+9CFY7z/rqtIb4bqGz/VJrTRH6lp1b1TkX2ST8pU+sr02U9+UJUEz1d2GM+Wc1
KZQf3QBCDk6J0f0aUX/M/SYW7T2d22wJ4qJvPolEUf8Faw6Nd+WFyeI7c0HALnfjm96b/VeI3+yH
rE31f+cByZLgfyg7s+U4ka5dXxERzMMpVJXm2bJlnxC2ZSczmQkJCVe/n/pP9tfqjnb0sWSjonJY
613vEId7/YP6TsujZ8l4yWVHdO/DXqU905FGJU/V0k2fiSjawdGdcuoLOSEtv+lbL33dEdiJ+2Gq
3CjvWafyZTfVWj0mZRDOGBxMzd4dfOEO0WPZ4yNeZJRdbDz8Aq67NLOfg7mK5sIJ1PLm6L6eUGbp
ejuNbAE8OLEPwpeBqMr2YCCT9aAaZfvUtefY6dArzf2KT5ObmwH3utxbwEhPI9jEJ+M0tK8DuSFz
EZfh1uQG2c/NbrJxfTR2d45CMAX7w/r+eJSfjdOpZJmSs3cRaXxY3yvbDDYwpC8ba3ntzVl3izKk
SQq98YM/POx8Dvzv2j4/LOGqpXhB+gI18q+baZ7RS2wm8ghAdbvCdiY5paX5E8nnb9S382TjnNvH
zXQG8KLgr49h/B4q1Hxu4TVD5RyHVNgbkKbyGAnO3Vz7mX0pRWRu4kVNmOd2abjmXeo6TeENnvoT
s5Vs1/MT//rBKdtISuFtnj3CP3IzcRD0a7sl5E8MlHWfEtM5C3yxKNP4lMd19GUVZNyGU3iWAnoK
GwWxRsN+iZNKg8XpoOwMlcB3yHuXs5afLdHvAXyptYJEIYa1OviZbpN8kkY3lyWxDSBbcnb9AkLJ
XD7JqGmD4zj5fZWXti69Y9vHpG5MCC6OXlWaR71Mgt/uqvORk3VTnq7pKE4QFfelIE5yG3ITLcnv
1a3VcJEFS90dGyfznjgpkuHYzTZ70P5kv/WlCPdc1WVUX6hRzG9RLeVjalT2fQkdtnhVTrz0VcST
Lap4DL8ruUDqrNVk7ssORX0upsAzn/TS7p9KXzpf21HE9wmmYi6qNC3WwosEpqWql+2tk2XY0LXd
QD54qPzxpqkqu9yGrknfRq3CjUQa3V9N1T6Jot0r5Z5cndqvDP7mq03bBkJIW3qfTJjOUe6YEavH
VowPDJHG5mDFTjycStO2zI1Jx6AQftLcIQVndTFM2z4hhk+uiQ6gvMNfmhlKP5YmzQlNItFhRtBi
LmitcOBsu22/EV0/QBknEKVI8Nz5xn7gL/QhA1wb10QCPW1P7JDsnHE9KRFuCNNS27zE6GO8w9JG
ip6sIrYx14lu5aFc+upRDFQtzyZV+lvVuLhBCxIJX5nwDWluS3/9OmA16UCHtMO76057fDliXbwX
rdOnb7YW2qHimURbQH+I3gBrt5elm9P7KiUHtticOfu588e/WC0JcMCDI/46j17TF64TZq+u3cvq
OMVVKQ/bsHsJtKHSx6a3DiR5Bqso52JLSvFgvKHyCzujIspJLhYNnJzA1nkfb9n0eezT6X1xOnc7
woiX9/DLGDoEtRfd9rvy20NmVB/kWiH+hZjouM4hm8bmpHsHvyiNF0RwYraYvA9zt/2iiU/4r5Vv
gvmqSyPE2Xvnmd80FYM+VqndXyNUK9trEggiTAljd6aiHvTq3K6bjlSRVGnTHJY6iZ/wb6lfDGrI
6CZqeXs5/fNZNqenGhvSIa77C/aReNbBkpInNuh9brgT5+UWb+Y+u45EOK7FUtvYHs9auypf56Yb
joOK+curYVuCq2GywxtxuJPNVZI4F1UzkyCAT031o7ZDeT+uqeqIPpLuWwStNcn7IBBPZiVtGbGD
Hx7YELSFzhpNj6ETdX4RV1vwa9FdMuehQamTW9xa7v0q1SzRduleBFJk/wKjqe6mXco0uk28EmKk
2ELpXpGUEUZF07R11ORiSAa/iIiYvQ0yRfiSY332q22b56E8w2u23e2nkgS1ElKviGXel+26FJmF
d2UDXyrqEC8kIGdEU3Yf0xCJy3Kp5QOq/Pi7HNZE5/NOnEtxTqvSJ7xszJIHmkV1HTZB+yicUFCW
B0YmX6ZW+Bf9WtNERaIPiqqOhXkwpd/VTz4Bv6qYGj12WNMyws1pjbz04MyLfU4CX6cHHGjSGUtX
aV8SBg9DMQdVCSlHpN2Yx4SaL7lnm7o7OXqoEDSlZbXfTOGqu+t+D5ufTknbetU1YtyOBP5U7kml
+JcWEJmT7FDyyvY8tVaQFrU56zP5p2flbli393iTwyTx8bRR10hOY1lfNKUcq3wUe9bfLSIWv5lU
JMkRIv8WnJzQYCyQdJv73a5MdXMcTdbooL02eKfjphYatya42A2wY3E2MnzEkaQvCyXLGU5OsiZQ
vP2mA2kMo9m9dpwxE2zFPViLZkemc+ez7CQ/TbNnWfnJw5J44TdRZ2t9uUu5xo/IgU13UmNW9aeh
U+7T1kb7dvauHB6SteI7IR2oIial7naWtd/Jq8aP+u/u2V6mIKHUPIVLn1YXpNkO9npb7GByZ+y9
z3uvZ45m31bXCxafEfMKf3wDswsXzKWG9XO7YW6er3syz4TAERS96oDtMqJBUac+bNOnRXvEt1hv
TqIDROI9PXYGYk7e1ZHl4dOQ/tbWRBrugRo+sy3dJSf3xemuVr90fzbhruT1bnrviVSNwBybaYyv
Wxz25IXsuinlJY36uYxjqkdX+/H+tOpG3DiUqFQWJV+LmPDSvkqE7D45teNOXIhT/722y+jnUkn3
B/ra2s/LcpvvdMkyP6wWf69rTK2mEeZ/GNWnqMqyy9guO4Il0mp1PnUuYTnVOi9ZISH+HMyAfuQA
L06HN1mlZyzlG2kVDC/VnuGxbPumljMfPPPm+Qv8gPmhq7yNu1Jr/B1bU7ryevQkNyZJY/VXqsyQ
4HkvG8ciWSArX6/1UtVFSB64pDrwnGvK1AgZFat+7y6I4BtbBLu1CfEH3EYc5qNGhkRAz8FnrRVn
Yb2b+h3ervBzR4WduFKm3vx8DJZueCzVhB5w3Bdf3TUp9iavO6V3fTsyUalypit7RvDl0JzJL5X3
0O5en+Vx0JfmuLGtl0IsXhfQGcwpOt5u33QeLxvDH7P64xEq2j6BdkzTdlmGzVYdumTsP7td05R5
q0b5MDlt8t2EPb/WxCLCD8jq7UE2qCMKITipTrLOmiyHR9B8qZ1GPjFRDufj0nqJPeGnuvpE1rRz
U3A5lZjeJxKxyBivflPQiutTJ8UGCCH8ys2X1LI69BStd9JT+wKLx3rrredZOsWz/CQsIqnKZ0K7
gc09Ictnx/HMUAgYNd+taLLgsCi3xAdeunxNm6v1vadGN7lYa13raxkhnvhS1zWVXNKY6MvUuM5c
kG2ZvKU76MfBjzq8oxLflPi01Z24w+u9THNAZLPeRVVoknznf4UiOIJfZLPvdLkd/QDgQ9ROuB3M
mK5cK9JtaN5J7+Qe1XzyQvS+fUjM1hD7VbrxI41VejX5ZnWKgae9k14qsD0WOHRMQRd0p7Dx2Ymq
JgL6ohXGr08uyHmWl1KXP6EQIPalhHOrl6SVU3CUcSC/NF7S9XkTLt5tFi87X0vvBZ8rAAbszZzW
ucSSyEkPxl/C4IKzXN0mZ5OEXG2e+wvAICKf0hpKgTUtD8p2lE1uUFblpU3X2i0aFVW6kNEaNQe8
K7x3FArO+dsQHkvXC9pDWwapOeHpMjwHYyTIEN38TeZBVqs991Gsf0MRy73RTiHsaK8j/YBbYhir
YhRNut4EHFDNTbo0dmQvT3BNsNBLrvceJna+rUqXJ7akVkUfz/tdOEx+eUiN6La8hiTHvZqEGmAD
gtladIuR1YVBpmzQYShm5c0UkSMsTLpc1r7jJSdvHPwv0QAMfIHhD5tAWdd9oj2q22PiDWl2W7Vk
MuZu2a13XRC17VXncVnlMqhxny2Zmry4k/bmY2V29zuZa9o9lcLX+qLpVvUlcS2jJHoI8RitNFKF
qjCCy6NslQSrThsjg9klaEnEQ3pNZR0gRgcq7S8Arpz4oJiYupi1B+zdoeK+OTGvcao8Ppu1EfBD
ZjbN3BiTraj8KQ/pOUCryEPQFHmIUAqiNaZPZRbxfiYsht4mgcMPi7Pa0sI1VUpBOUTf2smfVdGR
EsRhxLLmKgc+udVW4Z02uRMkLZ9hlQNKkagtb/15uhts1y656pMdjl48dbJINeu2iPcuCk6hAEHI
yyiDMc53j3CLJ4sll6s0P6amjgeOnj773MQm9aggdVjWObk5cXNRxiuEPyY7MqUMI48zb6E1v1I4
hxRqYbykuVpF8FMO+IflPvlR0yl1lGw+pYPNmGjgiJbkUbTYBQWfBNrvs6Q7miRop+MItzDKIaJL
WfTIeDjOsoz4Eb07/XTR1XV4vQe24WPgN+Vd9FHbh0UwNsQW7cHQ7gXKROsVwWCWx2ivVlzm4Fv8
UkLEHR1BndzqUZGc4g/pkHAFYkn1WHKMfzXRzA3SsC73vN3j/ZaTgbI6GDWlCQm//q+hrcon3Q/q
bdp7p78N2mVzcJeL7HGtAqxrzoqVsmiypH11l21TxVKufsxUKc1uGrFFT3wjXlBo2oATmgs/OdbD
Yj+LZoPn0sJY84pwKYOmsJFIbnwMV2I2lyvvonXjctd1OtRo2ZiMHso1DjuKLekcGu2YrcgmHf+O
oz3KbiI5V58rgkf49s1i34xhOnVoZ0e/j2EGrOUtYXLljeHiF+kUBI828LYBxE91t7Z1J8icbSU/
haOgzFxEw9e8zoQnFbEigz7Xgd/PxWBleeMrjOiKFYFpcKht1XfFIlT1suAjrOC7aigvdVab6kZW
Zi3JrYnXMQfXnF/0aKP9uExVOF7jLR/9qpI6bA/1LGnHY28VyeWGEGw8THU8r7luM+d1H3w9FhGA
4Xjh99KcYt/0aR4NMTJafgNUrHfpBKalH02+J4tt2HaZrA8sz/AHV1/5vXIazKO0lYb4cM7znrD3
cn6P1Gz8u6Tfu+kYZHP8yzIlITl0lx2dNIVpPrVN3RzWrAFxa0kGklzbPb+yB8SSvXvO7v80SrCM
3aY5GxOgAZiYkNTbr62sq2vRzLHEngQbmGIBE/uinRB6JWnwPRvNHRwOxsmEr5hEpr8Tb4vItfDm
tDo0i52S27UP56fBxNVXzNri7lAv7tTmALfTfr2TtfeLLID5KqXiykgedbufntu6K/dvDaZgdGpe
fLnW4nJ2EdtdpmWwsgFdO/zuV39tji2FWQsQOgRvduiW7yZpRqcg4sSVgDB9BgjTrdpenrVuMo/k
Hqo8WsJFFSY1yZOjI6YkOEaHEGFLzOy4ucvxtqOu4nAZtX+BioU01kGJIMnxIKp/d0QKVDkqAXy5
B9jn7zPBRj9MM1UtbVQ7dAdIU6alnWm4i1j+5M/Z9dzxVLZa1IGqrGvAFY26X5My5NsgCA9MKFl8
xgm88vXkqiV6c+XCkCDOmmXOg3pMxrzhnBmO2rrRbxXH9BNLfR554rlA393U0JpZX/zd/TCtnxGe
iLoQFFAvjpXOTGFgnUvFgCbN0bxpLufFMJ1tMa3Ig3Il03aixP+sehUQ3W4X8+4MQt13qhY/+3Ys
v9itrr8ZqmWwalygX5WHXXNRDmJ/3cgw5/OFDkrWLky3PMA3RBR+BzcwoTerc68W/p3e6HEQmyLb
PG7WExcLmcvPehvn5y2tgVsmOTUtzbTiWtQA0ObgVNwQBc7e8lOaELGah2K0T5zXYAiNddbv0gnH
30quo0SuVCe6WPawHfId674nDL2Cl9KU7RXdgPkd7XPwXLGDflk5QtzrgE5GWn4X6Darghh5kHLj
NS/x0E1zlx6UXPtwS18VneGSV8AN3z1vGqsDrJakOSoZU37jdzwxWYl2/QiOs3XU1nOzFAxlBv0U
0YLW10G2ow1o/D74qqt4eDS+v3zPWtkut2rr0pXR5JpEuatiIW9rXaXDkfYbP2ybreOhnlQ2XrWM
Dt5roP6bjCzI4RpTyeQJr7KzwRxjR1lg/ZVOR+qX/n63cnkq26X5gcp8vcH7rqyKcK6C13pusy0f
hgEA2TDKvUumfRSkN8VYB0Pgaqd8MkP0pe+tKTlBY46cdYuXhy3rQP+90Bn0JUexPM1hXzl57Jcc
5pb7jBGZOzpu0XNmP+0e1zbK5hlsEmZchKeT640ApY0Ynr1Ym+0adCN82amWmfotNM5H65GslAsg
+B3EsbNXSw9mWnS1O7F8tAOM3/dE4OWN3gavqFIn647bHNi+0KbD98yHZPfQ6QDHL5FlbXofMkL8
3ZGI+zoqGl724rmSrrY2vRJlvzaUbK5an9gNgEPE5Zj7STSDxos6Xvuiy/DJLdpWB69RODK9mMmK
OM9fnMG7VVUwX1cAGWW+auS6F5sWuzqW9ZB0tNSeZei57vLnutn6FVLuqA748YnmUFYRSQKTNiGF
AXP03+W62ttNLft713Km3rmjt7JD0X7PF5TCy3W0j/50uanOuYw3VxgGQ7EpT/2aZcPFRP3yPbOW
XjaQu3+SZaD6Qx+q5okcWechTGT4MjFLrXOj4uQJxXL/VdWrUx+HNolkPjk+/6XdyCUv4mgZaA3X
sAQKsBtXh6ZvjIqAg7w9VHN55hpP8zlVctjmbxS1zZfKpFyMSelIwf5PmWNB/TWXYCO7QeMasEHa
tqHbSjZXYsPoDhhktIpCIYvqn2WwRFM+LxC08BWzomMi4099jmZ9tDlUev+V8iR+DjubTIXpUnst
RulluUwi56pbtjm8WWO1Xi2mN/Vlt/nVa78DJN1W+Dyqk8Cit6bWX2hRwkBGX3cal+oYAXRzPTQA
VpdzkpZZsTH6f8UOKGpOqM/G6GC6TVUnhrjiCcZUR66KBzglRy+7gDtvvkbKJnfaOi1DttZ3ryD3
NyMTJs1GaPusvfWYZ825v7T1o+N73O3aLFNzHOah/C7g/8lcLZqDkSRnNGFpt4d97lJOvZTb4lFG
dkM7H+OlnL7s3QAHVktOjRzLRf2KcNH52bAAfs4wG6qCmUX5FrZ+8zDNVBDFvqqA+TimLhdm12B8
VS0Hc1xiMZF6uPTddTcYR5w8d3KuUw6++IhDSjgcpiUph8t26va+iAlP6HNZx1w80xR5t2E4m+SI
OwG1F10wEmY/qatTpn0xFpVW3tUOUM98YVTmomEyFuWmspSucb+sKSC7mgfwszjkoua0pdoQsPsy
jp+NYXHW3CV6zCiPot1/7+Fk/BhDjF+L1us8aoIZR4tM1BzaBuf4gvHblOTZWOqHtd9r78DO6BNc
PDai/sLMbOFF7HWuoImo9i9zEK1u0W7xGBxmB8yHasIzTZGMNvwydnC6byril/xcQzS525wt8wqV
9d7Dsp/bTA6fqLqBazp+KokGOZNKfO85opCeckZqjHX7rr1ezkVPgemY85IojEQwymr8h45uZ3gq
/X5/7yE9pFdjOJjXtK7FY6zSUy2kO11ax6s0aLv2wQXCrQ2hG2TZ3Zxt6xsji1ReopHqb2iI1LvT
CU4GbX3+Rds7/uO+7lNGbbnMcEVpBx4kVxFJVekOdltSRADqJGFHy9kG1fHccC8HIdv0wMEqMsCb
1ajLEbIX6JHsML/YyITvbnUXVByW4drcb2Fpvyqu7eeAL6eGyzX7v8e0ouo9u+XdzkE22gs+4/gQ
No2kjG1sCVIe8DO3Jjwrx4oY+tfeZR3taMIyz4m6CNHF9gucQL7Yp2AtwfaB9qNvsU2oIHxd1j/h
RmD3NOP82eQJFh3ZHQNeQL90CAGoyLeJ3MPGCo04vjsHQRM8E/1QDaJ38zHGM4zk93gWx3FQ86cw
IzPsxjDYmI5bh3yOdjhGnSvjXZIYQjL2d9gkrTxtDj320V0bLhtfV2K/yADdX5FHB2fYOKJz2RZG
TpcbqJXJ56lFS1ZpT8AxEkkf5m2TpmBADncH10MshmO4D5gKUvR53aneW6iQRzc1mavyQK1bdFqC
uXfue7Bngm1l283yl6y0ru6tSFeyC6a6peAhxzLYOEVrv/WPXWcdCCiLgNKp703NeHor4ilQ5lUZ
pfYLChgpnLwpA7hNmYW8iTGdXzkv/mzDFDd6v4UilYs+5hw8JsobmudAxGopcxd70Q4L0U0Fn0LC
d4d7NTjWBYjh0gkvJzdGVkWspk+VPbiO88Wt+rW/auyqkvO/6+vxpsKvwrzE3rJTajnpno6/CBj1
KW0Y+/GMWWYoGXIzOtFKm7+vrncZ2dZf71QIiM7EQC7Db4ysl30sGCfTiJ20jEX5u8z2hPzosJm6
m2kgHvdLS/LK/J563J33bjqWcWExnrefGbdo91O/xNRCRZnFvfd1dGTkxqeuY0Z4WXrLwlB5CvZ0
f3fseCb0UM5V3weos+0Fj9FME8U5jnvjSiSc4C0IHZfN7SXCBy9rsRTGID/V4YTV0whBAQSGiQou
Dy1vB/HEZJLocol247z0kT9SaZhVRgxLykVvUJxnV7GlIngX6Y9YBXHyw8Rpm8wXNXNSUeWhjRs5
gUDVYf8mU26Z94zWtTza1Ab1ja3rbn6INoU5doHuDcvvKrFlcmM1ko2LOliW/talQw8vUhI21mMH
dL4/xZK/f8zdlFEBFv4k+L2LWtjuU1y5jv1WbpZrg1nJll1q1jcfLfba7AJY3CxX3rxwZVauzygF
eG3V15tjMHWOp6RdLqd+JUtkHrp65ao0U3MPIapSp3FNzHitd3dvjkvUB+03nD1KRZ87pfoI6hm6
lxqqyZ43w7Z7h8DZ+oRZBmBLsUXhkL617JhnPAEbezttEd3M7nK/Hmc7Y4uA3/P21Qhb/dJ29/RV
zCHQHmzYll8doUc3F86yvuKyKfyTdbP2uR77wOSo5ztClrj+wiMuZu34TUxtmdBrBZm9FJJfKrg3
tvJKsF3eTaSa6ODCdd4uIGZ6rwiQwJgiMPssNxk4XI6oxnlkkiq6Q5s2+7dNJeMzemjv05YKN6Fh
murjpKp6YIhAjZhXCrltzgiluhvovR9T3DsgModTH+VlXFbf5klMXrFEel7yXsrtrff3baWQXVz3
4Blf/dwwJX9bTWuvHYr9DlrMGF+ZCcN7mrT46ATsC0Iu26ugaRScgXm/ZQy0dMdRLOHNyO5Z8903
jG/kVhLQG9Zre9slhGSutA20kYGUfb5UviQjgME4k3lAoB/97tlPcpQJ8GnSLcNBddDbD3vF5Pe5
4UT85Dp6ApPGw5RwiCipNuYaASSEzoshfVS83U+1iiBNt+Oi3+Adpc9l23vtSQxlkjyPJH9/UQRa
QtgJbfSejUu7AcZE03Yot6gfimi17VGLzJ69HdoEp2ZMw7pitaTg3k6zt2LX0an+anHX6nKFzDze
RUiZalrqiOs70wNYBnZyzGswmwT7WX23ukW0HnWFNGUjwJ4n8nu5+AcGn6pMwlxFif6mBHfT0W49
fI6G1p3buM1IvjV7uV0Ca4nwMKVTX93ApnJ6kg3rvjvW5W5ed2gC05E2cvvRx171EyP7NM3XKrI3
PcZPy2lTqv6m5xW6clpVzeMsw5rRpZ+O8Ba3fWbKMvv6hn6J9hUb/uzuLG8QhdfH1VzA9GEOw3CV
ae+8DCQfyJ7c1ZzA0YnLaulCJ1flPr9UFZ1xThYX5vkJlY4+hHazj3MTLJJXYiM3rziB9lzopOPE
8zIIV2KZOM6zDGv1Cw9I8wuDfZgPS4spdcGyBLhu9lreCEuJdVyQ7iwcbudQwmiv1ddWBeEnN7Nl
l3Pss278aZv9W0dqXecuk6A3Iaa4o8eboHSPk27SE4dRWp0IU61OxpWOKRKGV96p87LpKZrEfub+
Rf7dKHT8iLUONq/9yCGeO3ubbseq3rbHGmruS1Ar1d/oLB6rYxkujSgUpIP5WEalSJn1UGScUs1U
/AwhAOsvkRESLNOL1Mnz+6Y/GRlm4D80gICws10Ks3nm28DdGxadhw/OFyQWw35QLtw3cLcqEUe3
ympc0pNgumGSso1vXrOn9XEPnfR7Mk5pUCg12OXI5sY9oemHnnx3O2XhlXLH+W6xpFwVOCGBsqd9
P1z7owOEXXl0cicKBP+zihb9izOU4VZbu2ewCGTbpf20XlrohjDo16bR+2UDlaIDg3UYzUIPal91
paNPnsWY+Mbjvnvaey+mHvh3kubfeGWwxbFVSnE9cqnpPpoeDd28GYoqcFjZ6FNvq+hqaf74lI9S
WEx+sTvCARxnugzPow9MeJoUFff7kBZSgkEnHd9+NHpwn1o4HXYLRFHjRv6Hj/Y3ft75of9HB0WR
CaJ4/vn/0O+N8LiJSmypQ1KGb/BJHl9GIgYuekb4//1RpCZD1sU9ilvlo2ALBx6v21qZFNKDVxCk
9Xwh4tZcVJ4a/uBV8pFVe/ZLPqe0/18oBE50Hxh61SoHtt2SFmUjh7wtSUtok76+2JomzqXZ/yRi
+IcFciYMk0mNvRnMwA9fXbvJvYRCksEf2Pyrbl/sVcpB+ocX+E+fCkYzmlYf+9O/LRDE7H3S2iYr
oPAROLvCAA9Krz10S8TYt9HRH+iU/7A2PHLcfQp51BJM6v+6NnwY4tOEwr/IYvWjDt32IFY45rUZ
/2QP8k/vD2tE3Ko42FmNH1iiSOSUVE6dFSAg+gVCQHLXUfb+4f39TbB3XhYZOj1WRIy/wkedrox0
RHfI1+TMgPhjK/07WBveQadO8LCodCmariqfVWy9z0wWzdGHI/Pyn88SND5wvkPuTBQ151fxPxuO
1i5BpsFLnTTU+aLOoKrA0gqC/5pV4iHuOi/JFOSO9Ofgw4P8pkLJTeApKt1kCXMiBuCTra70v+yr
/JNt59+XSoAJJDMtqLeck9mHDedU3sTohBbeqVr7g/kJw80NT4Q3hHb1nzKmPwo2zp/srNWNg7Pt
PJ/wr6+waSavZMwB4JV46Z1Mhu+KKfWJquYn6FdfoK8ID61Y1j9Ief5+QPPcs0MH++9Maf7w3Nim
2qGgZz9ES3SSxHUVyoTJqc+kPDgi3grX673Tv6+Xf/ywJBazZiAbI8D564eFTGJD1TJXmgEz0LJD
dYfjt50sgYP5HLbq6HsKJinm/v95+/Nxz0EiZ31tggLor08eQkVAUG+zogz2/nPn9MPzFnRAqatd
+4d//5R/PwCQ8OJ4fL7/uI8+GsfUwdTIRWU8axDphbtu6sLbmSP8+1P+aZVGdLRIi9j/3kf3Adry
Ehg14QC1kUYxPDK3MkN/s8GP/8MN9E9rJfJRfiEmTc6zoL++vL3NJpXgwFRksLXu7byV9yHcn68e
fgzucR/Ccs0pApro+O8f8Z9eJP53pKCRqIiM9vwK/ud4cRoX/NPQ2e6r33/rfBH1hy6bg/Xw78/5
KJU970GElQmCzgjvseDD3TA5HtkHW5whJUAqiAUsO66ZvQMTCeSTEBgInzHRu4YEeb8G6X+Nqjw/
nmM8Sphc4ov6MfrdLD7jWYbLRYlJdhFi1p43fkLg3NrgbejOf3Lg+6eVg2fj2Ys1ALf/6K9ZYcLR
bMhYi9S4y4kMmKeS0KAD+WjpHy6pPz3pw4vFQXSvN8WLFfEYHbveI/ChactDr2R49e/f4T8+6pzR
6mNbgd3Yhw0OnFUKXYZZETp1+AOjCpLQg1p+lnX1p4zyv5cu52jt//+oD5cRBUZsGDRlxVJlmFX7
5IkK8LMjGd8RhMz/x9yZLceNZNn2V8ryuZGNeWjrrIdAIEYG50l6gVEShXl2wAF8/V1QZd1KRrLF
zrovt6xMljKKBANw+HDO3muTLfnzj3Y+a+oWG5eF6KD+IDxbZ9fjcAPMrc/6QCpS2+I+GpFmTd4m
W7IDDGMcNk5ECceY8u6Dmez8pv64MmAgPIXLqnvuXUz1Hk+jrveB22Xu96KqvH1G9xcwvlZ98A6+
dymIiSpzM7RByzybY2zA+/kk1B7T7OB+R1Jv+tgi7sXQKh8dE86f3/KpsIstfOAljeH8fcvzvtWT
CBWrYownOi7aY1vIdkVzwr7N3fwjV9z57MnlFnMupBg0iwAvzz6ZJnqCT1xvCEYlQSNpu1vrh2kC
DwVN06ri96B798GTO5/SlosynbAvM5eDnne2CU2soRFOhTLTpcm5JOZkuwEUyUOLV3jDjsMKKPJU
h7hv3Jd4GuXdXx6ybGl4ihyPDD7z2Ys/RDTR2qkQQTG1YiuyTVXdGkXUXxexawW0WiskI9VHH/qd
MYQz3wNt5sE9xDX1dr0YejbzXEQEWZvSp7F1ZfbZodrfozZBS/Dzj/jeY13c+Ka7AHAZTG8v1vQI
Q9ibCYxSRuJ7hS0vqzburkNtijeiQWym1JX6wWPV3hm7WKbAtIIfJNzjnFSeJ06kRlktUKK3+qVO
2Zaui2uLL7movF0zSHnvxHN2SEWn33DCy58oChtBg2O3If+GVlnoFQmVKewaQViFxkojXPyjHfS7
vyUKtQUgiMb0fMiPHNJJlU4RJasY9BrhzitGibVrc6XbtbaVf/35s3hvtDtYXTCko11Qz3d3mD3L
wrBlHxioohU0iEoeBgaKJsQyY3kkSzVZ414Kj1mSd7sQ5sWw+flv8IP68EfX2vLCsTeySboHioyE
4u1waCly6kuCUZDVdnGk7FZsHPLPd06UZOu6m2a/6oR16tS5Dqy8QsbNEw6avs9opSBw+vmv897g
JGrGZZ8NLMI8R/Eg4I/CSqfFPMu4OBaTmG4GFXOFEltfsjpy6DGNzQdj871rgnxg7wskltXqbJmS
uarOioxEgDMo9c1JH5ZWlHBu0skdshXNO6oJRWg6H6wc716XsICFVIks4TwRTaMLPseU2QgvN2z6
B6JcwLE9OaR0U2Jss4oab9KsMT945O9eF7jhMsth5D5/4pWIx6S3ShGoem7snDSzbWTFIj2GuL7X
QzVpNEUwk30w7yy38Xyg8WqxhAHEBuC4vAt/2BRL5L29buD0AJg5PCTJ2K313rYefj6A3nmjCPbB
Ns4LDC/ynCOAljS3hDd3gd1WaeBBHdpjC0BE0UXfsS0PfqePus/WwIDn3xv7n1/9nVuLW1MlwNPU
UO2d7zvYJ0xtpsUMpTy1j6mNat4lk2nLDrULRKnDD2i6j4A570xaXJRqCruCxcV+Nn5ZySDNeqxZ
fU8PGXIKq/NEUT1zwsR3LDn89XcU1JG+LNKkLqvna6TbLcBl2xWBmU/KsbO79iZG2VttVLyRia/m
ItpMnjNd//V7y8mfLR03VieK+e34ETgmLNT0IlD6WWynSit2wqrVAJete62jV8cg2E43/8ZFTcob
OmiUZe/89qJ10SVqbrEy21lcHUeTunfrWsrXqK7HrVrqlwTrTtkHb8o72wG2AQxhnfuoQ+B/e9Ep
TB07N0MRVGHRUeQ2+jtBxmbO+tBiQf35J3xnk06wBW5qRi0XOz/0DwIFYT9INlwT3mID+9jBkrNx
p9DHXAnc274Bo3sjsrl9/vmV/xQ+ytJDI5QE2QWctUTevv2cajmzxE8eeiIqBfQnpuayoQn5HQPG
tIlrg3hUo26tr24d1njX0Sgj5lB09ZAT/P1ANwZBoi7LeI2qCb/Az3+7994q1mVeLIqUHCLOHoI1
SFVh5mZddBGruWSlYx6K7BOdcXUVRsNfJfv9uBnUrqnAsicjK+PtzZhiV3OahiNL3FOztgT0Ap3i
5DbRhf7XF4CFD4xu1FroxedhOPSKjC7GDxaEaMy3bHkfS97yLRMMZxevta48vciCv347CcSFewdC
n/ydsxcJS1tlI+LuA6uoqBVoZX8lk3IKvBBhiUnW2+3Pr/feTAxjz/UMNnMuKVBvb6dbquRuTuUQ
DGao7sa41/DQd+IB96MGe7oIL+2qyj6qG7w3aACZkuMC8nKhJr696pDEnozwFARlbxm+7TUoy/JE
WSMMVBYkgfHBk3xnpjBQCJsGz5MwkPPr1S4zMG1nGVhTlJ1qK2mfWt2cttTTsk8/v6HvfDQq5aDg
+HyUfO3l639Yvq2ZWuc8p5I2JPJLx20cbMQ2BkSlR/wNKn7+YFv2zgVNXNYs4vT6Frbf2wuWlYkD
BbNEkDVRuClt+VqYib4jKq2GflTVHwzQd24lOE24vnR4YUqcH4topPf0fVUZdExaAcq+bIuuwURd
bn8ED/9BdTvbCi37IBLQwHxRTT6b+OwY6ZidjGMg0njaWQbUgiZR+pu0T7W1LUXH8VMtr5O+Uw9d
jb/G6rz5SpV99DmBhP0FV7cJ4cBod8MSyOIYVngXhW1/6XLoOzAe0l2JiWUXRZn4CE/23oEBnwKH
VIqO1p9DrmbNIEIT/VtgtV2FRCjEiGXpo3Ukoq58qlBysIudxujZYz3eV00CdwSpkPIqjCrBFAIQ
oFv/fGy+s4bRDaBNprHXcWhgvR0qqlIBRm0ZKpotFMRGhbvQlwaoLCi6as3MdrPidZgrK+ODA9x7
V6Y2TyGbXgSkovNpxurJg4+jMUhV5xuBEyYb9llc4ii3Ak3o+ZPdDclKdl7/wU7zneFKC4S+Ekc2
hquuv/3IEe6vUtTaGABFj5GX2dmKjEAjsJrhoxjud6ZSKNvLdaiFwzc5+4yGyCOD5XCE2RAu4nxT
FluUOiM93BFx4zS3O6fRhw8+4Duv/zLTEEHBxkDVz2vok2b1bVZhbK8nCCcqili02uA6drMcS2YA
0B61//Nh9Kd7ymhmg2ktvQnKeecnFFr/lTa6/cTbl3SXnRaXW70y5RYp5V/tC+pcigELoYJdjPun
PLo6zQc7deBgLKLLA967ZJUNLjojKtofbGTe+1SQpgyeoAu05ny1L7V6Sl1bmQKswFToi9bsfQvR
SoxMSebBz2/hsoy/mdmACFKYhJJOgRXh7dmb6GKTQQkLNiFBLn2JAptW/zxXAFh+fp13PhRzDwce
nfvH/7y3w1+LgB5EjTEF+QAHwcTzhf+FnN/Iq5qXn1/qT8N/4SLabI2ZsTl6/GBb/mHhszMPBMFS
MMe22uxE39VBh7tyLXpl2lD6np5ULZebn1/0vc9Hec5YcLKcBM7DsGIYeZhVNURHyNfgZujJbTlR
s3ME4th/51IGEQTLh2Ov9PZW2vjeNFSLi75JkFJrdaiW4M8hifecf/Tj/vPr+F/Ra3X9j4HQ/f2/
+fvXqp5AfMXi7K9/v6pfyzvRvr6K00v938u3/t9/+vYb/35KvrZVV30X5//qzTfx83+//vpFvLz5
CxYIfEE3/Ws73b52OHd+XIDfdPmX/9sv/u31x08Btv762y9fq74Uy0+Lkqr85fcv7b/99gv8+D/c
9eXn//7Fy5eC77uTiZhf2/yl/Pan73p96cRvv2jqr0tSF11e2nhMQCbzoXxdvmL9SpAHkxGCFkai
jurkl7+VVSvi334xnV9dyFcqB9OlaE3F8pe/dVX/40vWr5zlgFGxnWFCW3Qj//z0b57Tv57b3yAI
XVdJKbrffmHbfPZic0ojHnYpUlOX58edHYeMpIsQgOIb0c05fs5MLwNHkOJ41MyUDYDaqJ3vcUZk
7IgIfSfMaU0qznXR5OE+nhs1qGNPXZkatU2vE/UdbpzPNXuuvQh77aoYK++Y4Ui48Ni0nyLOW+DZ
0ECfyoQk3GS2zdPgtYEFinpfR56NvWHohsOYzC4qn4h6jwLLAJeMJkkPUPptH9pUk1shNvjs5k+j
w9ZqHDCk7vGGEAg7GNZRS8e70quS08h3bw2nRYddDhIlexe1zwI+BuZk0W3wYd/k1GpX3ljCwwQH
4PpKEUdbfIRpkGMfXmcmqYOrFr/Hqo0Ta9voBhDzIsnHmxTIw2pZWH1mJx25AApqMBT1AeyJ3OZR
aWywQQ9fZQ7ToDXMV6BDiPorSAYVZmpfz7z0YOfFtJJKTvnDaIcT5azhoOUEB4N91Jy9HHSnwIEN
cBueL6EzY97Fz2o5KV9oJoi1VnvZCr8OU7+WTIexw0u7crRR+TS3GvLbPnV2Qhi4iCq78T5FmsgO
4O7qu643SKI0hxySZZZ/HyEp7bJy2IwhBfIu7qfdgAFyH1dh6KzL0tiKVi13LuLiB9lCueqxxZ4i
Y3aOXWw11gqg/LCrMEBiEkxy64gbVfP7up33OfbmSyNRgUvaRbX1KjUFgZsupmCjKGEPEmwKeHNh
6UyQhHvL+s6EbB+HtkdyHFbzzTyY1o1eIoK36wJ/DMLrrdso7dbzuu44zAk+IiOzD2j4ATrDqdk5
Eu90xEN90HNFAkpAL0xvQN82wBZ8HBPp2mIrt24MRbuH3JDraxNGk04nYmVbc7iqRwfDHp51hP/0
2It624nM+YIelX/Fgsuty9W1MzpPnKmbjWRxRAQXdhi0GucA68c8EURh+RyEgNo4SbF2whxAMq7/
feHOxT4uGrGrPQhNtvS2xTCoj5RT3HvTDsVGepqm+J4Kmyu3czcQvT0ghU7N5yrvY/T2SoRHOdLL
Y+iVcbpSO7yLnL+xQZhdqj3HeTwjxxuGr4i3Jz9kVW1gwun6uqtHbe92FourWibxFolyyB+WCGTp
wG4Gvp1DsQAh7U2gvgwU7UFf9fznxLMcVpOta8jpJXVtKx8/Y1dXffx+45dSj617LBqfM0Vrkbrm
xiVy12OOkRzXoKZtDcXSrvChhEHH4XYr8XwFVQ2CqSy4RQIa6qlpSJAokbfu7NGLAQiBYhlXnRXH
zqqe8v6xkd6crUJaqUhy+2eFsuGDPrQLSs2Um47wX3Ucq11JxMFaV1oVs332XLmdGkjTCZ94VfuL
NHXzmyIeH53Qc3a9pRiBrS+jEamYcTWa6W2eIPiexJhslCTLrsMen6uZCRcSlhz7S7T4JsTWKqWH
UFZN9mjr47iDkdFfCWNwXpsx1o6Ti2IItWxnYOoViY8sXMKZGlVxUZjqqAQyUvST3osCwX4ku2aN
Q7a8JJszxRZTWBhssnZbwQ1ahf38RZHtdIrB/3/DKsCe0oS7tq3rLvZH0x43navgh8c89aqFQGQ8
ft5WySZxKPNCHvVMmMjpp02dZw+ZYlrg3WXaYpJX+kIe3D4ZvKukmkjuUJo+e2p41S8rNi+pjz99
vqmU8uRGrbk23Ejfs5TF4UqHIYCGHol6kDtmeT9WxPTuVTUqt3GYdfU61ceA9SZeJYVy0J1IrjGH
ixWh59Mqb4gPwOav54GbKI8orO3jnBXpPX0D9F7SvYgkXDvcfvqaMib3vYrT7WiHaxqEUbceFC/a
G2bcX0QgkJaYRnOL7wDCUTZ8NRrBitWnxd6ADr3RNHBnIxRbvPVW5qP7xQmXE2OMCZUodAiNwQAE
rqIgvKGr8NXO2k95BxjKG56dPL80IdzYiCexb0UpVIbStpMV6icMhtFY70RWv0C1mE7KVEUXlrYM
EoIddyp9vaA3hIEIaoy0XT0zU6Zzd0lZ1HhWQi0KotwsDhi58eXCF7rPEmf6zO7aDYBKQmrJ+hwB
3NCBgJurT3rePHvDdJlJ7woLZbhqh/abaJuWuGu6zEyMAbOF5JTqjJczNV60V8mwh6p8FI4e+5Pp
3hi5hlJCkV9KqYRPoqvjtZGVyToq55ll2yt90vnSdeJ6wJWymEgiIMkYswwQY1GoR1c5sr11Twj7
TZ4n7qrrs4seX1XjWyzAFaxWWezMxFPv6sHJXgqOB+kKXrbjY0EK96RFNNsOvhezXZ8/TWQQHoAC
zFvXhiaChTskxdqpnnuc9yaU/h4Ol4NJRdNr4wsH1Hqj2WWC9F0YDomunfUNQLZ+5eWFetPWsQOp
gF/1CkvohKO0O+huOh2kE4WP1TBa6TGpmvx6DMOvmpT5oQ1ZxGxAAZGjURSn87SV41xtqCViFXRq
Z+9lCeZAYcWfmimxgBTVBjRLJar3pRWOZQBidu80rC7Myy5/WNaWgamu0wqbBoUT+yqbVChDUa7V
N9E4Oy+lnl8PEMAH8A0qCvC46MoTjxiLk4Caey3nqX80MvWpq3ijRpfyUQL/wEXtj6cdzNCmaiHG
awSOPOihUu2iZrBiv2Tr6QCYUxdyBJuIVU27eY0Y136uE3wjUW209ACb8GQDebuMQVreYo4d91qX
NetYaWZ/Klxcg5WBgR++qvKV3zE3V5rKqdkvBte5jJpQO0Y46jfgKIGhm8LXrVYPgIyEF3NsG9s4
x0O0AiOXjavMK2K/x0Ky8fp4q3R1uauG4gRZR1uRRUQrAkhL5SsDnn9QeyjGs94EeSRwyuDyyUIy
znvzs6AOTEiaq4yrMtUy7LI2iEh9YXWU3nRZhfCVZgJzDmOrtfcpvDuWEA122aC5oy81tbkeGqUW
uxwl73rkZSd3IrWNxk9AdHzGLpMBHHA16evQNLeg8iN65K5yl8UjExcmQdLVpV0/zm3afGppb6sX
sBjC19xoeu0uhgIBwad25k1FKSX058T53CbDnEMhTEx9U4LkIiYX5Kplp+6DWXXfW0P5XgnbuJNe
6K5djJUYNQwXJpOoixfPqAXe4Txt4EUL77I1nZ4dSOE+wuxR0jVfVQ7IsLeaSxIS6251Z5pdu3U4
MmwakKu3VspQaVzMQES3+2kv2o2KHc5lr0WHqSp0gj8saD6CB35lKfaTyV5yg5EHXEDkxME8jumr
W8zO2iWTZd9PrKTUoLIduKY64Ek0O3B380M50rAbis+NqRN8HIIadSiUsYXILkqPnVgx498nfkIr
PjnEXqycJLkwrfkOBw4eecIPXlJhXaaZaK+7PIv27FNuWrPZ5HZ9iWflVa88GlflbaN6r0Tq3Caj
+dXI9K0CTG0nq1m/gMF9L125z3PnOuRIjdFK28OT7qiXAUvpGoAmZmzv2wiPLz5FirKOnvmtxZ5e
quvcjMFB5POXMQ2XbrwE2u14IoUMH9vd7TQ2GlrHpJJQEfuqIAfYERY0mCz56rCDvdEpiNzTdKCs
EwsbqpA+RTcIPKCPqrn0K0fP1/NoFHdhYaSr2RthAaI7OWCdjwKJI/vKs6aJMrvXDmxzk9A+YkRW
bFa9aIFjKvJGwhSdNl6uKuvYbtPbqOefLMrWVptOqqyVXeelyc6tZ04Lcc7qWpD4tleiXLl25sp2
fY6U86WZE7YEji7iyAU1kLDQ6jKm0eUbBIdem4uR2akTiA2wJUid5by47dnljMkIqaXDJ+MgkqF7
ReFnNQATCAwzZxYu6niXyRAHTZhSCi15wFbC/MPaazTHVOjw1dxoPBXCJAMieQYWzI3oylHZl1PO
DqKwt23Yjz7YfqK88PNq1zU4ZaSm7m0+i3Jd9s8lUA0Wk/6uSGY1cPq52NlG2G5cF5JCZDmHshDy
EBsGJAx84Ddxo1/kZoNxvp/B2kbNE/ZC47bBprwCFNmtS/gPJ7uB8GDKpvSdNC+2hHxFe0tXwm2l
ejPRjGRVOImrn2Jt1DdNYZtbJA4NNAinuUkLhvcMoW4xT0p2FuNpsJIbACbwD4RU9rKe81NIKhSo
2dJLA1iuRbYRyVDczmL81qeVtpM9SDKSE/HX4jyK2XH3Snlh8dqBluk6y0+Qcjw4uuSVjSLvVptk
9tQD2NIDEQ6RGRBH3923LmkCnKk8c/kBhXMRJSZ/ZEl0k4R6OfqjXdbB1HrzOtaYEZRZs/0oXhwR
ZvkcQS261GCzRkBcFHi3ZeJ22P4VIglcGLhFztMKc/WAZxoO0zBzYEVWkrl1eQ2XwuEYmUbX0Ak9
jOFlcWtZs9jErTr7DdZhv1hiNtpBm9fgDhh2sD2ab1hEqydLWLlciZF5aBVRYjCrBP6etELjcWxc
bVuldnY3NJO6hnhjbcTc5ntgtNkpSc17BgObn15M6mFWuqYI2noB6I9KsycXOgkovVaszynPN266
fsX5w1w+S7xSwnG8Qnjk3rXAuHtOqZ37vPjXj510BfWOuj71iCV9DN3TvTtbNMP6UfkSztPkE9+T
fNeE7T5TcE33cMTG+/+orKIBS+Hqq8TScOYmkNxi8Co7+Hqanzjqi+am8vgfAKfmlEIH+B7DG3Zq
QzbPhB/1sk7tyzTpQ9+xvYjdQnLDsTO91Ebtd43FXyrQ3VcF/z+vub2p0/2Plbk3/2r7Wi3Vr+78
R/3/WL5bEon+858Fsj+V7x7gC71++9sxKaNvVfGmgrd84+8VvF+5/Ut+CWlOnBaQsf6zgqe4v/4j
Ox6FJ6ZCKsm0UH4v4dnqrzhqERgsFXp8LYus5Z8lPI8vMZLQ5WHHIC7ir1TwfvTA/lWZhzhIip+D
iIVK5SL6Os8qpONdmW5SFP4mvStO9erS3x1vjuvv3nr3UXFe/xEo8PZi1P4RDvObcyv4cG9rynMm
4lnrtRj7uAP9ZmVXreNuJEJvyL81kuntlOXesWUhrMAbxNqjRggDgETk9bkaOuRfycj9HmaV9n3s
yupA7SfaT/nkbMbCSe7dSNbB2FV5ezfP87h1yqa+Rq9hH+1JN59LCJzbCpErBDBRh6FfWZP6OSGk
7bOtpU6ChZQtDY2tEiynWeoq59SxGTCdk5IA1t4djC3aLfMOql/vXWVeCSZezKmABuagQ1lHGJuH
vQfwQtsUMDqe9R5c6LoSVBkCgD8zJ8Cw8F5r9oZyJyILCWMYKiZZQhOO3m2bqaQvTB0RB36rdRJQ
+ID5bhM1mGL2imMO7q3uxeCqwkQbx70ZFo7DJr8rsoPqKPB6sz4i1a8wxm1ZSNd7ADtHNK0NmXUn
PHviEt5YfIpxD17JBikgVFJXGXalC21n1t0pXNcuWF0oANNwKihypb6co5yTL+HZzrYwzDAIdSLQ
YUlGzkVKh7XCEA641R/DwdY31mB2GdE15vRNzCqFCM4Rk7Wth8ppr2MZamI/pSqwcbN0vHaVKFN+
V0nPvtL1ekwCQrKzkz4x266sOB+1jd54yrDCwlJ+ojSb1AdCbqTlT/OsbbpuMr5oAvP5Te7Bbt+I
OOUXtkBIwUOhc7khEkmWWJLj+gpKXNnfz9VYcSbx6rIJPKfwuj3hMeoXYD3gFkIy11bw4qG1lazq
8timrfsJvj+YrjSMJMATFJA7jA0GHvs2aXwsueJmkJyQIOfayb0nnBbCHxHuX2FwkDkY281zNUn1
ZDp5smsWdmWvQNVZ9dHgwIReYuZXsWrPey+vlXucScWtNw5NvyYZyFkbRdwczR6q2SqBlnBX50W7
CRt9mgMBjZklVkbZY6W1zXVbkToKbUJ2O5ezjIqpMMWaT2x1+GLBKftaNQpga8/t5m1fVSpAGqct
MNOPOEgDCr1NTKqCFvquMpWcvtNsZ6eK8dhoUCfWuRtWr21odaZP6AGxe5AVqN210nmJYkuffUML
q5ukteotQji9CcgJdK5YqnRI3xlEjtWQgNxa9So5JkFZ5DLyeyNMX1yFCgvMe6XctHjXTnS3jevM
7ku5kVY8Aq/UEupHHYviKp86orWgb9XWHgNOflJGzsibktf2iz1pWUSBFKThB+3fs94lckZm2aXJ
vfQUOemd9S5hRQjVFDbBZ+26Arhit9HuD6vG722VP7ZR3r0Cxz/0M9jDyMt+Oy12nKNbgNgEOber
dnZ2gB3/H69wNvF6dS+NouYKBYdXPoMjun/nCggwF+EB2mHrrF2IIbBjuFjaqnfWimXumrT94Apn
YW2I6lAmo2aiCsaCiAbyrNcEyCpujJQTDN4AczzFfa3ezV3hPiWRqWhHtW0oFDiCLoeeueWpNJMw
0GsnP2lWBL/Fxcdob5qxL544nZmO30WIFJ5bbVALyMllq23JLVHHC1VR02Kt5Vn9kUjmrXiBT8Do
IZjcQeqM5AYj0tsH3VTZ2NiNowEl0y5UeEJedjArNajkX/OH/uNKOp1pQ8VfvIiK3l5JMcnIUnMF
TdtU34dumx7Z+d6UcTGvfz52lx/0ryX9nxfCisoGVKfMdXYh0HF2kRDusTJ7e10krW/I6pEYgeef
X+bPdw7fKdoBvFs8+z+9hFDeKndaajMq5nCwspWfl+6nsbR3isw+uNYyVN9+JMQl+G2WP1C2nRMl
EoeCt5qUxqp3x32Zbhq4eyOJuXp3jJ3Nzz/XWV7Rcv+cRXFJuiKtdlz2ywf/g4wgs8vOdEeyLEc4
QLn9CEOLNcJTKsowL85SaTu44JS7j3SsIB3eTjs/Lo14GREDsj1GyPlolGbNUaaEINboVk8xYkCU
wXEvd0gU66OrUnqj4VdT7nyjC5YfIlHOt4YciLToxsZcmzQ0qx0LfXKVVqat+5ldlzEOsJDei231
ynMti3w7WDWJNzpL4pGibP1A5CKjxepTcR9OifYpnDvvc+ja9Bg7FyPlSreaMFlr9nJmVooetlmC
F2Zam1HdKhCkVeMCorXYVy67uxUx5cOXvJaljWtQlw927Y4EWDVEAlG9dm8tehTdbSToMoDZMufx
UKihahyjWqpfRF0n1zkICk63RtgA8CQI8KDWTmeC7/GSW6OPXlkfomk1qmUPhHUEKbaihEkDAtm0
dic7O9GPvVvr9sEbo+aumWVb7cfaajdTrXTfkikS11YZV/tCj8td4UR5YAogEauYwAIYzvWgt9uh
R+lsmBIWRsPmBIii41bqyh0qxVyLRQqCp1yrv6SJQvtmCSJk4zllxXhVzw2B7aHeFKeinYYXIgmr
Y4MGZh03hHZ4cFuutVav1hXaggsKQDF1U7ZTEP17Um5QOldXOtSjYjMM2BXvQHQ5FFGaptNXdtZV
46lTukgeI7sbCKDXwm60/ZRuZr8lOb0nRS1znGltpJW8q0sniv0ucbNPHsEOKfPdzoIhvYnd1rhh
Y+jdIctujK2GcjMvYgeKuwLomNPOo2Jr4YXSeo3wSX+ILuokK+WBh6lvMGsDOHbD4YAUc6Iw0tIT
IWUpLe8lb02g4AYbNyVKavOip4cDhZ5EBOtCRJK8dzROj7U+0wD3+r4L0FfRWqsmu42v2Tw4ftOl
YBLt1K7TlUiq9tSLgeKPosAJFkab7PUaKePtUjOoaW/TgDkW3MorL3abPeULFg/sjpI0KMaOsZX8
OIjzsVZk7FXyBinyPREwINz1aD62pBeux66WyDtJMEL5kOiVu8ElQYeIHSJdSKE6+aGRAy0rRHsS
0AZMO1W/kqgZ0q+DatgajMxQKLvJ8nJ5hzgkfekqxauONIKcfV7OJVgyr8pt6vKedW9nZZuAUCwx
KXrJRN5KQznwM7WHFNgWEA0PDi+r+tbkTDb6IhW5UYCkdKi0tapN3AX7y6cyA3O/SfROrg16/Bso
kt5djIVmYyED6Fa2qosXnbLoxlR6uVMm2V5DQbPZPpv1d12T5i5VC32TkJ+1S9u2f3EbVLVWlHS8
XGPuDmvNzMlES5KGxj1lDUBvk6s8dGGKvKSUhQozLerjbxWcsVuEpkvaPCykp9YwJHwpAGAvXpzq
UNBDtdw4crAOnU6cB6+uZm9ok4hnG4L4ywTKrlwRFGFs6QCLayDV/B6KRYlLb5vikNitprzA6DO0
LXUbJegjYEZrqABjvq71MVICZMkAU2MmuWGbAWK5MOfpqSrrmAyForyAczh/JSYgdLeygBAecBRu
Jh+esSq3owL9A9hqmDxMSRsZq6JDimAVodKuFwRREqi5WnyXonHXWW1I75bc8pb8eThy1lHty1G/
AgjfaYFm1Mm0zqwW2Br0L1VfoOfQBAsLxPxOSWiur2yaDDecMGVzarWUHjgEWqqu60alzpmsRQKN
g04+0Tk9UzSxprE6+smoj/f83uUaKbt8UWF1158EpyUQMCZTB6JrTOhiIOXoaKQOvMZYYTO2aon+
2ZaNJrd6KLVm6ywsQQq3kKWcVG8PRdMq0u8nZQ7o4iTmClK7chuTqBptVK9MHuawsB7KfrSCKS3r
g1drMdaonhpj44rp0a0Nsgc0vDf0S+exvyebJNP9JCnLa6GkpGVg3f0ie80FRuwRa7Sxs7k20MzE
rvGQuzTSyxHiVt5GrbOrBBmTexpTsg2yapo9Gz3RVMs7zn7pfMjVJCFJHI2dee0IWHkIfxrZbBCb
98mNrdpFoBa9eqBVXGmf0VVo5dpNrMa8luwfLxrSQQi3lLO50xpCh3b43ON1NOjRpWaW9m1Z97rp
z3Y9ETSghQM5VAm6jDJAI21HL3bLc710zH7J3svhk23SftaiHfzLSX8UWVVz0LLleHTaIdpVXe1F
J7C+cKg4hrf7SVequ6IePHRAUiT5MbJ6GNnk3nrXoPh0Lxj1qagP01jkkW86HomTmojgs4D37hrC
LxR6A1DR7XwDBFMFCKe6c3ZUrBlxQ0r94nbweFt2Q2br9o61oQWtiYLisiWQArJkZD0VkQ7IOaXo
IDdgMAUKXa14ojMxP89MAM4mMpNy0xGnl66ZbYd9k9sab4ltdTEpHbG2jdS2vxZzMjgXtAvGJQFi
irRN1o1tg9rn/1B2XstxI9uafqFBBLy5BVC+aIqkSEk3CMrBuwSQME9/PmjPxJGKGjJ2B1umxVYW
gMzEyvU7z3gw+6Xizk6QccGjX+M+FahwUDI/kpehciQgTMfO9GizDC7MgZmqYueU2YzfdzZRjvjC
AjKwEosdzFm0epcsSzr5Bb6cB4H7kHbOvZV472t1VD2Ytek0m3yQ6mOZWArm2B7P3e9U4Tm3ljHH
D8C77D308M1PS5I8sE1rGc7kcmj3bTQN2ec8j73xtlRgEDg4i962uMu7Z7w5VdpEohDDqUbcTtvD
zmgS9BWkeg68YuZlCiWUtkymBNGcTUepYl1cL5RWU05w4FdlKgrWnXRHejrdmBebCrsIoMR8Mjfg
jVX/TSHkZlOOC/qp2GjUvQkskZ/LCCXrPnUNJQ/xG9Mw225jD3Kd4rUzLRvN6kAVItBnQBBSzMbs
eezxfAwnUXjura0tGZ53kwv+7wL6NcQOVvEhi1T+CoHp3+eFnDmCcOK+3klN1XP2WsSQ+7irUusQ
L0NeHTscvEO3HXvQoRKv2AcNG0MZ0uHL2wC6kwhLogK2sB0XKqiG/joddfkI5zjAIjA7unErwore
TEi2yr5VreQ2MZd8F41eQv42FINIw+YhZvWXSGnh3RUglfsJ3jc2xhaZzaRMumecoNXuV6tIXAMl
nJqxhbHXFYpS8a7FQQWksivlRZZjm28iCQFvj+Vkf5t4lfqlbKcmZyMZmtXyYT7hLT+ZvtsDrwCV
qdO8He3OLD5jU4dlXAuWihP+KqrV+05Q9aamPKtzX+s3HnGxQEODV3zLeLlSGKyElQq/2MwnfcE+
TXK074l7L+/JFa3d1zGXcfzsqVUDN3LxMl5ptvMlQvqxTTBt3xT1OFJMKOoXZULrHNCJ7i6TQbKt
X5adfSJmyaXp4Gb1xvPGUsHUJHF14lkVIvbmZJmIoqFcxPSgmaqjuSjRtxKXEOwg9Ur5wjGKQEkz
RZDy6FSJS5bFkpL+wb2fX/ssyucfukNY4DdN1Fq6HZyS1AO1SEX5aJGHt5d929QQAr2EWos2Lt5f
rlaG9Pq8jW7UxGB2coKppHfG0zCXnBPKRp2PM03Cg6JhskrOFvnaZ94YMigSwiV9x2zbX5WZU0HT
2fSnLD/MeX4aBmDKuTLMDSAzUcJIFJQDEE6+deokxr8wi+4mhJ1PTbftKeU7OkOEtEgWgDrhn3y3
WD2danxq54VMrWFZQiKiI44b+eJcyARrcWNeOvfWJdNswynDuh3UmTOUSTYE0XTFJ5acu3Pwxj51
XqNvFbdTfmkxKytga54Po+pF49GKSCo9EbFgUDXOVfwdbtSwa5elUT5BVDTI4qjdSA/qjMTatUZV
txq+NBOQYGbJ5wYRMqcwD9Q+n/piIyyF2BqOWSIUfZ6fu2IlwIEJkHFA0Km+i8QULYd0Web4UCiJ
mQZaV6rkLFYtATaFHLODYo8QbEXWxtXZLXA59y0m7edUOBUh88XUjJt+GerqnA/LeKoT3ZgPbIvJ
gUMVRC+osGq6gU4+f+dtkBGgtZQGzvQ4/B7jdj13pXhua13V44iPCdQ+i/Ear9XG7vZNFifjA+GA
mI0LqHb3c1a031qnkzcGCMMucnKyF2tvmHy9zXEeGJR0/Ix+XmLYWk3joIMEo/+BxthPDtg59Ihz
TRfdOfYRJrNPfeXSngSEx3y+NZr8s8GhOA+oReTDJAvjokxR99XtoLNssJsnyDVR+5O0CvN1KvVY
BLFZqtXNAqgK2yTtRfJgR6pOrBWuqrVvoAc4KTKex00Lde8W5+Vq35lSjOvZBLYLZFXLTxspvjdV
OtwphE92B7qO+TczNtue0NWwtyoCMZZZi/Ibq02WL5ZGfR7qvQATN1KFI+HcZS94PBGZZ/DaJWyI
Hj2ZE4QRcIzh/dODDOteqNhChDZkXl4BndOcjWwc7UPmrRhzZ1EzeEMRzkXObz1PbtNc9tsZUdFD
o01YjaqtAy3NNSp/rFR358kk/oqJufXUzA26qiqCOINRenqpRac+C40ja7Wo+Z1FL2pTTHaH4yvE
mC+6aBwadFp7cvVU3CZLzbBTExPmbiajfPFIyPxV1MVITT55084zk/mW5D/O5b0tpp2p8U4MyV/t
7+ba1KG72Fr3idzS+Zh0SUqEmqsvW5YcsboFgpSgHO3vdqcrNzm9ddQuJHxfKEnrL4PUTMyvuXiC
rDoKINMgYo1tIsaQW/YWJ01AIf2AZ6C1s+XUnfM0L87MaC0cazPb8tHbi6HX2tNoFo9RRZlg0d3A
dTpVoXabhdaFk9ouv9hotGPmjZ65jexkPMzU7/hfYl7+0okBLhJ/m3mbJwbZviQUk/kp0aXhZJRv
RtHWh3FxoBpVTTdCehKcRfDU8764bans66mhR6VMHaaFRqfwyiiMaJk2DjbhEL97wuNa9oNnRck9
4vHy+LOd9GZ90DuF1PK8tatjqjdu6BWR8DB8t/OLkhKUrIi4fLBbnH8tJZ5OBWDNeRRRvSacOdpt
7drlXs5G/iCi3tmoAEoB8ST1Xd+lBFvmHsQOBKFwcDnvlaHd2+PXYcD0DCpNZ+8zMHzaOlprDdsk
UXNn06jk+xi8UBR/nPgAAXnT0ScsH93doulKaItIA/0D6bZbHaZr2i37GJDgICZviPzaM/qwGmV3
LBH9PMGQyS742IKwjNYU2RuCExtSECxlCSV9+MehGO3dIsnfhesg8XpGlJjvaz2iY1GbbdBGQ2f7
9aCNW0QLvHicuSbpjf8s87BMYM2bQp0dYl+8jGN695vIUmjTRdFJp6KhJM7mIPvQbYAPo2ROd9bI
vmZpMxEGQA78Tx1Jas/FjOnWDlpRPvuaVcRbo5m9cORGuGD7ujxXmie6QPbC+ol5eA13sKm+DlYX
9KmbPUBPN+RNswxkoVI8f1oV+4+YWpQDZasz5N8X12teZlK15FZZXLW453awfMjwmR24Zjjt9YNL
Bl5PdNudttg2oN/aG6QOmFx1R3i9M+/TrFfncxVr1mudmhqbMX3RUBgcLLZpqggyJUWBPmHOVS/0
tNbJyOyI8m2bSF5HfSu/E5AH8dm0703Sy4jqbThJ+ZqCEcUgWTqOgqBPsqbuu8pyf9oznam51Ecj
6PVk+Uw4m/k56ubxgSYYZ0kPcumJPC2My6FoE7tdtTlH6GTQAeMWAJvNiFvbI1b+BEWTwrjxtCpK
tw24NMmxBZNgI8CTDB+bs9YKlFRzzoSckzPrGiK+2GKGwtiAxFP9MvN8DmKTfIwW0hOelTNAXlbu
VI285I60In2bEwk1dGe1aNKNVyo/cCUmg1NwHv8ZDbaibZSoJAJeG5OtFYnlNAqnBpnUXBXX8Ep0
rw5qtZ3q1GZIOGk67+deY+ixw9HZV1QpoIw12t1U8OC8fPXl8coxVMuUaINS63EwrFPMxdvW1NVA
rbrFumnS7qluhlfHRRmyuPr8YEovPS+zubDLIscVR2uXXAgnz/ZzRMhYIEzq8Z0jIMcvBA05R7Uv
J3bbuq1v6Mkjy/dqDk2THicHzeUcy/mptZ85G45H3GfHjQ7FXe5jNFc/GorK3rc8twxlw9TwNQhp
oUt3KlwiTG5on+TyuacO/lbUNs9B2BwdNzmZzEWYuLVHua1yJrupcCUnJIAoG7hyzTTAeNer9iYZ
XXZfSjakMNkyV588hABamNLqvyMGzat9MRhsHK3Z19BfvVY6t4ZR1FtX9kT9oDDLW0gH1vhNH8Y0
3cFVGw56UnTeLqLWf82HzN4ljcxfFWwqmtAZde0YLdmkbjk8zOMubb07luUlT+gcJNChsCGfrOjg
Eb1kbT0Swiu/ok72tg710E2T96SNx1HjhVkTC7i10gxE1wGCE7QavQiOPF6gD+44+TWP7NmmCYtP
wJJ1xoOB3zgqhcw82CWff6uOShmFEDMpmwyJxXmYJtFI0FFh0hg0RlvcRPHs/qCh+RMPsUuUkObt
d5Or3xGfV2tb0h+jYhOjKnk0ehM7CaGnJKRjlkydQPYOXE1iRiqnBnEmM84rz3OWZ8QFKKSV+C0J
qeAUdj2/xo1b4gteD9OzGcG38HETz06aUUlaSkOhGQd9aVR0VwsJDoE7dqLcID8Ycn8whz7fFHEp
sm2mEJq1ERr5WwEkVRk9IVTCn91J40VuAZij2QcQjBASkCDpd2mTY2RTFcZZSXvd8L0yJkgiKenv
3ya43sxYylsTgXPuTMYLzXE8ppUyPWdm1VohdtCzszfmOVN28FTsVygOGokDVE526MXFsINDvuSX
WGvdp8YuVXzYmdnnAfNOWllNrOYHb8wVBTooTZbYL5PGzu7R4SkQX2VNhCwbeAlbsWvH1zLpRh0n
+LZ9lbTplh89By2Y3NS9h4o9cNpXEAYgRTe6ftHi2s7DKK+0J2WtdvexaWjd3qvhB/d9Rc6LopR3
IrK7x0HLLfrmrar9XFIj2U4Vui3fwzqMHvxkkGym2kl2Lrjv28kQNh1oTd1Sm6Q3puyjZVcQW3Hp
Yn2AEWtlHKOg+t31kZreU9aNt+j2JdFP2kSQVac6fJc9RT+qeVBFoGRWbgRgtXHniyqDlK/W5WgS
gFutbNMueoZVroZlVAn3DG2mxlu+pwv/MMDM7YOUSfyMnTolY7wkCqUB0TbPYpjzGVuHoYBILBXC
CYaY/ilq/Th7TkkG46xBN3+N1YtCCHHdOe4jNmYnb2u/KlwQoHp6ZTAI4JB+2kdlUQSZWw2eGwVv
rJ9mmWX3BeaF4Soa6nfSdgkOt+2ec7DbYSxGpEuDp85iEr9b54Z+Tq0BP/6ekysxCANsRHK9unFn
qMuM3sOJTYzyl8aVftx7xX6qcrgv9eQkB4w2TKw9KlmTfpy3X0prtm6iQUHk4vXjo2qgjmlRexd+
9BOHYuVSKp3YZt6PlKQLzxIkF+P1A6mGAhQ5QkXyHXAMMcedNnqEp04Z+T9VFWXGKU/K5AUWciM2
6VBwNCORbyGRaPQ+0RW8k0nxFGlWXoerbT/xE3HX8BRrGCT9NHDQaLJTmZBY1dW2A00FLdhprmiE
nFXsR+Ot6c2tODb92DeHIasqIAMe9a3Zt7iokCQL598jCZBoK31R4hMe/SCEZbX0ZzMirW7LEyeB
DzQ9L+7UCl5KUwEMhXBakogPuabDTDOoFYwS0exVMMOHdn3pxr3LzLO9JifoitX9FaAPv9UOAn/q
M1PNTSrgyXPCX/QngkiqO+lUVII5fUduFae37URvNN9lDpHoYdW6HM/I0Z6zo6ZJ57OW6+kJyUk3
34m6HzTfmoxWD6pEO8ZeNqa45dat7hOe1n7LccFPt4JE9PGlacAs/NYbk3QnGoOXrUideiOVaASq
o2tzaUa5nBIvm/JLBTzHlbl9XNxrveVeUnx7qmOBX60SlpVDcGvXqHdqTLafr5a0jay8xeoVmxqV
Q51OQHsJM2W6KZvFeTFgdOPNikE6yomqsM/MpWhLHaVuvbkfquPUa+Y3Kk7uED7ujdiDdX2qO3jP
PACjd/yu7Jxlp5eu24dZHGf6U0sppgV4v2s1jcVlYLxBmQKAo5gEZ0wKZvwYcWslx1kqz3UEgz9z
eKWuGtb5Gw9Ou0kdMjW/5lz2qoDUlUdA0QJwRea41ZWKYzyOvUseNBqHLsw1WMGrIT7piGBP8tCX
XowRR9w0Yhd31vKUWahWwmKcpk/9jNFhM8fGmRzu8gKKnn2t+lbskWGX4uCUfZPvE1HBApssfQN3
kB5lGc2OwISsyx4rbW4JPmnyGvr8MnqPpUo5cFP0ylg89HXkxEFJMB5nY+kicIPCQOIyuZ4ejcQq
LlSqEcf+pUB6KQ792PSANSX7Y2B4RXdIBmqIbw0gzvxJsSsteegwPB6ZsjFJ0jOZZplvuWL8JGVW
pmE0pdWnbpw8auTOpYsOuq4oEN9pm28X6SnJpY/6BuiLjMwvRhyXh0Zdkr2Z1ORqm1mxPKedYcJ7
nPJHIsLoK+FTHSk8OxsFF30Osr6yNp0wz27GRj33I/F3t7mlJOpDkszMcEwDS7RPvLIP5Ddr6TED
ZeZMmnD3/dnVh1foov2tlo9oeozOsy+pzj4cjG1f3iPE6h4Njv0m3j6ySY9RbyNMirVpOCMNrbZF
XsdfbAqhzpdTRK8x+x047HXzawvt2wmIDE9lEJN3tipm0n46KUucDoFmxpj+1dOQ3htxYSD5taK2
fmlxFbotUptc9IqcvpdKhYHgq1rXP/WWLZ5m2zGAge1Godmf1kd3aUUSLh7R3L5nDLnlzwtniKBs
8RYPKITLMw294sJnV7QQG47e/J7PgzjJyhL3mk1hopMg/Ny0c3JT44gQGkDuIbpIebRpmyAjt0AO
yJkRyhzvZtsilgbTdVdU6I8zZ3rIsh7k01GFfsmqQf9hqo2XhEmKO2deQOr8klID0vuc4UX4QI/O
vmO9HISVDWcwN+er1gzuCUNOi7a6QI/lVW2U70ahpiUHwdTY6mamXjAtlzs9tVEcY3NPbFxXsMPK
gQ3J6VsEvgNnYlDLstP2+mByyEorr283cGe9jQU48YtXFkYVSyPcMLKy4rUbhLiBWpjc11MOq5Bp
VSEKpP9XkzUME9KvIMwOD63e6vddOqTbtMTpjFwW/bMmeu1MKAMOvNiXvLag91FQpZ1VYvYBhFjo
I4F3XT0zS8yKjKdRRY1sSCVzj0A/0wudompL5awufjk3/UkYSXzjWI3zrA425vlCH26bcfD2KdqE
OSzAoDmvaDENfICxipoU4P8HaynayKbz7jMx0KkqVkvg2Da2campd0ZKqKPfYMMclmwnL4NKca8y
NTdwGt3J76NEL39FMbXfOR3hOh5jV++SMCrYj/cU6TBgkzFTD8UYlY+Z1o1fjSqNUTfaY0dVH3vC
uE/SqOn28Pgq7GpNez9hovtb51wzo1WlfJjhNwBnZm32U9Wj5YveWSAjKkib2NOunD+1i9qrNwkI
IPfCLJvoMBoEVG1GLzV+GizDXaSi6Q3J/xW9Xyl58RDHLl0WiCzaAyryjEqKrhvJQLqstokC7IkD
ZKEHcWq4BJdG2JbbcnDaDS7wkNyI6R7CMkOkfoi8WEnCcnAaZUtF0aDCBiPcV0W8FE9zuky+VMrx
rFPXef6cs8tta15pJ3h/g7Yj0LO6twi1upkjBGl0XrEi4HijRtQt64PbEohaV3f0Od34q1xanYUi
rBXcAkUI41LGN0PaQZY25qqXz3ZNmYVWsJv8qFWs6TDoi0nX2aWRxhJvOUSiRwkdtkk0cp1NNjSQ
7lL0cmPPzY79AuX15OTpMY/7/CEZKmB5JOcnnCKWT6Dt+E2kqhZl9A+NeA/+GT81Ssq6GofsNian
iG6Qo8UwSqjTs61TKRxhOdSzLhZu2BAoVM/htCjt5M9TIr4LmZPpa9e9/GplFptW1CblfVf33hTm
4FvInbOq3rigEtXDwKgP5ky8QcQ2dssRxr4b+klccGFAlKOr+JPOxBNvvUjhvOL2uQyWofHWmr7A
TKruTGeT6Fa5H1z24QA/KPUB4IzGLw4TNuomy4wOMy8beextG1M9NDc8JQRW8VZYbkm8Op2F0kc4
luswL4b63shM/WaqlMQ4wa2rp4Nhp7S4XKHW90pf5YA7kqUC0p9y1mjFHZpui7UxVruM+oa0sGR5
jUQ+PgosMkDgF2s8C2/AdLUpY1IPLIcCa9us7tPIZQp5oHOtP2OBmrxAOZ/p0FsGsIPZaq9DHSGD
ZNlF9f3UEMBmWvggUaLN5nHEitt7KSZVnCvs53IEdPNgbIVZtnh99gq5gs6QgXqpRX6XSW7QljKB
qCoUxJ0NZura1QUUIpkfYRIU4jNljyDMq2yTvSWS/Fenqq6yKz1DJvcc5V25G6hnQqMr7DJQ5ZrW
LszaLTcrjIva13YnuvTQcB7YBnKYS2rN+2NukIYtvY614DCBFo71hjuufoHatybdWbz/9JCTDAU/
b+6RQ+xi0Y4AMy3YlkuZReBDRMuvjhfuxph6xaa1TgGQ0+g7Z6lunlELkHNcQoz7ZDSx+WziXxfm
jp78cHU+yl6YU9MBQCDI4rSo0ZniE08J7gLd9IIVQmpvU88W6oYdFyNCycswfvFc4f6I50XPDxVK
SesGdqIgUxNhbh5YTa3dzJ6gtNHccf7cV2b2LZ0q45WAnk6BDFa5XxOYTT2WBQ1SMdOO3R8J8IXH
Fg/+Qgt1dNpAgVPN1qUIYKIkK++yfkYKocHLQJ/okNi0Rz3hXWhhQgPRYzd9lKVQm9s8UkfEX3NG
sPRsjo28K81kOSaanL6rvFd/GnVLBKAkSkChHYxfJeCfO33WcXt7nFtFI1lIoCbfr+WZA1pIa2lL
P9vGREWvtOwMFw1FfVS6mhqmutejZsujUzYlOZ51ncTMZGCjngnkA0xGaKGvO3WMu4xf9jHq7cZs
4zzAltHKN8sS0fvOY6V7NobJ/JZUFPiBQYoRLxNerf0xjbC/PICdTxdi04Z693/6aamGCuEbPY7c
qENFmvKXO3RG7yd0oB/yoXJ3mj1kZ6z0xlc961t6sKr65X1a6ltWL9amEFM9siSxIjOviMr1qMnV
xMXwdbSsqX5TsnA9Z/nAYuofRFuwSNUFCEWKbZpXhG61ySJl7jPQeCwGVOUh9RLspW7Bchvz/v0L
+gfX1TMJ6oFjb1k4nl1dEPysBlsGOrpYaweqGj3ldXR5f4h/3DP8D226PAbXg4/230xey2iUacgZ
wmgujfNUIQX1PiBbv2VBu2R9qavtpYX+67eY60+ycFLDhUlaE1B6DFvF8NN8p0KTXZKP4szcNxxo
VyVqgbe557gaYQ9/X0zVOoaHfBkuCcnFGW29MVU5IuCs8r10jykSxPdv3lX810pG5pbpuF66Lizy
N26CNSpksuBnsrAI8pQ0D1XtWIld6t1k6U0cbyRw70fBJ2+f2Ep7hsOmW2j/1Wvuuk602eTBjcM0
4EGvh72s+i0xGu9f2W+6+N908tUXy7V5XGS0gsn9fSsnR6khklBDN+EYYEi1k+EUKr7ia366Idg8
jEKSevi3DWXQb3AeCLWAm+7TKgmUEPhh44Tkxf9Xspb1hvOxsIrUYH87tnk9XfGIHVJh87E0724a
nnv3AztwA8XjFY2eAbizuo4zGDkWV0sO0y661C6ynXazXrcMZYjDekAvyF/8/71u9GsBCGkAPyb8
z1XDtQziEFlrSNziBytIW+/2X09jJduj6XFs1XD/o6v8k2+vjU0RuaU2EUl8wJlLi0MQz6wL7Mdu
q91Ge6U82f7AE/iU+I8/Prrpv8MG3xt+XXd/rGCpZrKOMoZXEh+Nm34h3bE6fL2rA6wk6KhWfnqI
ts3+O1QWv/LRY87+r9HHSueDx/87T+vvT+JqbFQIUiCw2+z0f3+Sjra7Mwnb9s1uCFpNDWT9kll2
IOYEhxoTmnhD8oR81bvnjn4KLelDmv1f5z/0vv8fA7k3T4NdDD2HY+AMT9DQtWqoLlEDELbNOdq6
q8m0HtT+gdDzLhgV7V4nOw0E6vb9BflbUnF15ax5FVWiav32wP/7yu3Cg7KbaGArGR4Z7UtDwi+W
JOOlU+rzXOmbYbRvK5BF0C1sixB/3U+kqHYG5hTtsu/i+KaJp4cPPtUqI3v7qcg/QHiyClyuZGai
mwE7UX8R+PCtbsyTSuluZWbry/rGtQd8gFxfqYZPnl7cKfjqkBDyTTe1D7Qvb/Z91ELohujzrP7D
unv1QBwdkDeeoFq3JUxdCzMoj2DCFpG/q+1zOneQxr6/f+VvqoCrIa+WhC5meB84jfuCiW/RKMP1
aQSjHcSII9wHeps3dcDVYNebsYXXXjEymIRURZ0H/u1wCn3/it68VxiEleVYhA8bpGddvTzh0c7Z
UGGqo87WBqxp1+RwszlCvD/Mm2qAVDDHQQDO/u25SKr/nsexo/S90hsRhz33fq7UX+Sn0FIru0+4
RdXP7w/25sbhAuoaHq0Ux4EfqK67/R8bl24J2VlZjhFi/cUwybD44GL+9fdTOTH9uW3sCFfTv/Gg
lsY1nLV5qb/1tDSW0fngEt7cLy7hzyHWj/DHJSiZIuGzMIQKpYqjqJ+NTuAMYQ9R4v2b9XYCeJiG
qy7Vk22ShHk1AZrSwD7GciJfSdWdxoEkNuQzS/6DovbtYmUYIrhU4hJslHHrBf9xQXUf67JfvAjH
xuc+25bwUfCValEADJ+d5qPE2bfrlGJdQ6i2yuJQyF1d1IjdEjHE2PJXjOqb6XCQuH3nU3nJsT2R
1RK8fxPfPC6H8TDL19mn+fl6K0pTl3a6pkc4fHzD3u+2mPoHrF98s4pP/+VIVEMsIC6KzCPbuw6h
UlYkuMpsPN4658J34owlBSh3ZrhhgqPS+6O9qUCoiHTSjyni8XZABvr3U1PFJAbYrux3mDOZj5r1
a0RrVakg7M6mlJ9xGt28P+Kb6biOaDpMEY+Kx7rej7DeKfOYZE8fq7GAMIDNYP2M/st4Em4hThKc
S5jv7HvoQa+ui1burHuVDZFjup2aL5aI6Ht9kNz5Zk78HsPlWZmcFNRrH2nA4sZFjs/BRzmToOub
4kgkGLZn79+wKzP739fChYDCUq6v9thXJ1PZG7OrFTpnOeL0zuj9+7B12ulQTEZ2mgfrV2RgrtPG
9HMbWe3zGUmjACHd6Fk0fTA736w7jMQ0Gzxi3XUp1q+2rbFrC29yNAtnI0zHHaj2O7c0jScD99UD
DSaafeZQfVC9s76Yhn/VIwyLJ4nukIQMsHZ9q1vYkNJokYSGYXgKw5vwdMOvtuvXdutvDwff56eb
7XbLr/yDv+v9w27nP+z44f/9YyM/+eY/+Dv++MDPD3wf37tZ/5wfgvUr4J9w/SEI/DC4XMI9X6c9
Y4XrD/wb8LV+y/qt62/CH6fny/Ppx6kJG353OvH147T+L3zO0wer9e2Mw2x7TcUi5oeeyLX63xxo
HQOrwvDpPT8X33V12Ub5ObKf3p9yb5+yYRo2awdBMLTla8F2PFvtInpYwzWzTjYSLaJ1KiF3NWnQ
eL/eH+xfF8UiXePdHJNxr162pSHHVPPoPOZFc49Q/IC+GpLxeJa6sn9/qLfTyMC92taJtbBtKoj1
uv94R+Wxkcklrhy/LPKwjp67Fs/ADlRO7zZV/x0Gwvvjvd3rcJnnadkW+UG8qtZL/2O8RMuNxsjw
68T1V5zUqCxCKAr1cVIwjH1/qLcbOUN5RAJ71CsWVfPfQ6UYhJlWRzoSdhv5QQNsIO8EH7hptnEj
Bv20j7EzyxM0nGcHFs4HRcbvW/f3CoXLt5YZbOokJnvrrf/jUvFurNSpwKnY8mv/639O1cYdpCkf
n30/3cktOtSwDH6OW/QFhJc8omrbjafRH/znJlT9Xz/cAMvCcD4qH6yadU+6/mjE+Ri0PNY1c50e
tcDQzJwO68nBwPtNxxXA+KjGejvEGvr12xLC0c03C2aScw4hbCCbSuIMrSALbj+IFH/bk8Jo4s8h
ruZSo7mDgwsxczfVVgtKZQ6tuR4OAoJt0M7wXAyt+pErsg3GqrgzBrX9b2ug9RN4OGqs1kxrEO/f
j7gsoigxJZ9AA5LDSlM71zhFm9X8ucBJ/f3p/I9NATGyhQ0U/ViO4lfHCRQZM7AJR6OiT0JNOare
TVlSbX2UyvLROFcnCaFg9jppjAPDIBy1mwgGEWZqRLN8UCz8a4aQKWgZHgfatc/8983DYTiPBw3W
C/kdl7aJv2fOR/P8H7sNwmbKHY0WyjrV/x5iTHI4xQWtBAHx1+8MGVj6hCen1X6w2LX17v+9ongw
f4x0NRMmLATcBPdKfzBROKb3CxMv+dkr2KxaZaAIesLDawfPH9PR9+eF9o8tnKHXKFKAAH5xdZE4
x849FEa2Fe0pjbF6Pprqvu3uR7LBIDKY6bmWR3UiD2Xbi4dEnCFWDd7Wyv2lfv3gs/z7hv/vZ7m6
DWbWp1hfcRv4LHO9i/vbWv0a4QljWGcE37a1S6fHIjphKgkhhXi+7Tx/UBr9Y1pRGdo6jF7am8Z1
RaBJ26htwe1oBPazxtDwvoav9v6F/mOREKvGCxMTOFp0142xAUI+3hPgZWgNf+m1tUUr8ROR8qa1
P8qc+cdQq5WcwTajc/ZZnev+fI208diaTW7YPoD8i0znS9NZJ7i136O8+WjTfvv4OCFgOQfYw1uB
zIi/x1JGvW3xUGIWG8qubd3VlBVXB+/Lf3v3GIYDsa6C+Wja7/L+jzfjLCFlzhbDOL08JxOmtSbq
D+Jn6D180E3811t4PekDX6whKf9xWfljLM/ER7KRCc052gnupQFhPcS6oYwvRd+02dbIwKs3IJHu
i2n0Uwa5YuFthTf8OAcgHukBUbz9XGCC4dxEohl/4nTnLWdkXmiPHIgQZViXFoedfgG83cJcKH7N
ETLS0Ca64FlHlH6visI7MmWmnvPIKJ+aRCAZnAz8xjHKqIod5qkTJMAkFZ8ce4mfurTPvgAc94es
moafkZP1B/RhU/Zfv1RW2ON/C4Gr9dovchwRErrofzGVLvMpDrJaHfcL9hGbrlanp/ef/G9g6u99
EpRb1yjM6FORnXy16RM6seQD/s4+tEnfNppjk2MKjaWugi8IOowTvKonTDYezGwK3ARtUl2daqT5
DqoXTc8u73+et2W9DeCIkcAaOe851tWE98SSkXGtRL5WmQ+mGf8Paee1JLexrOsnQgS8uQXQbhzH
kMPh3CBo4b1tPP35MNpb6kbjNELaJEVxLUUwkVVZWVlp/p8pZbix8nofQZdijtJK9Hvpm9CbIR+K
WrzbMMnz8wWTti7IrSjQlBB6d1Ft/OlHMHyv63RxiKnrTA8V2GDAjdTnOpVDk7WRAiYeTyJXam9G
mF0M8/hvLWcmZeaWjkBkjV2ElO7IrBH1CLB+G9iHAW5a8bXz+02GL4qAR9W4xmUeKrPXUCeCA10K
zC374oEOP6eX73ztTpFeq+45z9eCyvkWEagTtVuYn8oQ6EXIQHpG6kYByNq37Y/t4ffjz83Di79a
3bu4tCcxJrcH9sD5uzA8XyiUNhjT0HnVbB7ptn1n8zB3NvuV7IQ1vz4mQYBXYXOaPGXPJn1P/J/s
yUlOJTV0SBHcb9/u//qxJTNwT4Jg+vXXY3968E+v/t2UAzjw/0//fPzYbOxNZt/dOTz9n/Z/nvbu
7RMP/F+v++t2e1H741MVyj6k3vhFS9T0oDv5VChT6IrKW3A+ndohcRF+ZB2c/dqNKk8vv1Mn9CGI
5B5PXkq/2NW5ILHP0zg9svhTRoJ8CUpv7JWnwdIOA0goqWTBLEDEJpKnU20qxWJaJixDJ7Zvb19v
3fv37e7rT9X+ulnZ4ovY80OdE0kznyoy9OdZAZJu7+/ZNmezpsq0HvP1ktga2g0Mhqnm4IEh1EtR
zbQeAlz37X77295hDs5+xaV85N2vyZkpInVpHtALHjr37+8/Pn/+DHuQ/Xmwn6d69Mif+V+I3txt
nP3Ln8J5+fPCBB4//wAdYgfTv1auB3lZc4pFlqlSBJ0/lCsytllQS1jKdFwOn0irkeci2bXfk+y6
bv8ff9ml+v8Im13GvUG+QIOuixwa1m9vn8nUoep+SrJdF/VRe7oQBfksySx8HGS758YpDjWPBmbg
EHX/kTE8TMd+Ov9TGu8jpbcmc3ktT2TObgzfioe2LgH5cVNbsfktpuUitV/RNqbJ4Pfu6+7x7vHu
brOyiRcxx3Q+gOr/W9nZBdKWncz4MoLxgLm93X7efXMe1pzK4nk/lTJztIYvyUUVTuq599Su8Z6P
Oyz1y5qZXCS/5+rMggi6PitJ/BD05m4POyChV6zjoiXmQwIpbcJmcnQf4NanrguwOHqXj3/t1K1h
v3XbduNud48/i83PD1fp7KczsHL1Lh//E7Gz4x8rXgoNLWIn+4jtt9Z5e61pTumdo9O4U4sKubPt
s81NCc4APxP++BX8kI+2HFr26cjIOJ3uysX0kSm8OC0nHza7L0yIykdZ/Wtrp2vUvf/4jYMzHZ7p
RuWqnA7r9Bu/8+OOf38cpo8EOqvFMV45w9N5ufJV8yKIUALeQfPDX2f4rw+aft+6f93e01dM3zIl
8jcfN+naFyiTSc+/QBZpHuIBLBHHzNYlz61EU5lM/Su2mGoN/MBFPttf0f7BuZncpPu0XQtqLmIa
APWmHINF9xLZMGV2ApQK8LcOZAqnawk+W7pDZau1rVjbKIn/fH2ZP/JqZ0rOhM28chMxYRGYCpdf
bn9ilsBOndTp7N/8abSBB+EnkdsGfW3U3t09Os+H591hs0H9P3+efrEshy1+jqLILbWTp9fX26d9
a/9hhsn+Fa/EyvP3zBQfT4tCIEWP40VRVqPHPQP6gRbXTPQqJz/GOYMljPvWTjmQjd2Nxhge/CpL
VpzswpboEnlJcHNVja6H2ZaARVROc5mxMwCta2v0tIO4Pb4xVhndAHAorei5KI66BXkKugZUeXZ/
VS1w5R3N5U4nvKsg1QtgEVFol8zN9d2/aEZiQXVMmyZYGkYsWi3PL0qfvsoJqiN2pEqzIdhoZVAv
4BUe/TtPYYLjzfe+1BkN91+hmAJ68yi/AKVi6ruV77g4arPvmFthPFhi6/EdeuTZpgw+J3Pr6aMK
UHtxzxCdl90BkJ9KG8Y+bRiJIWW8/gWT850dg7OFmIWz9SgUyVHmA1RA/5ze9G2N9FrGtDq18XjD
BMGmkrWV5V8w5zOhsxvBY0pai2j/cpoh2EC9WZEkSYItiPjC8O26fouizIlugdQXFZHZRtee1YJl
z8lhAMAR/F0hb5IqdOXO9byVi276qy6WkmKx/pH+Aob23KbMGKxXv4KtaLA+AZSbdl/H5v26Nssi
lOmEUIGiCnUuIhLVLivlkRwA2FUf0FN/Ev/tuozLQGSySesfIdMFdfJeC6oAuA39CKVsbYi1rXpi
vREUv31LOyvZ6Gak7v14FF+yIYm2SVH0d2TcjG4zAAF1iEH/WXsILR6Skw+aBXplAJZBqIpoLbtQ
vVSBCtyBq3m3BsggwZMVHkrmHFrLZZI61KBwWPuAScDlzhoShTWD6GnetCk3sToaKR9g0LLaSE4q
bBQwIcR7sGByZm6YKrYqx+idofypaoeV/bh41n7sxz/SZ/shHNWjBogRI+7iLmgeRhqc5PAHmZ++
/yqaDM5u62pF42U7+0fkbMVBWYC4HpRPR/Hek/j5WNyn6p/rai0eTLDY/3dNp00/sbJ84tIjlQ/i
V/guVj/N8CY1P3XjrltNNK0pM/33E0lqyiRPkrN+SgT9XPsO3d8WUGj3uj6LjvREn5kntyCQjKtu
ktI4VgCqj7rrwRGiSkQbr2GtuO0pBLtmkTO3nVtZrGnT6g3jY9/bqvWg63dDtgsLN25ufMm5rpy0
tlszj10KOtOyAvJI8Y5v3h/mm/bjj+SHf8gP0TOQk7v4Mwb5Q1tZ1aW9Y45GliSKpFPb3fne6UoJ
1W0OvXVRPIX9dz/aTPBN15VbkfFRjz6xDzBGpLTvkAGOnS2CSjFBc4zZ5rqUpdDmRJOPbM+JFBlM
sx4y59hJE+Uz8EqbtnHFro9tSVk5vEuWqAAmSKEHNCsqZudr1lexCqqjgL8obv1qm0qfwuNbC4xP
q9323u66WouLdyJsdoylRNOHTkJY7/Ub3X+K1KNbdT+uC1lcuxMh00ecrJ2HByQqRAhQ2Y4MQ46+
BV4ObJA1V7uoDQ0slBehBKFx71yQ2WQ+kH5c4YVGS9BPED/towYoprSpSnljBi+JIroSwEZj5rSV
e1Q+BcP3aq2ZZlHdf77iI895om6pBaBsF3xFFt2l/fdBu1GAuFsroi9JISHLe4JBAJLxMzOx4IcX
9ThPwB97UGMXUFlhAKp4xXMsrSjhNWM+uk4TpDVbUZ0aXQ3aRwLtB6PM1rdaoLE9+nTdPi5TbFyR
dFsyOcdrZZqvON+3Yy9FojVJkUQhctqknObB4K7Yx9TpAJEB+AFSvjGpNn4M36hpjjDvgouZwzVv
1PTJmIlZ/gZBWoKGNMp9S3bGKAA3y0/k32KdMJxfef4gb3ItE8stQwM5kIlm2jR3XacM4i4B/ZvI
pFIB9laVzF/rXl3aLDp6pt5VUnsUt84VTDJZEtqwYc5YAljT26SSDaas3f7bKvv0LjIpFU/sZxKR
/uxeYZ6dHmqDhSwrv92CmfsnKTR1xeFOPmF+edFGyniShCTNmlkeJLEBTCkmj568vg39wPazYMUH
Lq4XsxTT2JFBn9YsUNY7mC/BlE4ccKqA5R/eK6Dz9AHgw6FcK5ktqcP0NLCn9OlTx5qtGbOxeQks
buzETHab+VOXPF4370UBU1edCiMS7agzZUyr0wS4m8FvgeVYbg9R8/O/CGAAAOgIfMG8Bwns3sEH
6zNx6P7/ZSUi0+fB2nTGxwU333W62HV+8upm1ObchPNKBog+YiB/qL2dBFyfzIs2BRrVVbRXINuZ
rLybgIoYif4v2v0jeHZFdYVPLTMBtxvGy+90dTmqL680pyyZ26lus+Mp1QlwbAG6+fI3TWZofdgI
praFge26KpO3vFhD+lMoNhsgpM0twVMhKIlG4AYqA8qwoPw5VDza+69VFz3Cg6LTo5bcifFaFLao
Hs0qtFvR8gcV1PnWpZQfYTBF7LHTA0eC5SSODPADlddM+HVdw2Uz4Z4gQa1Tx5sXpWgdhYQU0m+n
KxRH9+4M4Cj1hwmkWvmdl3tNA+bzs9Htr4udzujFwupcHJSj6VqbN/6AGAwurIaGE0EJZBZW9qsc
drUZ79R+e13U4o1II5Os0CYxtSicL2YZAOx5rHHlQmk99KHsSL0CaUq8uS5mac9I9P8tZhaxJzXg
Eo2OJz96SmcrPeBSRs4Es/8papOV1VuTNbvk1VgxZaFDVpd9M5PbLL6HsbzN3q5rdNEY+nE5UXVl
Ggoaa8ZhzlfOB3YHRGvE8Bj53dZAuYkt9C0A1ukqYIDVI+1Tbl7+CKtsJYpZ9MDM5OPeyUoyxHgu
OVe7wChlzAMoiMappWrv+VHyX/zUiRD5XEgkGhmWgZCwj197T/xs0OZ3fQkXzZy7iu6gKb6cz+ML
RwNKa4Gb5Ci0v0s/PBR0QwmqtTf797LqVix9MrGLQ3UibaaQIvLI73O8IhB+BNKgp5JytcFPMAPh
q9dBZKx9va6ftLhR9CCxS4wN0IFxvoZgnYA3KSCSqdanfgTdvICS2cxfMxGsCS9xtQwIpgx4Zk95
U6yjK7eqC4/UxgBr8Pq3LK/1P58yO4DAhh6TpOTasbTeKQWO3gNoUK3WgMi9ImphoQ1YbkmaczPw
Up6ZZw0GIABQWA7Tqm5Rg73nBtpeN1LXN99BEruu2Jq02baGrQlVUwoqJHB/tj5+Kf23AfA/K+bJ
ZN3o2f66uAXnYvB6QLGJcIsOs/MtrYtKG4EH4vrWjB15v1b4pTXPwI651+Us3K0MnFAaxWnSFCDO
4hN1qODuSbvEibW3rPoMU6wm3ECyIyVMJIPm1RYr+eKldZTIFcuALzN+Oc9tmNDYWKPHTZeMj0Pp
BNlwK28Ae9x0Tb3Sk71gizRkkgFngNBism+mmwj+vC8W3Dk1SGcDcQU8FzE2kvq2FxuPuhqu2MjC
JYfAaWBR0RWRKb/zTRt9+MdicHSciHblVjDthpJGzzm7vmdLtnEiZj4LUtVyoTWTGI9nUVTfF7Xj
QfAAe9l1OUtRCbNetJBNLMoSA5nn+pSW1kI+1xMhF5XsgNkFkmCTyeUtcNUwFdThkxkelZ9eqQPc
D3/KNoh0OGrUADS3laVdugYpy8JQzgsKPAljtpkCJCFpw5wcT9S7wqxt0M2hTZhid1tRtoKIQ6Oe
YpXfr6/BormeiJ1c70lWImiTdOgCmfh9EJ7KnIMY6K9QPO0Ea3wEdxxugnzlSF6gJXDjn6k6mdmJ
TA3GNTgYlcQp5N8DHNMAhakH37ozrIOhfrKaL226LbUEhEA44VaekEv+4HSZZ1sOcpwEahL6hsN7
KL73MgDUIG+3N5ro+BbkBWtJ1rUFnvnVsfbKMNcRmNNv2SYgMX4BMM2Wc3Dh03cpWPGriz7BZGBU
5rVPr9Dsqmz7Zsz9HDNqRN8W6n1jKNvOdMTOt/t6JV29vJHkFJh8M6f24Nlixj78WEKIbooOzSLM
fDSAQLW8acDbs1vJ+6n6ERxPQS/fMJHzIoBm5/YGEGskgC0u8SA9XLfmJe1pMmD4j6I2T+uZg7J6
msS1DKjfwoOVRStu1WgX1XCexztmMHfXhcnT1s0iIbri/5Y2z+jlkeI3BUw0jpR9aqHBE8qqtNvm
CecFZ4zq9mnkZpV8XwYg5YPXYhxgtS6iO5w0AIZ01EePgNe4UrTyYQvhEt811cGn6QBQSc7Pl8Cc
LSk1VmGgLhqXxSeuhpWFXnLRjDVZNPqCSsOA4LkIK/aCSmgmbxVD8eoegaetAI/uD6BuQDIfDlbz
cn21lyROze8mCRl6SebVuq6kYmZmgGaMYRV9Av6UPJk4xvdlJwFz4UMrdl3e0l3Ha4TWFXokgB2Y
LSKPD02gk5lHeS24XnsYsdjg93UZixfQqZCZ91WHsRb7ACGdYFnw4kbOxIiYaIrbRBOS0rAbyaRk
kfU0GJBajuGvlQ9YqEIap/s4rfqJK55Q42XieYJ5K3JyQNXbL/q46SWaJb4OQJUBtyB8uy5z0Tpx
TFggh1S1ZqaTioIfRxWmk/QWoCH1Xe9pKzHYkq0whM2jn9ZkYCNmTlDypHiksQaUyIlE4hY0WUHe
Wf3TdUUWnQ3gWhpNARJgBzNFzFypyomQ0Sn87DFWhJsyKF+OZrjx2/YhANDyurjFdWMmRldJhfNc
nYkTYWAF3hlvo7RlfVvruXWnj+brdSHTX3Lh0k6EzOyhiHiiB9AxOZo2QI0BaXAUu6W8EnQsBjuM
w1vTxC1TD/NbKiGYzaJYx+7V9KnqJZiIi0PYB3vBK3Ap6h54ztte+20Az35dwf+P6GmgZeolh17p
3OJ1WoQBY7N4eLScsvCbJDCOXsnbLvAc6Mx3qfbe58OOLu0Vr3zZc6pqgCQhk3wyib55CyDYzox0
w/lI6GHt8ywBtNpw/fBVOYLfKug3dfG58oNbSiuupXqOx6SkM5E0RQQojfFFjcCvhm5XlX5eXxLl
IkT5+DBS3Qxd0jk1b5uqfHC0aGeGECAXaldo/fgm0HIIZOAVjV5lTxy/mVZiHUIFMlpKgbFbtQ31
6YIWCsdvRs8uxzj4mlWF+Jh5oDa4Yt9oyd6r41a1835obrJBGeioOOqKC6Rm8asF87F3ZSEdfiVZ
pP4OvCrc1upwHADH0+UfRldpQGYe49ujbzKs4vkVfAdWJX0uGjH+5tXl1BgX1Nsyhe3sDiwn6z4W
u3wlR7+0MhLZQxC9cFiXDWW0bAIci50aRyGE4XaUN1R7D0VRVQdFyVP3aJqeDWtWt+LBLg47g04A
EpG3BCCIosrkt0/88mAGRjSOfuo0MM5npBmUtebDi5M+kzCL3Xpg7I5RGjDuWhZEvXd6e+N5K4ft
wkNOMiB/ksl/gYo3n6BKj/SzW32EFtKdOID2+a0ztgpovP2K2/ow0TO/9SGJIhojVAzIzdOvLcy5
/tEjOmid4Sdze7RwGlvcly2/hIfRKZ4Gp155SVxmpWYyJ+M52SMzk5tO583oDFuAZG/7jemOu/wu
eSgPDVAA2mFty6bo9ZqSs+g20RowBjsEijv/Of0S3sWHYVM44vN1f7Bg9B/IVP+zlvOwVivCQO+r
KSjZGlvI1+qthjrdShiwJmVmf1EWkJuf4qvh5+j6T94d2CuCqxyu67KyZB8h/Oke+TJcTD1Sojtv
B07i19rtNuHWWKkUXd4q57Yw785oJbWh3IYc9UnadnuA1zf4hTcQIlaCjsVjC2zY/27O5DhOFBpl
IyU+QJAu7kfP9auDJ3+5vmaXUSkBL1VDiSckXo8jfC6DCkMnwhRMmjX5Vgg3+F437zZH/dkztqa1
i+U/hrjN1+ALL4K2D6nTY3I6v9Z8ekcLWk9XkiR1PKtzoH4ETntfcgnka+d2sqzZMUI9QLxFGZJb
JqXO1ZOSNqkZIU6dGgq1XJlYlr7m4hu3Ppy00sbsPGiIhXZHh4Prj/GPldVd2EGCHiABCUEApJg3
lBZQWVhqTogVQdW5KbaAYcAc6RS33n7Kt+40cH520ov/9brcheU9Ezs9Zk8MJ4HPEgLD6bFa34yd
Iyi/6JNIvGLl2XTZU0YwwYQBgwaTcua86kzSt2uohpEg76pMdIIg6O4JD/o/YUs6QlRbmpH1uBh+
mJnaPsApCn2f2MWkCYa4vumB0XyG/KL27Qb0vS9VqMaPJbRLPwpLGFdu98v8Bd9KHhMguwls+KJw
AoMhwD4GsaD81L5adrpRgL53xcN4k2/zzhY/1/vrm7BwrZ8JnG2CBhMGAT4C4QwGD4qJ9M11AUu7
fKrRLLptVB92GII1R1I2kUgLKyWRUHQi1b0uZ8mISQJ/gAPxHJknWoSyK9sQnik4pKh+tDEEV+TS
u2qlBWhhvXgeEzIzDEtv9HwsE4zvMuonKgCY3NwQUu1q+A8hCpO9UA+CzK0wVH5+LPpAUvsJydCR
j7QYb+Rs07UwSdKXX0nKiqyFzSFXMnVNfWAXz/MynagC1O/hu4Pc7rL3avjU5JsoXrPqpajrVMzs
igAkoByiI7HQcWe9+IkNufGzcZt88h5Dp/mTwVEKJu024rYtV1zrZUaMaxDcBlaSMQxwyGeuVVXi
xotjNJRetBf1Rt0Im+iH+vRDeyD/CG3cAUzedk9DjRMeFOe4j3a9v+KAFkzm7BNmRyzWrFA2j9Mi
Z9908x48nOuWv3Q7ngmYHTGgqOAbsBCg/VQgC/Hs0O5sFYB7Www27Q99Lcm6FCidrulsO4MwCboo
wEKDQ3ufMzbnenfjTm3t8SazpSdhd/zagmn8qnxuVkK0xQj3VPTscAhCoiSqjKrVW3QAsth0u68q
CEA2ZNd/Mqd5jrf/3kGeLe50hE5uqYCO0C4JJ78yQE8kbHzoZK/v35p9TKfnREIEWU2TTjplkDLo
XbTPixUdlo/5P4dg2tATCWURJOV4RIcy87eWUjgQROhMQErb65osyjHJhDLRB7DNPJOhdSTQuxQ5
qfQ0apTgze+N8mBFwcqKLfh6oJ3/kTMzQN2K66MFZpbjC4/H7r7uvwrtmqUtxGRnMmaWFuueXFOH
Sp3Rf4bl3m7STUbxye/3zXgvV09hBtff9+N/uC7PxM7MjfS5BTfz5CxUAJprpwXvtchvlbWtWlvC
udEFOQPcLep55otWfKromlVi97o5rMmYmR0khF4qN8io/OfR3OdATqurc9OLp2cCbyReok45T0K2
zHH6Kt2+Tmn5rJhrhXtYPKskcwzxC1QeavhaJS+1l9melFPu+iysRR6LTy2mBugXAn4CLK2Z/83r
Mq27HLNvy61iPHXpNpP8LaV2L7Xgf+ptcbiDmfb64i4nGBguZVJIm6CqZjvYaIFeHae0ITxFrnco
fkADSH7BAlne/6Q5xb34DGHoKsL+pMzsrTLVp/8WO9vUSFAiVsHkubczeFcOW9+2q9vBad/Kl/J2
7Rm75FFOpc0efoYej8dKMshQpvtCBUDJMWv6/jfX13L65is66bPcVmWlZtBMUrTqLStcdbw3u8KO
a/zk1kvfrgtbDElOdJoDe0twSkGQhbTa9neD67Nl0SfjgRAI5vod7x/5zSdfFDy/KDfQdEVuXzld
tBY0rOk8i0rg4yugRcN8xk/voR3fg3zvBC/W5rd8qLcegzYFlcPb27U5ySWfwGkF/IymachUZlY7
FlKcmyKhYFK5VVWRRnYM4fn6Ci+9oqb57r+FzGy0H2n6ro7o1mw7V9u3D+QUv6d3EwNFt+sh0Ftb
zKXL4lTgzEzbChSdWkKgvJOSrbcbPvtP+dswOpJug+f3H64/ix59iZgaYJh5uoBxAtUqp3gvzAie
75po3689cxa36Z9s77wFMu8rOFIHXBqkujYN20Ps23W3oseC6z5Le8xMsItjeHxD0h55ONiZ+SCt
Rf8L3oOs1FQOl2kdhoLiPO5JjK5uepMETo0TjoU/A2W34D5YuwAWFutMzEyPJlAaOMsQo/h3fnTX
QTTmrXj7xaU60WR2xYwyhMd+nKbOII9uX8Md43++fmjWlJi+4CRGFCDnIh+BEtRd6K/7E3TQuxcr
c8VLJ1OXyRXCzgGgykVhZ6TTmYkjpES+CvYxuYAAIhQFruMHUjPIGzR3YpTLvwztF28NCmw6hjM/
fyZ9spcTHWNB6SKGC4lPu2hXW8aL2NFZZWRws+ibqk7cCUUvM+vd9aWdfNo1sTOfFyaRDzo9So8K
JLJ3iXY/SN+U6l1Zw9S/3EMSBwbAYyq45lATzNxQWvelXotG5IQ5LBtxWz6kumAnYrDS5ne5jvRx
0BM2YfHR7HcR5zdt2WRHnRnDjLnt9r4YXvoSZDXlIEK7bTxm/UrxaUmxCR6d5kVw2y9A9Yci1RkA
By0uoZ1d+hIHz0L97fomrYiYt/hprZ5ZXo6IQmt3lfqmtLpbr43wLLxfTYiZGK9hvkahz2H6ihML
9CSr4YnESNIo2ekfs3DSP5Zd3NaK3VS28S7c6y/gaO+vq3bpPM6Fzsz+KBRG3w8ILQ1mJ6Pa7dc8
+UJMgwhwRjEJmpxIl5/rVTaNH4Sw2TrlJvsMNquTbqNddrDukkNNu66T7ZXs1dgVzhMMgHfRzrpb
G1+/9PXnXzBzwqkKSbMY8gVGZxfCAb7oTum4s16vr+WCGJBqpgQj3C+TMzlXlOMFOkEbomD7RbNu
lWFriJ/btRa9j2zlucsAKg0LAXtcZD70o3J/YiciYJ1lmqREpHb6HL9KUNBvIskhrWOHN+HOcxNb
AWvzvtv42/TFWo0OF07DmfyZJymTUa4tah8O+I9byU226jfp4biV7eSLef/L2H3/dX1ZFy6GM4Xn
JT4apyq4WxDovWuS3YtO/NrdSjaMxvftsJX+0Pa5FrRdumUKHhYNY7S0U9eeD6ZGIoS9Gu3DPKCE
l+ixfOheaGjX7/SC9Nm4s94lh04Tz1G01YLmkhVBwGgqlPKnTO/MDWjCUZdiz8eKEi+xx9J7TsT2
oR+F+iDBqbty/pcUPZU2fc2JMcWGFo2CwuBgFpaxrRbfhyz5LPvfzFHeH5s/13dywXImgg3agSiY
MRE5i1SiqAi8smQjrdx3BvH7cGxtvXi5LmTBo5nTEYTWj1YnsCnPNRqkockNqyUunbqhYGdtjCdC
QHPFKpfEAMzLnfrRX36xTaGZAire88Qm0R8SsJj/PpSHiJOq3wSOyKjivEsgtEIhlWMaXUaA2GXj
leFi4MXd66u1tCVAhNIXOsliFOx8tVQjCYvepNAmmE9dvU1al3a+6yIWIgJTBQLABLNyoUB7DKxU
KruGthRvG49vQQWpHVM/lGmlLbNjFBfSteP7MSgx85HcOFRJGO5Fq3ldLwBn2Qp85kMUutNHG+rs
o5N6ovc4KAZ2bgRk0ljMQnUMs2tdqw8gK5RMeldIfQk0kpF0rR21F8j4h2PdH/peUF9Tr+Y1Eopd
sY8KJR7dTiGgElO9CXZtnyiS2xFc3dVV395RbqweSunot7eFEaqP+qhz84zHcSs3x+BWl1PxXT7m
jEKEZn1oOYihI0lMcNrqqEolgy2xUMEzY+l/UjEftqNqHn+EwlF7ymuIyAOhjr8WDJLfqoAfbjVk
PBWmr98WWSZD/TBY3Y2a6PpbR5/fToamZpq36JujK/lC9pCHZueOYgJT97ESu+/E3XQey76UH1od
e4PSBgioPqua8ZbetN57tARR+RQNltk5vaVYjT1kQX4wtOD4WrRVsDXCzvJteMEZguhjfReEyhhS
rM6Lo+vDitbboxwInxLQw97icvSe8qYO6RsztBKYIiFyjeLYVzcdrAMO6eggu82KOL9hGxV/o1jx
8bdcynkKOVicfg5buSB9poniNqvr8E/dlAmcyUaVkQQyjDYm3QZYEKw5zbd89OEUBaY7+iH5lbJh
qFwdbDralDs1qMmqNzqMwddN/jKBQgqadkEyjxPb4LyVKCRWDYQy582fjg5UzLYsNLsxEndhUzhM
sf6OhLU8g7zkkBiuAQSaAB+HMfN7XVqWgd/g94QXElTZ3VvuGDAU36uAnT50tyE8l9pDvCnd9jH9
EWxMwjDZt9fYYxe/giF0wGkBOmaA9tyfaJ5vqBm8844Sb3VfsdthNf5YuCDhDP5HxOzKUnpvyM0G
EZa31Vpbvj86P8gjQ6b9aEEi/1QewrvKtg5rnUZrqs3CO7DUjbzpkesrNP8kzPJlh+tmsyZhlptq
jlILysjkKTlfdfgwyE/XBSyFUoQUxBU0AH80pp9vT8P7I8+aI7FjLgvvRmcY37LAJ4lYmhlVH2us
k23qWeAhqKnejXYTeKHs0nad/qrg88F+w/q2CPtubfJtSfXT63QWGiS+N/S+ynXat18EQlo9WCnO
L1nNqYDpA04CHbNq4lwuB2oBvfway9mutGoHqvabTP4Pkk6v1Nlrw0ozPEpEG2Y9vMea7kZt4VYZ
MPTKGlTh2uU9WzQxb/OiF7i86+Neqm5qntqyc91iFuJDBibgiprGJrSLsfuwO8od3oxoNM62qZZv
053+Arr4RvWk3f9N1GzdhlxM46NA7tsrwn3vH7KEtsTGbcT74F/PHamEVidazRZukAy/iz0KFYwI
uo0eukfVTfJXVSzdTNBXlnDpMoBLCNa/iQtamjdSlH7etbXFEvaFE9bQegWOou6tSrG14dBHa0ax
ZOin4maGXkuxeswExB1Tqv2dexT/eJ3dJa/Xd2uhQRzCbhpYqS+ReIGJ9PxAdZZWBX3R8QzctBtj
b738pob8kyunotYU2spO3Pe31r546y13rbd0yfAJ8knbQot32dCjt0OrJRqyA6Gx6e026RORxnxz
XcUVKfN35xEIHT08cqNGQWabASOqz3q7vS5jabdONJknR9KRCaT4iCZaoem7Hvw2CoTSPbiqEmVl
L3r5v4mbnbHwqJZJnSBOUX4mxs+MCLmAjDqIvl6Xs1CBnOjc/96hed0zKlNTEqZXWPjd+iySa7TH
O5JmXJ53xoaCFrgrD+Y2/LEidqrGzeN+MH1oA+GnBq7quVFWuJDKa5ml6bhBU4259+dWfpGOpHFD
N8i3zXG9s2HpfE8NktqUKWCSeuZMrEAKen+arFHyrHCKUbnN2/al7Yt0I1UPHUVmwVrpmprUmKsJ
94KOipB30qJ1riaRcK8Y01yo0KstwJiPWtyC3Rpm4qEwyzcYENZq6YsSp95+SukQcM5JevW2Uesy
5qrJj4lBP4AUjvsYKsF3OfaEwClVOLd2KSMpK1WBhbiA+RMmJIEp4Vkx7+5li7NYBzTByQLtkLf3
hlfurtvMwimHw4vmYWgOqNPNR+cEGq5NtaV/WIzjdKONYuDqVT3QiWj8vi7pYg1BT6KDlvzHBCXA
r/NdY0DuKPVWmzlq09jysJfaX5X6pIU/9TVw2wuvMkki06rx/mUAcb5bbdQ2hpR3GQwqsROJjauE
e52MmbdyCVyY/kzOTKOotloyomikGMmWZ9dPk8lagNC2cWJ90zx1ouBZMf01kdN2nsRxRtaTsRoR
ySMDQDQ3CJ7row+FPZgJPwOYfq7v2fJK0icIEBBkrPOTdmRyM5GNPqMoRbWkeyj6yO7CJy3+14HW
tJQaljGleij5zBIxo0ekJcKX5NTJVy29F5JtRW4hszYlTKDXdVpcwhNRs0sgKwbLGBREHQWAmmRb
TttNktz4YA7F8Z32r3vYZprN/KMSKoFoVdMSAlsXB96t3/f76xpdBiMzGTNDTEMrDdV2Wr3je6Y/
HyXAVwbbPN400U01buMeGCc7KfbUwwXt6Ojhl9561ptHClV0z39e+ZppAc/c8+xrZjYayW2eiypf
U3VANN6qWmeTkbQ7+sQL/dbyKlsWt4xFBtmmXaO5v+z4nISTk2T2kSl3iqnnB0TQy9g362NG95b8
LSaMAH7wQQAIwpTi3dHKwY2kK6h6z6yEWNRL17Zi+vsvlAfQcWImheVofh3yWjj2oTCBU0o6Y2e0
JgO3mLVfRJ0KRarsBfq8utT7rurVmyqueIfLIhramxJJ++mqkhl1Pdc+V9pOT0y07/qvfaa7ngxE
ppk6ml++epZ8MHJjUwwxpjFsfC1+6/ts4+nNXZXm2coxW3Idp58yO2aapylD0rAQ4NUWfrARrd9K
cC+W/n9Z8VNBswPWgPvGkxxBpVE4SfyqmDtZhJMy/6yT2xR46na1HRWPStCsqHjZ3vax3NPVCV63
SErhfLktoGq70mK5p5yIUmw0/ZciPoEVHw3aJo4+BceHVN5cP17L6/qPzMm9ndwAo8rJaktkAlUx
lhsZ0JPE1aO031VJOHzrrKJ/vi5x6eJG0f/R8gLyrhurNlEJIoE7b53cK7m5jfssfEmtzCGl616X
dgl+/rGoDCBCQEHUM+eQSgBcyVtR5O+GWzAYHVF80tTELozPpv4j6p0kP9qh+pZ7n9p/DXR0Lno+
9VsPghabR0Q35bAFbiRtWzdVyIHHaz7yIlKfJNEmYEI6S3lvXt0wqkEYKxlJaf4aeNvq6Mj+PZlm
sIhv6GszRmdcA9hbdI2nMmeWY4xjkkk5MvWYFghjm4iqI3h3ZrQVtFu93I3eRhfcUPq+sqHTAZy7
xFO5s4pp2JlCm0jIZUTEqaxD1TxoOo7Qafq7tKVzvHG9ZMvzhGEOT1+bAVg8L7zFQBYEuJWB7vPz
ItXRMbZSNcNuqi9t//9I+64muXGgyV/ECBqAIF9p2k2Pxklj9MKQZiSC3ttff4m5u1U3mteM+S4U
it192C4CKACFqqzMGCTWEL7hz6mydveIX7oY54kl8SUnO7Md+1QdB1gqwHJWcu4ZfbQplS/TWMN1
RMgOwmAhCnIBQNP6ETwuGgakIMXO4jiExiTOnJyQn4nWrbQ0LE0fchzQ4AX9P2RwpSPOqupMU1Ql
dxU9d8EF5Ngt9JiV6iEgnXvdUZbm79SU5J8GqjChgfIM0hpZ7SUGqFZTKza9EuK21y1dvs/FHJ6M
SnJJBmKBvs9gChqYjf5Tt+9N0CVWR16+o65lzD9V7VkLdnr/UiSP2gig/soXLJ2pJx8gJ1fyEXAk
dH8hTCg+suygWkeNxK6l32fRWjVfTJvslqempJigrwLS2GFYuM3M/ib8OcnR3G/2XokijFXyTU/S
lcEtWcQE/3ctSrPL56iEYjcuDEo+YuUmKR0lKBw+uoZ6G6drG3zJbf5Zw3l6vu0CrZpivcT9z/Li
EEFhtGwCBJx/rrvMkhVbkP8SNKNCYleaRSU2laTpAzhnTvd20/3oSu5VfeBfN7O43U7MSFGTYfE0
0gjMIIq8aQuymWEiGumuzvQVqNrCKqH9Hl2VAC+aUFuWRxSl/8cFmT00fhoQ2xvUrEZLAruPW0X1
aD1yB0DReiWeEK8RySGhWi84rnXYN2VSmbzsTJ5lvEAVJlIejS5jIEa1+hUnFE4mWyFIEgG9wpA+
MSQnnCsjKDIDD+OseoZmkhodp9lpgp+WPTnoXHa0NWDwZQkSnBPIcwPiD95cQbJ17ohV0YPkr1IL
N7JKx0ATXdr1Tjczd+qQihvoztZnP9KJk1Blb3Saw1jo0zbatjPIzcPhW5QDh20O/myy72qhOZaV
blM72cR24pW57SYg0r7ubgs+AElvKPiJNxNcQCzVyZU1J8gnpIoGXR6GMDl1Kss3A7/q3kKjgp7A
irWleBnVYJDwgBhHRw+ntCa1hYSCLsyxDH01vwf0c6McZdIHNu+0wR+6rUJXLpWFgxbnEAMJKIp7
6HOUXge0sCySzqRwwcjgRSGKfMwvwm+1daxItDK+hc0LB7BxTYLNSKBvzmdzGoe0GksMD1V5rwwQ
r8ZOGn9k7cOXV42iGR5VB7Rto+dZjPlk1VifQ0S7x5jGdkt15Or4Phy+6wlemO2O4aT//zMnnOjE
XKHVs8rEFI7hj8LmjmZ/i/s7HvzIh97J/iePKowOTemitGFoMl1ZVlbR2Khm4YJ0JrWcGqnsONG8
Rn+OLKeh+7m4LYKVl9zSyjEsG/YAtgJoa8+HGOodHXk6FG5fey3IDvP0Tz59H9R6ZSoXvBFkBv/s
SMd7mNlQINFwKFFr14Op1XSoQlC7cdNyFQUkPFs+AHFPgVdLBwgIlbfzMU3hWNckgi2m3Y/kXhld
HekIaPt1be9Qe8M0ryg3NYBbsbG1+j/XnWZpr8M5YdpE/5eNAsG5+cxksZlN46eTtup7Uv1kdKP3
u9J2VQogS7dNx5V9IU6rixGfmJQclbfBmDcmVtGEoMQ820+ZsdZAs7iAJyakE4ybxjTQHiaUih8r
Wm+UsNr0dXRLk/Sl59MKunvpzXY6izL2WjfTprRazCKrho+a37FUhU5beIeM4gFC109KaG1spH1b
8tpYa5HV0lP8zLq0LezCbqfSxmh5s08qv4rB+FQ+Kt1HED5b/FiUT9AFrI3vJVl5dVwiNXCXnniP
LW2USNH1fLJgua5iT6lRP2v5kZrxXW0WP5oy3UzD42TwrRL2YMJ/mgwAgdOV43x18qW7IzHMqRhK
TH5SfaTBQ1cNXmu7WXzXV27a7/MZr/WXZg34uHgWiaoyjiKAqOTAZZpCdcwJrHLNy9sn1twHwybO
V4KwhZufgpjm/1ohUtScxEFXKBRWKEGE1CFW2czaTqc/dYF++379MFiIxZA2gnKKIHFB+4W0ayI2
5UQD45drWz+UPNma5fNkK0+1Ch7OwjzGFOhpuiZAsmJUTuaAwUZThhZG+wKUOD8gVhcj5cCh36Ee
WRg55pr+mDhQpeMHLa4ohIItDzxk8hMBTVZ2qNeI/9DjXba6o9f7Cdi761O54B1nRqSNQTMzC1rw
urvzeN8ijwOmS0ifYPpWbqq1wUi+HymWVrBS2LF+A7OKygIqrGu8nQunKcJPdK4gi4EGZdnV8wqd
iAlKdS4qqyR9tgvfmn0ImyJdu7Y4i/N2EulK47F1NEAUKkyVwd3c/6mGJxY+0XblTbXkcyDSweID
YiMQ7OeXntXwQg8shEpFxp0i2dvaD168WuPo0PZ9BvoSZ8bX/QGhOwA9uOIBOZS21lSZKZRbYBGI
W0dpA2gJhEcNbFN6+mVoDUDlJ6bknAVqDgmtEmEKhPZgANop+gs4Ep25sNbqGEurBaJ0oPQApERN
UAoeGlCBlWNIC3dq6/QjD8Lit1VqyuugN+VTw/SA+lORhqCd5OkxnWd2NCdQcm81zeb7pGNF4Vhj
RNp7oKu1zo9mXvWeamT9SsSxcIqikA1Vb9HqhXKTNPslHcemm1iBmAqiWvrGbO4pyIhS9IQaBXeG
+u36ai9tGKAeAAXQEaWiYH/uX6HZlX3ZwB5vKycpgAx+GxFAmuq9FfGV629xbCj7omiPTPxFcUMh
ddEZYmxzVWsgmOWTr7Pytg5L9FnO5bckLaIdBr8CeVh6RkOTEiU8IfV5+WLjqVFFSGqWaDk3g2cL
shGPLCTa0xyNuuYafdq+DaaR7HSS0b8V7exf9sh7v+lBLOiMqPnsAaKmr3iwhJMD/hDr0YoTmmyV
ggyDZ1Y9537dm8kL5ZBby0yj8WKl1v6Gs4F8h6aF2moovpDtB8MzetqgtwX1KBkQHZTgURkSgJ/L
4k0nt7oNFQzzodQfdH30+HhoiI+S5HVXWVi+M5tii5282gib655YTekqKYqe6exl0y+RV6Vp6rSA
77Yo51+3uFR9PDMp7dpxGsKREWGy9lWwcpEteLxFDVZju1IDSVy5t8Nb5JnaapOXD6X9fP0DlocM
MjOoJOHMkMMMXLbgbEo7sCyqt2XhNe2j1aIuB45k1B7gDNetLcWoGO5/5uQAI0HLUBloWNVYBaZR
3xX2t6nfd5WroDtNCAAE5nMJ5j8UecyPsV7TcFt6YZ3Zly4baKqCnSHEcMN5H0M+OnoBJ3WoulP0
gxu7kb6WYbwy5oWo4MykdP5AsxtFCTHDuv7A+z8qdAu7v9endeEKPTMhXdRl36fzqGJWOUSGC+Az
VG1DUV61s102e7VYWf+6xYVDFexXoAoxLCR2QY5wvlOUQbOH2ZhBZmwfJguSoJZj17+jYMtW12zJ
FN7/EDghoFpFDeLclF1naMUJgYQdlZ9F7lGI8VgJmOwyZ5zXIDULdyg6f9DbhLhKsy9yGqQFmw6I
eqCDm6GKmR8Rm/px/N5Xu+vTt+SH6CrBWwJnm0AWS9te61Uz6FOtdElHgV/OGelSh6SEe0PTFrMz
NarOHcis50dTsdrBy2K0C3lVOGYr2PMl99RAXguBAkhdXrSg9iEPrHyK4TsVmnxC8LuigT6w2Eps
vLCK0MTQoNuAdlcNLn++iipRrVabkxKFVCcFo7KqP6Fwaie/jTUG0aXNAIIMQ0XnGFL0Mo60z9Fl
REB96Fpgvsyfyyl21OYAYr1MGbdZwfe4+FZWU3i79IoRlHdg9bQh3IjUzfngLKWuy0orcP2qf9Vk
i5DW0brIQY9+PyabxH4riufQeI7zNVrWxVn9Z5hJL9Kx7BK1NWCYKL1bdSA7ULzYvqfBLz3tnWrY
RMHBrrZ03kW225D7mr1G4dtcfGtWmXwWEkmncyCfCGM7ZX1n4lMUpXYpnHfQACSCCq36K2aNa9Q7
PTuGs5dPTqgAu+wG+fg/OGnxUiZoV8FldtF5wIzACIlR4act24/pHefgSyneVhZ7KTABrk/QuDLE
ILJIkM5aPQtMWOlRjRg2qf4ryLaWcOR6E0+HOu5dk3UrQ5OvaUBA0dMJui4U46GIpEqRCS3TCSFe
ZTkZhOIgZRBbH1XUIMz8Fsd7tlbmkt3q05rAWUBVE+Wgz9PrJA5CGG3kKmktR7HmnWGg8w407VrX
35IsQ2zw1eyNMIdWUlSC8NxHp5FwrRNzqknrVmtsIFcazeGdT41hAzSHhpLe9bWTzzqgvIXCBlAy
KN/gvJNO3T5vgyLsIdVJ+l8gtXhIONsoRrGSubmcPVhBlwOuCsEPKx91SZkb0Rjx0C0b7b0tc5Aw
Td9HSJY4vcA0ao21/fqwQG4PVxSCA2gYOZ8/QFunXtGS0GXF97xsITvJXM1cmzxNvhxxVQGvjpZf
SAnikSEXGVJ9BORNSbl784p+DSd0Hp3t+4vruw8rNJsXQTEsQd0ZdxL40wVHs3RZcNQcAprbHARI
tXe72Wy3xwYcBa634g+fM3N6cMuGJM8bDH1MpijgbuJkIDcb0Lw/uLFr+gb+y8Agxd8Mf25eX71b
27+92zj7UQx8e/9OnCPIIj3qA8Tmvzv3xGlBqJA6L1v/yd09fHzcrDWxLKzA2bwI/z7ZKLrFk7AO
MS8K60HL0uXRNtcQ2+lh8sjooK1cL5eOLJYBHTsgwgUI/VNX4cTcqFFdGzTMTtyNB6vON2rFDtZQ
3Y5juxmyYWXZL3cnwPqAoBsqWmFNwAbOR1d2ep5HHQeJ69gdmgqJzmQabkpdWcmUyAHC/170f8OS
ToE0UFhrVRgWh7aBEbx26E1LmmE3d+POSGzHpEgDmV/um0cxFT2okNURzOMGwNTnw5tD0hjWWEFR
ophdE2VuCulBy/hiOCesIC+IBYN6EbtID+ogYauHdoSyfXOkNdqI58RV1nTy5LseRkSBGLeghuMA
ofL5UCpoLqlGPoAdpeugN6ig6q6vRMgXzgATAAPDF3BaQ31ZOgK6OeyMtMY4AHN/5lzdNKb2TU3Z
130O1xtSQzZlInMijYQEtKm0msDFrcShRu116jFJX6+fz5eXt7hD/xmRXoBZWU9TWkGDeIRGqquF
5b5DWxMZcH8byjYN/vKxfrpu8qIOAydHehMRCo5RvJ3kGn4PjoZk6sYIoVj0AIGyDUFvwFir70jW
PIxJj9eN+qKBw7IKK5BRJCsn68XRITgowEQBLxG5fTlL3XV2mvYcAo0DSLGcdmDvds7orwoQDldT
aO6lVT79uD7mBZfBxsJLApUEUGnLPFKAEXZtbBaRW8d65Zu0SHZq0UCuaMCmvm7qM297dnFgfAjD
YM1CSxVwkuc7gMd4HfeNFoF4ADWg0OG56ufzc5D2uyZ57tLRi8Njz5QbnoqpBjPL92ncmlm8KRN1
r3Tf6uAPY3s67Fc+bGFrIo9OTNE6KhhEpX0z19OQVMSMQAGiWbrXxzGiKDtvkA0INTO7TaYiMl3T
rJPajRQ0ae2KQqf3PNUVX43qLthlkRXyQ42bYYIyY2B4NKn0B6Spxt6r+6lUN5oyKjeWGuXE1ZIU
YnAFCKFCp8oq47VjEGvexKSKO+/60C5dGkebQHHieY7yODbU+ZzXNFCTKU/QnlTvYjBnaNydzT0w
sv28YXruVV2JJITP18ogC34Fu0g+IB42CPiTzu3OFc8DpUxxcGMLGZApL/DKCpnmXx/fJ3hM8ilx
N6AwgVgYwCLJp8xmtGlW54nbI/sYltxRogcU/0jtJ7NfU5AGR34VHIxw2xfP4GscLVQDXQ4qDugA
ogyEhGh3N2Yr077gUIjLBegNmwpdddKsm0Dr02goEzcptsC7ORqOresDv0iGiDvr1IT4hJM4oxsr
W0ORAmRp7yg3AgwcgT/+ML0Ov8e3dKXatHAwgaAeBRII0eNBZUlnsT1XY5UWsGV1mTN1x6G5a3Uk
zRqvSVZMLfkNmllQ4RBvDuiwng8rRONWGNm48OcQbUQBVGASurcKdWX6LoJC/DxiJmBz4Z64k6W4
Ig10gJvVGgobc2Ycq8qavXKAzJg69+pOi0Jz5WZetId0DS408IldXP5JPfdaY1axa/P0oLdvYaRv
QsSG5OvTh2wf+h5R0MJFIsdLUZr0ehhBL72cqm+4sd5bNHKGivX9uvctDUc85/F6QrEByLDzVcI5
OHOEzjGocX9q9KPvN6bxUfKVEGDZCurb6M4AdpRIeztCEph3kS5yzft2/pjhfOF4H/Uf1wez4HIG
jioAwQy8cRHUnA8mTlsEt4EduTEi6a0S0eyQAbMXORA6K1ZKF0vnlShxIRsA5768A+OJVgWLktjV
+aA+jxmzeyfnsfYwoh2kcCalypGJVnT1d5MPbAMSke4HuO/nYzbEKruvRwC4cHbjpbxFsVutHKY2
wUcT1OP3mYfpO2MN3TErF4xDvcXeSFys9VkszZdpgAsSfwCekamaqw731KAGwHeRyQt46BC72NmB
7V1flqXVPzUj3SC5HiRAJcJMio6NadyFLdhJk8Sb17prFw0RMFuCZAzntdx5YJMKqG6CeB8AYfBC
5SMhL2Avrh6RtDHeZ5MjMLg+tIUZRKoNuRScP6BglQO9Us20ySojNFWYyV6xR9Bdx5sAAN3rZi5C
aDwHTNFNAeADdAHlu9+o9QAt0KAODkhtOE1nI67VD5Pd2UAJ2F5ZtV63VlVZtsmgsWkD731R42iD
GnUHBpt2NPlRD7fdl9pDDSClkd0na2yyCxcTmMfEMwFEReg9kLcunN0sjAScAJZ5oyJIzHrQB3Z/
I1Ste9Zvrs/n0rIhs4LoHDyXSFtLHlkF1pDpFDW3cLYOKg0c1Hp8vVk5Ihbc0RSvD8BDkTlCXfr8
OOrokCi2AsYItTC3IokQZ6UzZLxx8mHltliYPvg7nr0qkNKoF0thSmPHBg6UEf3Pc9L7udortzhE
fgPcKKCwau4P4VCt5EcWhgeUNKgJgc7GPz8D1pO4RQkspQKVXOxmg3GMq8GF9quD1tFdMGQrOYs1
U1LYYs1GjNQBEr9J8Vxa0O9CItEsXr9MPo1Y5WxI0jRGqtpSIxdauRQkbE3jsxaAhZl8/dTAIwV/
kNCGtoccs6iRWpNaC8TMQZEdnBcBCgd5VK94uQgcpYiagFMMhW3AAnEtSqGR0ddFHHdN4hbxy2DW
eOA/fXkbgU4DVQBsXOiLytxlZVAmHJ2XiWtyCIC12aYAniIOvpyPFy8f0fUIFSeKupa0W1XaWFwx
Q+Rb0uI4R9SJGvXQ5R+0SZwomr6+OGe7VvjiiVtHRIkRPwsmxNr+ntalgUZS0bNam9Ma4GJhgWAK
xwOqZqIsKB0QQFpHOD9gilbK3prY3aR9lV5O5KpOTUijmSjvwzKAiRokBo9zWMdIK4bh43VHWNif
Z1YkT+MTkIyzDSvWoDgzzh6CCsajAUbI63YWjjnYQR8jKDpQCJIrjUPN1DmfSpDkVOSp75nT28EO
NIl+NSW3hgJW5uv2lu7AE3tygXGyDA6iNfRM2iUITpqaA6bXh8wJ9eotCKxNGIVbXiQr+3bRKqB5
IvGMh4385hzSkDZhVIHHtEgPqAuV6R9dG52S3GeGBq20FXNLD1AEL//sCTc98Xh9yFmjgGbWDXsd
7JaTozTUQZeAG05PA73LkCemk2/H/vXJvcCKf/rmiV3J/YlWhqrKYVcL5q3BN6R6mIzvA9m2GO1U
bItmghx8vumavbmWblj0pBPb0r4Ag2XWhRlso6oEzzEpdGWgf5SGtxoF8yb9Ks5AHqu0Q8ho4+Iv
xFj1o4CLVQ3fmKBGuT6li/vwZFTCs05Wci7jsKuF50y27Y+0/Tk0HXTmAeopo3klqr8siImjBRlW
VfBG4YaRhpS2adg3BKnclkKHkHe1U1ZgyBK5vij4DuWtziHTMa9BbabuVbrl8a/ANN0+fO2LlfNn
wZUQPBJUGJBsBamUnGxQraKL02CgwE/axmM+a6qontCbkc61W9poCOoKSHMngY5bJM+g5NYFkFXr
4sFvjMj6ehVC0AgJTC/evHggni9Dr2stgyIMclRR8yezogNuYfT2WeFK1Le43Cd2JCc2rAoVCBsr
oOgaAJa6q7Q6IsCf0f+o5IGdgGQEcizozTHORxRWiPTKEexkljLZAKralZPZa11jYlqkeAVvKZD5
UPR40oukPbI8I+h8QWnZQWvJCssjTYNj11rPX98keNIIRCyq7WB9OR8LK3uFo5oPb4jN/LupTum+
DsLuyMFU9kyz5OW6uaXELXA/kB8VSE5sFSnFwnugcepogkoPiK/7do80SNG/mXjMTYcOVC8Vu00H
r1lTORE/ezGbn3zOgMaCZU3angXIXPouBBs2vOFotSXZQuhNBSKENvdWe+Dp89gV0Ekofq2MV/zw
uWFQyWhIUkNGS+SpJcOVPU9tZHTUCRsbKem5ZUeFj69KY+h+gky7k3XWixL380s7gOu4jSfiNkn0
GBrGz0ELwcZSJ98UcwIQtFchEheijnD9Ey/jLnyfiItQX4NuuZxbSxW1UUAjjvK18b0tQXvzev33
Ly/w89+XjuE8azjJuIa8qrZNlGemfx/ThzTbUssrw69yIACodzYYyb1InJO5RDrMAYWECh7a1Ag3
YBdfaysTTyxpVTUNpxlyHMA9goztfNfoTduj4IVcMfRSHMKeafLTMNCaMzoVPSb6j2q4afqNGtzq
ySr0YmG9RI4XXHN4a4p06LntnPVFWhkgd9C1Ny3xBM1/1fuM/GXUBWCmbgaX0sG3hx9BAr0t+3a1
rvwJs5SGj08AzATVeRTXZJdRzMK0xh5OzabS10ovCSqnig4t8Tn6I0vlruOJ08fYxqY7VpqbF5tR
92dwDQL6Tu51yETyXYUIHE0xiT64bbzt2fccBLS1ZwAMrEJRoKJ8M1jEhdK9U8RPpN5NIF4YrdrJ
m18kD71EuW3Lnxn509RPtnVH7G08QSweyBckGNPsqWOHPF975C2Eh7hbT4YueXMUsWDOUwwdokke
N1NnxBMM2GhO7sbOM0DWO8WPtFuDRS1sojOz0qLH4wiB0gFm+2nTDSjeYh6fkIODs4VHpNhWQqfL
4/JslIaEJZyHIbGaEOYKcF+26I9S00OCLpwWauUad8zpQ7XWUIOXF965TelhG5Vtbyp5T8Fra7po
kgDreQb2/FWm84W9i6n8lHDDmwJQlvP9E0xTYCYd7Ezz6KZ2BhrAJ/Qr2/SgdQ+MKU5iezMIA6aX
oU48U9voxgfSFs5ATWAYB0dB4as0bodx26iJoyilf/28/LxyL3fXvw+UXiBBFhJaaJh8GmLyrUM8
w+dJBnPY8wzQlD/ppEGHUvdZeD9HP4vyJoEIQqvmXj7agK9DTdZ+6IzGUas7CzwKNfumN+bazba4
XidRpnQGIg+pTlODeQxn3VOYayc/Ir6vANQCHim2Q4+wRwslWGTS7eoF9dhu/CCFtTJba18h7Ue9
CkaWBPgKCHU4JPioABvMu2zl6bsQ3sM5TbQ/QZ4KWTEiD1a15zLXRjDqVA+ZvuH13gCnFo8yMKV4
nf3KijcVE46XMf7+Ql8o+Nrehhr4ke8r3iEsXXjHyZdIAy6QGDaMBl/S9LMTV7sOcMw8qW4s/WAH
CHprT0MDvqLfqc0jBA7C+ds4/SBK4IXxrkMBMo4nR+8Ogh6ysfyMtm4cGc5IQHibvjIzwluz3F7/
5oWgT8yewOICVg6NI7ElT15iSpIOIEmZKECdr4G+BW28YnCnbsgWnbpQNJjdFngC5nTaGhvConsI
QUggiNBQKN9UodWbRR/NFPKsAzRa26bwMqX/IC1q5tcHefn8EGP8Z0lal9AKAmLUsISKHx4G0IXk
mxYU3WZnrhzOa5aku0DPsGhBAkuhoXoBrso5RxkivSdr7NKfKLtLX/tvTPI1QPLKYhPHsQMBLs8i
0ODAv6aHskM3VPTQKbGv42wKNXdWvmnqVjcOYQRFEYQhz6n9apTPzJrxHz+H6RZpd6fu7nIbAn2V
X+jPCDUn++H6GnzCIi4+WGQQLaA0QMojvQFNIw1QKcQHm0rwbeStx2r2EAr91XY0NolONqM6I5PD
vMy2fybBe10rwOYG0Xa2e69ov9wNgAMD5HT/Pkg6N2ZOqhEQWurk5rwpptLV1Nbh9rHhumsraJmJ
bhr1fmhNh0Xe9clYcH1ASMCVIbIAaLeQ3CTTM2WIMhwUecuRr1Ju0WTit2m5UvhY2tywg04HtMgA
kCOjjKAkg14yhhN4pErsKiG0cOKJl+iXa4GZDRplg/832AaBqDDVuNLA04/icG+t8Q0sDlgAnpCD
wTEtV5iCymjsHJVoJ2rjfQo4fjTnftGugWAuEcmI+ZHM+M+OFECkRjDFPIOduG5+jaHhFbb2bLSm
p4MOwC7oUxAOezT7Hm21dzPCH8xBu4sI2dA+WSmqLU/+ybdIsUKX2Cm4orDInUh20G1f71XztpiZ
Y4d3BjDManZg9NhlKztN/K600SjVxSzgyAMWSPLrFKUOLRJ2k/hgaqFrtyvtl8sjO7EgnadaT6ZI
zTHLmf0tZC+jsW8ycIa/GONDVhyAXiP6cShW9sxSeH82LmnToDYfcmJhXJT90OaXQAm2qXpQ8vs6
+pu2QFEA2/L1sjn8yRCwA6j+iRLs+e1IW7xazQkjJeC4zQOyyyBLUOT2yqNVTNjFkp2YkSa0Vms+
MWFGiO+Ww5YnfpD7xvhYGCbQTytZhc9tf82cNJOIsvVWKXFLJcW9lm2U+Bag8Sj8k3IbmQY/y3Ez
gj7wQyPQqxxWIo7Fo+C/sYJx7nxK0zhLtTbFsWs03B9s9a43its+tVZ2wZoZ7dzMnCbIcaUYY0kf
m/YuNl/n4PH6Kb640U5GIoVORaRytRuxasmsOOpQuf0aJc/aIKTjLClalQLdgCOE860x4nE5hge7
aPzrAxFeLPsDUGnA2qmAYyBTfj5XYTUqmYXWbhSODD+qYvQV3mpVC2DjjWKu4eA+4zrJGmIAgTRA
kgS9UmLQJxFnSKySNjFWptIO/fSXcn2Xt7uqGF0zhuy0fafOnVuNiElY6oC8TWXN1hqf7G7X0Q+b
fFONj4J9KIZHIAvV5l5TFB4ZbhT2yzJrNwE7yfXZWTruzj5YilyKGJXPUrhSnOjNnQ7SVbcq2nfD
LsEtA8ApwNlZ9ByGcX7DpzmCdIN6Z3E0iq58h1jti4kzETcInD2gmNIysa7QAsI16rSQxvW5ZVee
btTqUQvAx9DT0HbSHASwxI6feArVaHOY0TETgYHGCABk09jaBlg6kgErA/sc0NUAp3zO3MlSQght
rFlrUDThv9mgb6L5a5ikDqt+mNa+GhuXsSeFKF9317P1kOYBKTa8bwusB6+QAtHNVsVjq+v3SYai
MSAlpRO20Lu9PvviTLyY/BOvlY7oMNOtqFVgNJv9HCm0AQ2SdZT7wIe5XUwc1fhhQVP6utFl1xO6
2SKbp6Nx9XyvkGI0cnPEzqRD7TSHOLVwyADR6VnfUnaXT/VfYmaPNQQIVwyLs+tiuP8MW9IpHfaQ
gcUsi0f192540/S/oa16pfW9qPctOvKV+aFkN1U3Oh1duQwXDj1ctf/cXJpprncNEpgwbVKh2f02
oDWmX+OIWkBFWmdW5Jk1wZYRTLAS44rtk2YbTc8FaDQnZAqtX7XlaJAGQo4UynDwKXdOuDfnMZJu
T2Xcekm0KdpX3UamFEqu8+vK7IvL6XL2RUHfMgTRvnR5NXleZuWEnV50P8bpJjX2Rrrp0fYyzrtw
AvbyJiNusiZSd6HnjBcR5uSfWeEUJ9s5mdHnYud4SA42komJn+BcidLIb9E6VDeepVngf/4FFXWN
106RohrEQBaXO1O4TZXHTPd05kLQJUYasrVumrXvEwt/MSuCgFRHygDXlbzvYyh8cgWzYpLBi6fI
ScD2Z3f3Ads3yds0P66swpo9yRGVIgQNTIPpiKNxhxyOBv5irm3Kcp8qh6j80VtPlN62w46PHVKP
txNLnDj8E48gGn8wy2rtMFjckyfjl1wWOqOZ1sdieehr3s37OoVKM468LvqhK27SPU9ERzLlezXh
i1bO3P/HUf/f5MsIEwJQ9giCDIqsaouY6pgG5cYMbgMUvjI8n8oPm7/HbHN9CeSjQNDECV0d4PYE
tEputSh0y+q5wRu3qsVmrFxqvLTJWuOIvM6yFel+T+ucqMkIK2r83mh+03kVf6eJPyWVE8cr98jF
kS5bk7yYKmjPZQmawhVoN0zMpe29yrwIeg5dAyErr6PlhrXPUbiWvF6bTMmd9a5SFQpQp9t2Wz2+
GdM/I19Dca1NpeSirTEVWlbBhq07w/w6ZHvQ5Fh4y9RM38zmSn5D/NrpgSBN5Wf318l5Rac66nqx
cJnlK6DCAhVy/qEE8X7WeyBLbkZle90fL24N2aJ0MJdWqURRjcVL9xBX0w8ZMHfH9sb2Uye6bTax
0xju47T5kW77w+CgCLfiPfKTQ7YvndDUngMOLCOcJ2n9kDG3zVe2nHC/yzmlqJBCRhG4LunJ0XcK
QA963LhW8dzxPbNv2uqZpz5bE49eMySGerp4I6JHyOA16BvZVPxjVg85aj6D15lrpAxi/14bktgY
J5bMHoimkcCSWrwXg2MyFxGkUxQrccvy2kCbBjBT0LTIKNYpRotRaiaNG6POkQHiZ5H9dfdb3l3/
LEg7eFK5Plum4JPQYmeKwDAdFdBZJse+gIRVSL1mWKMs+2xAvZy8fzalHW1Rzu1Khc0or14SnRWo
ReQVSihptmNNSaCagNgYib04md6ijmRu0mTVjZlCQt3JI8X4rXdz896NhXKskb45qsNY/iToEXiE
NjS5RdUWWQbL7iNwIDWtF5dmjRbB1vqbouPjuZvU6TdIa7lbViPxpgQRCpjzFDT8m2GIDg1Ij2fA
QoMUr7STW9aH/S0yKeE+Us3xOW7b26YVL6CpIKNX2Ub03ltTubcSm+5m1pA/XEWLlA7paQhzK9SP
jfFJLVm2TSr6ZIyKvSPou/RrJbovINu+sqCLewB9Ldhn6NABPP3cM5VcZzXa6Rs31N5IhVacyGGG
Q5LjyL56f3+eHCemxKecboJ6sC1FyXAyx/reVPDQtsBX/KZAmkFjNwkvIaXup2sKqUsnNFAYom2b
gPFV5gqoIEqi5AR7YgJnWA0JYjSGukPR7WuabznKXlOGjr5Wfbm+UZbm1UKYiPw+MvygiT4fbA7E
bTdZaeMGDTY7e+hpDGGosvkdA3Ohamt8D0s366k56SgLOPtfpF1Xj9w6l/xFAiRRVHilUvfkPJ55
ETxjj3Kk8q/f0uzu5262tgV7/WBc+AJdYjo8PKGKSvIIuFS+HzLucvM5AV3l+TGtHf5DEMGKGY1p
zWUPkLD8jbatGCVa2T3oC1lWXqqB7pxHOylUXPbLt5IuepTQ6iqKjsfZDHpg5Ey/FXWy4OeA8t7G
cgiqQoanDucPDRsW3sDW1LJA+TiPvjqhi8iogSZQ7B9h/TJJqxITMvK2of5CVb8dowSr3ohir87n
AYawaHUOGoF0bLBokYpaBn8IVcdI4EG8qd0vjW/EXNdHhO5FVAuiHFx8yJskLUM64KQXhDA5Mlzt
Y6Tlhj+0dgOZCMX8D4j4aE8HTdaktIS7XPIXiHl4RWO5/7IyfyAEB0ivZqnoJIyDVzFCUBKrp9bW
t/oj/w8n+T+3jjiSKZiNRue4dYrQlSpfG6F3n3Rw/3/UMrOkq7l8NlDp3W8dsrVlWi7w/7nDRbL8
YooUSPzBVSgCMGCjujOASUyNjZfcForgxUEJu5jLFFaxnlxKO2TZvSj4fX6h1qeQ4PygfnDhv1o+
4sDgh7WlpcUEkC55DGdfHp5n6qd4mgehn8eexD+a6PkfFHnwYjtAFW40TVJLDjqQxfL+jOuXWEkc
rb+U+j1JH1O6xT66OpEHaMKllhkxahoI0CTpLSafGggk5s2bUwzG/PfN+WciRa9rLJMwsACSVPdB
d6taN6OMeoXyYoocDtWNorQHlLxV0obBX7vEjIMbW1jAKgI3x9zixjaawJ9HEOPF0U03QODDmH4a
PP8Hxx+h3IXwFyaXiAbfIq0Vx0ibgi/tpU1tVQdz0Zw4CNZDKGcrH7xqfA/AhG1CWjKrZQowq38M
9DsFFWsD/TCz0qHGPmr/ssx9WUE4WehTgSsApirBaAVdURmB0oHdTq380GjYomFYpBuX1vLNoqd8
iCKc6kROKEqWcWmBLDVIW7wz/FS9S7INmDWX6hBGuBu7YZwnbQZMOBe7rNV83nesISYYSxD9QQi6
GG9lpd3wB9ZO2iGqcFtaaRBaA2p07FB9s7ovtb1QrafzFmtr/oT9HkPgjqMhAQarHTM2WVPEKgid
ogzpkisP57FWhwPiSbqEWFFBLRiOwsjyttd6bg/YCeBquxg0+tagAf88zOqQIOb9feWjsVaAqdoy
mVDBz0E4iaKS0bTuukr7ImEJQe3RP4+1Yi6QJQAVEy55Qk7EAJsk1uoibUDqaO5u1aayh/6GxFtJ
qBUX4whFOLjFpJXIQEGDJGt21dyyZsstW9neAEB4FxR5BmiChO096VM8pQEAaMrBpmqwWdG8snua
G9QRBtJnxHPGzWCjQWXFHqERAJIRaC5D27oYWraCSCdh0zYQWoXXJAcg29buDXC7gAu0vapocn9+
sVY2xhGeeKeEIO0NJOBJvUc6lvByl+X7eZPb5KQgBqbvCGiZ7gMvoIh0yKxEAFLqfaXtqWq3Ovor
3NR6QRWOiuB9lu7GBNSjHWs7E4/ALRb/laN2+AVi4BgPIzpUKr5gmq4zlCur5i7dEjc9iU4LwxS5
f/Kww+toWb9UmtxgzG0tsRi0lq44itpSI3E7WJNIGR5LRL02Dvn/AY7uBpCsqCDIEc5EOhvzNKhd
YxM4jaCzAh2nl8WvhfbIpZIhO4FcOEukDdjVgwLxof9FFWwLmI7UQTb6xjY6TwmdQgUfEfdkcK+U
rMpBZ5ts+CPrC/kHUNizQ0CKXJoxzIZf1+atNSJJv/GAWZ1K8BAoC20lOsHFWt5JM4IqrAZsVzlu
b0YrGh25ngI3UEjujFYB8Tld7ZgVqQmj2ozMnVaSfxgnKltQngduUPQoCvdQrreTlA5oxwvxvA1C
1Vbnm2ir+WjNWh+CCHtGytCZNPdTYxd1aI/pj0z15cCxDHtoNu6FbzIRwS8Bn82f8QgbpYVEexNk
GI8OYWw0fVT3MX2NqkcorFnQyx4qN0uvo+yDyP7c7dDVNhN0qyOX9/b3Nu/wO4T908boxsoafIeU
o66TvED9wIFvzRLr7wmGwTFBFzY9Cr4YdMMdG70UaSMa1SpGTKg9gcoF6bGq9M4PR1mz4YcogksU
WVWUaRlQEpo7CnfG6cOUL3r5Mqr9gF72Ru4F6lWcXiuGPXZvNP0K5g90057/jLWb6/ArhN0Knjd5
aEHNYJPYNSYsJwQ7apSIRAbTG8Qt2385HSgMALGkBroVkVYZjbZBJhnAgwhZ5WScIr9jqD9pS7de
yWTN10DZNiiLAEOwjsfLmCV1lFYRJhj1JU7tjg4KlNgEDtj0BonW/cxqd3Djiw5KhF9oQfLiq+T1
d+Xmt+pN7Cg+LrPXzI6u5N3ftsMst83Bh4m113ozoPBhwIfV5mMaRKBa3qdbBKFrBkKFrCPsIIgL
0Y15PPiZDFMGivfGzpuXWoaNSHbtdEFnV1G3Estr83wIJdiieLKUcSYYTstdGXmLVN1KC24hCCYo
r9tsSGcglPnEuAJ9l61s0urNcTgIwbqgCyuPtR4QcbKnzWWkuUP+M5J3ieZ20kXAr5RxI9+zdh+q
0I8B9fbCqSTeVV1T5FOiLLtA82TTreMrawviO4Mp2m5Q4+NFbqF9HYyZx7sA5V54OYAyx0aN2QX3
uG9ZDv+M/dfJ6byK5U5gBwyZyNxgfFe60sZ9vGbiDuGFnSGVOUU/0zKpVWPLsNPwjA3tIp7/BQe+
vgnJEVTEiyyopj7ICY8xzGm8jXVHSz708paqj+dN5eqCHaAIBltWpWFhyoPBTmR0Iex0CPHwrcaM
k+LaxTgQdIajQAXsUPjv4yUboCGytIEitGHmN5LsN+jNM1+gKtjNjNDyMrXucuBrEDfMXGvrpK3B
Q3oYIWDQ6CDhIsY6skkPI6WcuK2Otxx1MqNxb0SvdPxUiyepZtHscP0CHJQduVXLDZd05Zgv4SOU
qqFOBGRzwjHnBt6fYI7nKG2XfplVDWYi2v8DhorWNmh+4a2LB9vx9HZpz9vJ0hE7hVwUUybqUSPd
eJ2t3Kkog0UUHa4Dsg9i1bc8KHra9FFr08hkc+zOs8Ya86uLXT42LN7iNVk5ZUdwgunSoymXIePV
onAUnGySCZqPkTU9fHo67s4fge+rSTAoi+A9iBRB4wOVauFOjUytbwIra+3hArLl3mAHTsloxFKn
uyh9dAfOrHQ/TKdm9KG3oZFto7Hd+cyd9IrYMjPetrif1ub64IPEu1SyMm2YNXwQin7V+PdkRA5M
dtRkrA+vq2baeOivPYgxAZqKQudFy070DXsor2lGATxFYRaT0AQC8l37k/+IdlbK3oaclQYoOTa8
JrKc+tN5/wMr2B616RGe5IB9yd1RZmHNOh8dKSzYa3fx1byzvP4SDcvMcq13hOhz9tPa/+S7AGJr
LPT4x005O6032Vui7GteLObDQIcQnq4EBa7H5ylsYxm5SnxY8Cx51VXotJ9dzUwnuApdBUwpDGWu
dr7fIoBZMxWHsOoxbBBCmnsmgA05gdRoz8zX8zv9pFUXy3s0MMEOExlitrUBhPGzd8hOc+Ob8ib5
wZ9jO3ikiAGz8FH7UcGdRDmCcxG5Kfv6f36CsOh5ldIwC/PWnmzOOrf9UK40p3y+y68/36pr6g+v
gY2VlhyTUWe6NDc23Vq10tEUCN6DpYYhcquYAml3Pd7mXyjf3FF9Z+4/f5Q+CvcCaJS+o1f90fKN
+4n9Oj/8tYfnEbzgPUAWTE2g8AMzentr2rrffyjOyMCZfP+p2NBucondjGwj0XrSZ/i97pDzgP4F
RAoQ0zveWVZaxVU+p63dBS6vPPCqIzoOhhsdfNC23F5L4QVSh3Jim60tv8eRO24lAlbv4IXdB2qm
KFQ9oXedKqPSjQHzPrd4XJOWpWC9gFG2tdonZF9at5AbDTtUCRU3s3lTbb1/1y4U0LhA+QYNFosm
1/EUSKM6lxCqgpGnl2aC7uJ9YYWIB7+cX+AtGOEMD2hSULmM9Q1A3DLX5ZWq6J9SEz0obbDha580
jXyvKiqTwc+GBhVNFoYUFVGr0GUvWbeB3TqRH9ybbrYfn8wnxSe7/nJ8kK6Lr0f6C16Hh6vE487E
Rpu/bp2qdYt58CnCsJuEG0MoYXbTCce2xxsYT9PEy200zoygf7BV1vuyN18Y+/PzvfbGWXweMIwo
YOxH8OJ4XcdJkUHWkmASWhCOGaMPchi7bbC0Yz6j4326RYD1Z9sSUIQOG8ZkzWAjNA5BHhwtUL0J
vl0mNaQGeV1rqyGKfn/3W70kK865qkNOZKGIkfGYEn5fnqg1hMsFCTHOaQSvemmE3qiEGXrh87B2
z0/l8mvCdYxad/h3CE0rCPkKMwmusKgwZOR0cw7JSMl6rBvTjmnGzPi9r7YYxheTcw5NMIRNoDSg
GF9qr4rQLrLrvLGDwHBK/SEdOEv5tUY2tso6IgIvqJRfMtfC+PQ00oqUw+AZcebyBu9E7TWBKFSX
k8eh+8qC0O7TraTamm+1qCnBt0SyFfVewpWbaEnf6hTFIUprcwpii5BB65yBGV8e9moGihnIaUhI
mv+kXcmadF+TDf92ZV2PdpHgSidhzad6xC7K2nZfNLrXcuJOZo82KI1N0dv5XbR6JrBlUe0JWlGU
fB6fR24o4dANZYurJEZpIr8a5WzjZbw2pyoapheRGEQ0ERk/xgiTcpJlUrV2WU4MRJwMDNGQTzDd
NCgvIaJ3EQwhmg/i3aLoOHP0bSoZgsjEVulWY466ZvBR22ognwme5ZPcnNrnIem7prULyXSrsUWr
GTpRpswfg3GnZKpXFJlnDI9KqYNjl/hZN+0LVWG1WbGGJlfoBrQjqdx3oMnpgvek+JkiWUmhuVmk
2fUUm2BwgdgwSHw3jNeq5US/Id49BOKJcMOPZzHV1EgKZXy5Uv8whivFYmr7Vpl+F93Rio3FpY7e
//ObY62CbiGC+g+mcOr1gDayzIEZLvSvqDooiGSHg5sTyZPL29G6VqBXa3WoTvS6fwgLH4EL2yaC
3MCYTADvBum55egEN5+40rpJBj1OUEJp08fGcNeO3uFwxaNXmJSP7TLcCrWWiPFFxVuKgLSuOXqo
s6F2oC0og+GRaAi7tCyT/ViCNfw9TJeG9XvjaxZTI5jco/EvBvIg74m8WBbKI77GQCegNV59VwxT
0AC4c5C6RnBXFz9kkBgV6Wud/ZbMxw38pT/uBB/BW3CSaxqS8YIppKnS1Ohkw/yrTw28XC16QfRF
VfdUR1+rZ6WoNdzKza89pSFW+h9M4bmhxYpSjVoP25s9Rr0HOsdJ0plFvH6sWBluWKYV43dk7AW0
aBqIFFq41IhR/ig4uqKsVm02/L6VTXUEIpxbLR6kEASBqD7vw30YxrZO7xuQ4yOT5LXasHFkVyYQ
aEj7LYI8y/YRNk3SGvk449a0Ytk11Nk241cljp/a0vSmBA6CUu3P75Pl+4Vtcogo6izDbVOSvlsq
NlHPW6nZLoCKQpr9Q4QfMKjf0eD1oE1XsAYSqNiHMkExr4QnGauk+V2Wf54fyfrc/YEQjn+gkmpQ
l9pTOSl2CIwyffSWsgOwwY3QilOlH+fxVncGaPygoaEjUyzGccgYo4CsrDGkgvUS8Xhw28S+CTbs
YnLOQ63dwWD7/4MlbPW+sCZQ9wHLmEv5bmqrayvW77vZ8qs+RfpHlR5VLeZMQUSZjTyb7gLEe1zQ
5F10WZ7ctmaeP29804qBO/om4WRYfTX0VoxvCvLkhZT8PZermyxLP4PhJUcCMA0CZwBFBk0TNmvo
XA3CT1UPt2zOiktgWQjH4rULrkXQQB8fmSokKBOvUVoHBsmh/tm10Ap+zUG+tjHc5eiJB+UQR3j/
IY5RBzKHplHrgB4qdONd4HRIZjONUf+ndD05/HZ2cyd8lK509zz42iE9xFaPx9hbfTIZ5YKtpj7N
EqhYWfscdOvnYdam8nCXCf5CWdIuMZeKe17c9AvlHQdV5vhidLt/wYHoGJhlQekudnjNvCiR8gNO
HNqm7Bthui/RwrZZUPptVcQ1QyrgP0DCsdFoP8akwxbtzU856nx9ahFdDoznMCp2JHvTLXOnmCMj
U+vk/JWr/V1HrdcKm1Up0htQRjqxlW9Y3FU7dfBRwrkpUQsxgssbdmph7LvS4JpB6DU3UKqMpp9x
2ljUtb1zOAfCokqS1EmNisnuJqQRWgfibCVKk/5lRbGaqGREi4iYiRzksWjGBJWTUDuOjMoLyoJR
1LGlysZ1vD55f4CW/3/gVZUJ1NCnhKNnovil0fnOANOY6UEmsJs+SbAlkrd+IP6gCddxM0Q8RtUu
DgQhCAIw2eK+BBEKEBGcn7814wLS6P+dP/EWLiHCQyHpxu0ofuNIQGSyk7e53dLXOnIMM70ct0hw
1qKU8DIg427iwaxBBuh4JlNIYJfffRRzPu7GemQKKkOKuGKZVt6kZLQlvfJM+gtqObT4raITGY8v
JheWo3e5f374a3v08FuEVZ2pWoOkElc3HxKwrqAUwxlqEjlaHKW781BrS3oIJSxpRcvMTDRApUO4
z6DMHcbdPplzex5V+zzUxqjE5uCpq0Z1RDeCTRXpuqyRPCHqTjfuz6Os+gYHI/qOwR8cCeyarDQC
wARS5nex9iqVKJ6nrSuFhGVg/koVFAUOuj8aSG/3iWuA4J5rGouHLb7NtdMJY6uC+YvqiDoLd6Qp
D51UU2xjHg52BspsvTVsbtGrof2IFTD4FvPWnbXmhYH+BUUqJoKSRMw2D3D4msiENSUTebaaLma8
TDKAFrVTExXaNKGycVhPG1sQaEFjn4rqPITYIXh4fHRKBGKkLF+8ACn3tMI35rcwuNEmv+Wh2zX3
qvxkki9L9s6v9HJbHd1mAqxgyfGQJ2ZOQG9Bk9KTiG/q48bITtZvQUBaewlRoNZDzFw0oRISzsG/
TqAaRBRX6Z8TydekXYdazgxMoOcHdHIWAQe1SNyyC3ePLG4XOgcQRYoQLVIUBESgp92C3jx5L6XY
PQ+0NnOHQOrxgvGKFiE3QPCuVcVjNxdPpPjrIuNlLAZ04019SWqLkcdYCzJi9irKvdofJixKfVds
BcDXVucQYhnlwUGncpvVOao77Hh4HhTPAJWvolG7C+22vqu3FO9WF+dgQMImt1JLruMAizOlF0rT
Q0kcilwmEgzJhvHfAhK29SglatenGFYSXCjmc59dN/zBiDa8rhNjjPVBaQ1kDJC9QTeOcN2NyWzO
eoDXWZiZEA2V3qqq3g1hsWGN13YaXoOwDrCC4DMTLGAQyXTWDJgGM020Sxk9P6CCUpLn8/v51OZj
NMguo58If4MiQVgcuU2MohugIhR30ntXE19FP6wUy/YE9ddhjKBW+kGgmFVPjWd1oRviSJlVaGco
sN/4lGVEolWCjDA0PlHSQVHvc7wrSaUPaC3PIZs0tyAbjvuRpWPCGq0EVREa09AtX4IowKpgmZPZ
LlEyff4LTnyn77n48wHCsdCtOssNxH1B3pY6ReelxmXRexnCXGEuu11Zsk0h2rUtezhmYfppMCRh
FS5iR83oxe0Hj/1yIM7cfpwf2mkEVxibcDYo3v2xscheTXSM0VdVsGqA2J/RXIQtApkIIDlG+0Hm
1B+Gwk2Qac7IX1OAocQQm+3PBAtHR4O8qjksE8zzgKFMXEOJimb+nulnrX9M0XU7dnaKLrDub339
b1xw5FJw74BVX5hlk0xRqhHgRkqyCw2LWWVwpSaPrekk+kfSO+cn+8STEOCEua5LRdIlDXBhNL8W
U+32mn5RdRyJAzi+ivV1Hm51D4HZE/wAOpIqYnw2buPEMjkEutLOdKbaKaubWYZKwVap8Oqw0EdP
FBzO02rAKJ7LTouBU+ePy6Hoax9JTcesr80tFcdVKGj5LBrQaOMU7/OqySO9SaCp1MiKLYc7Ijk5
at+DnzG5Oz95a1chCjVRlAx18cVnOTY68WSObTc18Bxat6Xg4b/v01tZH2xDueJ/XXCOjXEItnzM
wb2rxGkVRgbAip4XqFBTZPTXaFCn6chfNzkKUMLrJE3nWssVQJHhxpg+M+lOhtrA+blb23gQnIGH
Bz/d0MR6K4WbuYxQbGZXKLNKu9LWVZVVqsSsfxrNAZLgdoG0zJqtEkhhCypPAgLI4Kbv384PZ838
Hw5HuH+SutfksgAI1WJwxz7wOmYK9RXlKZ9qxsfbeit1vzqBqPtEtBG5lROBE1w2YVdMi2ZVdKOV
XiXv4+wJUkXnx7WFIuy6Ke8t6J0DpSoKiKmH0vuczRexot5mUbBxha7dM4uWPN4yGA8MkmBqIwJ+
/MRE5w2k3twG4a8BekR6nbEOyjGZtNcIWnuLkV6EYLkMVAUtns3GN6wcaXwCeg3Q9qTjJScc6bGq
p6laPgFiNarh9o1T0X2PN6RsfPaBtHEIVkwVtIBgdUGUhJpvUR5R5WPJ5+VFkFMQdcWSh+zFk6aP
O0sqL/NQVzZGtzghgpe0TCx4wRF0MQ1N2KWz0owdIVjNWdbdQTdd1FWe3y/LEp0gqBq4CJaSYWgh
HlupgiPq3xBodUXSexXe5ChhSbKN0rYtDGFPalksG3kNjHlAMtl8Tw3pCvFT7/xIVna+qR6MRDCC
Q5xSghY8XCNJCY5mcGXtY/KoQMLj/4NDRR7oGRqOClrgIDqs9ayUb6N43yUVmJA2TvJ3p4y4NIgJ
QG8Yf6GMQlh8FZ1xNWnwrJ4bVJaxrpmQoI7QCewEyhhHjmWWUenmXW25AeSp9tEwDvuRK/DyYlLs
tBgq1umkG9BFGyKIgZv14M9RlHhA634X0IBGhWFUFxArs4LcTZtEzi7jcYb8Zo5W5sFtceqMXVeQ
TAarGgpS0qxSGZXm8TUYZvktCXl4ZcXV9D6GmRHcp51K3rQOSghlJIFpE22eITJbiv4riFMEXTMV
VJuS2Rd+VVUFCM3GcEDh9th0gd8ErdFfWU0q1R7hoPvwlTCMXhvaD69SUyOQWpRl9FZNphIzKQzy
AsUrar8LKrXwhqRJtjTV1wwLNPLQxYWXuQLK5+ODMVe4BnNFg4hc0Tot9Ru4r5WGkOdVpbm5+XB+
U60dkUM09RgtTLp4SlSgGfXAOvRvS20EcrGtWMDaGTmEEbYUT2dsnwkwCvSH8vs0eOi7z3qT8X7l
cQciXEM10ZQObtbvnX3g+jQBjSwCISub158VcdTcJ9ptGiU2qS6lxDfKW6u+0/X783O4FmA7gl1G
fwA7tFGY4T2Q2T351UM8oswfMpSw6D3Ianp0iN9yyW1Bc93tN4BXVm/RO1RhPhfqQZGyxqxnlOJp
iLx3Rvyple9zP3qU3of9c5fyCz2cXBMPgjCl+7G9mVN6j6t0P0dgYiGGf/5bVm6oo08R5qBtzExq
FXyKhmYQ6EhSR6KVo5E2tLsy3avllnTFiiOFgeOGWjoLQR4omN1AD4pYy4ccgVv9scxK1zSr1KZ5
cNNJ5VfYdTs+8cdKM3+dH+h36ZNgHg+BRaolmivpICl9bvflvA/kDM6OmYNYUtLaa1nvQTpfFWly
mczcKC/SSAouZSOLY7uvePQVTESW7DbVFbSh5/2drE7JLslNpWRgooKE4tQF7VuU0vGlD9EkzxIt
qi+ioacXKGvL7uQEF3IRlhsPlLUtDK8U7G9QNKIGWpGOt3ASzryNevAAKFLf24HZXcsmp7AK2ptG
rNRtmvQJEZk7mvlznaIDYey+zs+rcmr4EA9H9TW4LLCcsphmNUJq8NGC3JU+PdNK9iIlf7EGFCsk
2aPFIxaaMoQ2e1vhDbimxztUuLCWxo+t+qh1yXWgPI1GZUuEbp2yU6uydEbriDSjOA3KosLcmEVA
tEauc/S3WyF8duQoYmO+RWyJgUjerWbQqU8fY597Gf8Mavp4fmLWDjlqNDXU2EKTBvGF46XRImOW
SCzn8JTyV0Ii3+LGi65sZSZWTDRq/5eoGMIweCuI986QjDqtsa2nYWa66vUUOdjIz7tow49ZWegl
4og+cw2PYcsQuSe4MqBa25xQ/w2yGry8NcgGO43i5DOawZ+h/AQB3yjaEST5shAtlOQ2i/dRuJNR
o4l/+9vZXSL5CGtABgeXri74iHKWzBIOFsJxIE8vo103FXY22udBVmwGVg7GFcpFIP1W9cXfPrgh
JEjzTWOEal7Hu759Wv48+IzZF/bjxHYR2+02PN/TxUTNO5q1Fk4YnGuxfLOLeoOMNW4kcB4xJXZG
+q6qL+OWsM3pM+EYRjD6cB9JzUvA5CD0HrSbCR1h52fu9FpZEPDu0dGZAU5/4ZmAblqUGVAglKRz
J/m5mJ20yPxsht7LxjlfGwxBBwbUpmGBiJhN0vU5wFaA/UmtpL1ri5gjD4gS8PMDOq2sVY+tiTBn
SSjRXm8bZMtr9LDVPQgBpYkRJbqZg6+Gx94kaSGb8Z4Yt2J4a5OJ/BWuS1yaMPLClVmWYAWZCw4L
iydz3F+r6FKEcxSMl3O6lWBa24EHWGI2OR7Q7xPFwCIzajoXIvzxksSX5tZrZXVMS78/soAQkBXj
ktBuQmxbh9+RI2ijgGfOyLxuusna92KLzHrlksTSHWAJp3jsNd6lBrDweIVP/ltW4JPv9KC0NeNj
RoA7BvPSUj36dH7PrIwRTzELgtYga8EQhQtItcyYG1pZ2EP+FRYSUwvczFDQSC4MK3H/AQthBmwP
RBFPFUqGJi+SripASI76PM1XwbNSQYyXg+7o7xOqCnrOkJuGzwEqKdF9rdqpVsOpBhb3deV6Bhsh
HxU2dxvzt5J/OgYSzlxFpkbPRgB1OZh7r+fKH8kv1XRHBEmNjvXFJXIusvpSlnuTu91We/Ryro49
RsCD/QNEemjWwYiPrX9BrSyEM1rYAR2chVK4jXV7WPKhxiMKgW2IsqbUP7+OK+fvCFO41wismZpr
wESvsGclnpIHO4Nc0HYro7Y1OMGoVHVLk2pskIAnCYMiGAY1sS79VGjgtFpvx7IXm2/nB7fiKh4O
ThOKKHGXT6gSwuAKAzG3i5Y7s/Y+cw2PfPB+NPu/R4NbihYduAcUxBLHyzeNct8gjI6Hfxm7ZKrt
tLmSEOlL69EDYTMbqy0C9rUDf4goLB4oTuNiMOTClpTK5+NPKQcJtKl7cZQzadM7WUVT8YJFumVR
zhE8P3ChJhF4CAq7HUtnKgxGdYnFU+mo4UshbT3ST9Zu6cdD5zScIDiZcLqOZzMY1KHvOkVCutWW
0PkE1ZhIV+1EvjaTe7zYzq/dyaW+oIFaAaUvcO9OrocoRndVFgBNsn6iLc4etPfzAN8X2dHhFhCE
SyGItLYuE+QjdH/+jHfZ3pt3v4kvXVQvsf3Rs9TWmexgcr1oozX/5OQBWYduOf4gWoT6l+OZ7Etu
xDVo4yG3g5cQog/tDS9fkilBRhsMJ3xXDfKG97IFKSxelg94iqrYHuH0niHLCSFUEFKhialSfvYm
ta1g4+ydPH6EMQqzCyr8ti8Qt2XjeGOqHgEFhxL/rakUMITrNZjDOTciYEQwyUHogbeTSSC/31Ij
WNuLeFwhUoNAJ3ajYEfQEwel1Bg4TfWUkdxuqo29uD5ZfwAEs6Gn7TTn5QIwPiIioSj3m7I2W2NY
NsjBQ6alE0nSFhBmFHqQhkep/NYe24CwBONeKgmiOss08UhnWvgiW/+0pww0ey5evqEJ3kAwqnoP
hiKMIeEMpI5N86DqD+fNwmlL+7KpTCQsiQWCwxPfZtAjXdJ7jEJ/Vv0fvZO+ZPth8BU/3Rc+39W7
DbyT+17AEwZVF7ST1Qp4vac8Kj/6H6r9kIJU2lHvroYr9cpwULnubIAuFka0fYeDFHa01kLlCwVm
mMkwdcKa2k3jzNZl39mJBjo14zaSGlajyBHUpCBaPI++uk+g04tiPIo4oEhBqoSpnkISWWJGcF3n
YAj42zf094z++X3hNIV93yddjt+XJt3WSI+2WCbP1xndmMWtcQhHqgaRKp0WE1eCwyVXdoG8VRFw
2oF/PBSRUrTRIG89hIBAnMMInff4fr7qd58c2bevAjQqupd71XO9MYGbsIJjEQdWPI8DYC3Vnh7u
8y/ZjlkOj/ByeAMhV75/tpycblxR36/Yk02Jw6dARgNuxvcr7sBEdXInycglSWyGOOsF/VT9yTev
66/WeQK5NJtuI5yF0AGhybN8udX6cvq8X6b6AH05MgfotcVRExHgSECEdI7c8qVlbYMOUlfy1ddo
4wicdox8o0EVGaEeVLCINUdlHivlvLgAyVX9Vb+oNsLhl/pe8aGE+2O8aBjqaC5T6Exu7NnVYS4V
xdCbwB/0AB4P00zmcR5GDHOEmqdOnQpphuSmIahr3lfUSYKbeiv/uTpYA6l9DYWKuETFZzBPg76r
JAw2z93Old2iY7VfXNKHjA1Xkwd+sPthN/qJ+9e1DZjlQ2DBtuq8buteBnBq3bQym5QnDXWLNd2w
4WuG4BBGsKZYS+QJVMDI6psxLPmj3+ct5qqveoggmDTJCAI1QL0n5EdtNNdeVJ521zIWXvHQ0ZnJ
nvmu8O/Jnt5tnYuV6wnCjMgcg6gCgQyRrUIdq4jOzQT5C/6sIFdTO5O2H62X8wNccYCAgstgKZVY
GNWOdyVJckgYNzPsnOYWSJ5ETYr0dbQRzV1ZJwQtFq4aRCVRhSIYbDloDNIV0LpIrGfLuJejDSH0
b7qZIwuGCCRU39GTQEHtfdKq2Ss15VGZR/bl6Jh2uLNuCTP9xAm8mrVefJm67WV+r6Grb7TBmfNy
N/j0RsdLA3r0d/wWtuYycLWbm9kv7HKvgo/sOduYg5OZFj5xmaMDMxct2q4o6I1AT3GTDpep7pLg
b48DILCGeHCjYWLpWD2G6ENFsZqhgJBVciVnD9pfU18sv4+cjv4tl4gylOPfl3oZFCNDGdkt+VKa
x6G9GNBRNDhRvDGQk70vAAlzFVoBzkVYRbZazmwILmLjXctcudlYkm9tKHHbfPtCYLM3UC8n2I9s
RliSlB0G5OgvIzPc6ip1yc175aCwwg799iq+6EFNBpL2G3qfPaAn04EH4EtPpbuVNDs5IyhZ/2ZT
hHoPNrHYrkXyQs6bYohsCOGC66ND59L5o74yqUcAginL20QB8z0AqHE7B16U7ytUpG7VLSxTJkwp
sm7YexRpARXUhsd7JA1yJaDtglJfZwFnhbpr+9I2M2RUnPMDWjlRh1BiY7AyWiVRRkCN851W+h2/
6M0Nh2xtNIiGgH+FoOcR2a7j0WRlpEGSAtJwivapVcwsLgNesyWlutW29l+kXdly3LqS/CJGcF9e
wa33bq2W/MKQJZn7vvPrJ+mZOWajGY049/rBLx2hIoBCAajKylxb/qWlefUW4SET1Qn4IljKFdRv
M1SxmSTyN28PeNjSBOXtRgYB9ryQMV9oL0ZPKhFtzyrs2ndHkYAhzpy+7i/Q7ZOOski5nG8A45QM
sFhxTvjKGUQ2SzPb+4cSVy35U9FNFhj6NnFNmaT8D/rZOCJkmGx3GXcsUDI1vw1zMPm3MDWVkQip
xVmje3+gK56ITDX8HahGgEvo4mHT910s10pgpsjQxS+yakcVA2/wp5hGbSzYQOeRBFcEfwTlihKn
Tl02qIHZWeXJJxrRd9o5fRxIaPZO9Fu1fJKb4IE7ZKffkt2TE2BvRD+B/K8n/q/74719MUC5bfkx
lLfqVVorTa4FoB2MwJ0NtXB5JI01HWQz+NXYnpORoTRzcAeLRIVAAeO8XwllV+YpT0Z/lqc3HuYi
kb51GUxeCimjxxxkUPfHeVuFpsZJOXAU52JZTzA02hKBKsipckQ7ec7N9LHZCJvJfelM2UmIZMtW
czJcY9duUJxh8KCsDhcE5SASA40mLtbXsUHXeyPXCiOABpUVSWaEq6d+nmrGYFciEKrFc2cn6Nck
9AheW2lDSQzVqQ1NBRxG3HPI5JNYCaZXBuYPWIS4ykc+L2xgoPmsEeQMkmzDvW/r2+DXdOLPiuub
aWDbxlbY3l/G21ZoLONyaDd7JyzFsoPl2s7B+vom/27d6VxDrsNUjtzP8lCHONdZN3jWhFKbpBPb
LEgFWC1ip04vTfH7/rBu3QLYI1RZMDgks2+ue2HQG1Jd+UCdRmKzMbzmpMtTvW1yAGnLIWDBx27f
QigIzDWBmWJ2xtZQ44FUWBG3HRIigWT2NtD+6IJrrP5jApdrk9oVGaFO/Bo/I2Xgm188qjwMD51j
93UIxAeggQLxGz2sMt2WC2lXLgZoEHn7EMFmjnby2b9AMZ0RzlcOkWtD1EhLOUoSMYQh5Sk5AJUL
HQCUr/fhNjV/iJ+io4NVl3EXXfHRa5tUTIvTbFJqFTYBXn3md7wpv7eYz2/9HJoA6JL0V8YwuTad
uGnywEIa2Ho0g1+niRA/mnvPFJC5yJGdBdA/uQACyUdW3vTEYwF1Vz0IxyQ0bHDVwElJ7UN+7NSI
mwJ0gh4kK9qmEFcwbJwcqI4QyY1++8/asdPNEaLWw2cLlS6GA60cojNc7+8HUAsbGir6qzV8QEok
h9tM6CQ56L+bw9sX6Jd2g+Xvhz26E2xguHOS7eNnGXhCk9+dmsksPQJcBuOLVvfw4oOoVcdja5iM
KERyYbTVOocQnxPiquz/a6U/bFzA8VCr1HGLhfbkdeytk6n12taLzXA4CxD3rkunLy6tWDtF/3E/
LK25FZimQU2Pp6h0Q/4CVWMgMGWY0vPWeIgzfpgVa/fTGFebvKtB1DT2v6R6HPZxOHzet30bcrGJ
wDoDNg3wTYM04HqYvQ895UrHdCqITZ6W2TWra3o+8W9iEF6fyDeglQXwy2sLflSqSaaCgABcOrbG
4e6jNXsQAv9otNHsgNzRMpbE2+qgFnGXGlQktWFQNIgMYXmJwHPY/GskMhB2YHUDVakOTAk63K/H
BEpUme8kvjDDYHiop888fGumbjPGCkHMt+4v0Y3Hz8ZAhPKnLRLKFlTGCUeZX0WtUJh4fc/SVRzI
+4TsLTe0Ny4BHPVfWzNmhmjcaHB/wjPuemh8CP5SPY9KKOOlP/Si6TZiqFd2gKPsofNGFvBhXoor
79BBBw3CMCS6AJK82WaB34V6acQlKMomnbQgPYGulBiTocGL5N+PDKJ/c2/4DDyilRDCxO+MgK9K
NAgUblBlNiSpt0OobZq2Ztw/bxwQo5rbjnDwwuPh+deT2Pa91tU1TOlRs0lBChxoNcMr1iYOPU0I
FyjNzzX6axNewPEo62QlKCISAbz89ZcWcK0lTtr3/Wm7zcNjMLhFY86wiXEQzeFrcQstcfstiqov
TTynTJlv913CzzK/24LXXL6pTrFY7oS4cASPBYS/iYzoEEOPBY4fGQwFeMNRpg1p9Kd8KEy+lU5c
ottC/m4Mj5r4Kk5tSpT2V+hBLo8x4HnqaJ9E9w/IcnFVBH0atXpCl7cRENGlKXqj3XiTnTfJVkg7
Ry2rI6quW8OvScpJVpoqLuSJI8bSzkfLjX2UH2ZWbeDx6Kxk1WaNVEp8aRa9CnzyMGpofu1O/lAF
thyBIJPXWsG+P+g1d4K3/r9Nmm6p5cALpiErbAZovmq1n7waA3Mhst6HK7EMPNUyqmYK5Fig9Hm9
oClUa1EhEEszDA3IHw+fpaBskLXfIKPk3B/RLZQSfgtEFQrjCJozpfS1rbCCjMUE9LCZ96I5d4zK
nWz5mWoJYWPFPHqQ2tJKu9fY582u893/0jw1VH1IJd8vYb5uB81O09wjoM7EJUIuD0HIjSZOkDPu
LSNe4v4vDVS8nl79YnzEDGSgXWlWI5z5M1FOoAuVISoVmtEryCEF0UVVop704GcwvPJDGMVd5Elu
G8eHNkDTAWIWAyuyttiz7gwQCoLOA51+vQCZXo16ZWilKcvqsa+Hx8KfHkH5+1ZOxvv9ga6578LU
nxi2iFFzn2yc4SQx5aZorXzM0nPUIQuhVrLH2J1rsR31AnR+IQcOLTvKrcSx0SW/himg8W2pLN57
Wfm8P5oVnQwB6BAdDI4I7SIg/dczl6LnBLc/sYBe0baUgWvAZfCrjTdJIpEMsiiNulf9l7HYesNT
KXxFRmGWyZErnHTaaJkrjyZEyQrfVQqnZ9GY364qunYB2EMjD+7FaOe4/rZ6UHw578ICtM2WCB6t
FpC3UfyMjMf7k7Bq509tBryvYLug5mAwOqmrSnSf5olHlNEjETBTibSTM/VfXwwwIgxpvgQDQksX
fQOuqLw+TApzRCdDMz1q8tvonYf04/6Abh1HxIwhXYTqMqCjtBljUORe92KIbPQQsC+5RgXjPG79
962sTRt2AkrY6HCZyeyo5Wk5KAEHTYFesCHZGzxyunklqpbYB6/o9qoZAMHbjYcTGo1DuCAYkoEe
l2tzApAkw+SB47DSINDbtK7Saqaasy7ca3MHIACuoyi63sK4cZuX4mTGMQ/aJvW+xOTt/qzNwfg6
TmIYIKrCWNADjyv19TC0OOhGNe0KNL9bUgGtH/C5BHsoy6KssJXb7/vW1kfz19r8+yJaCYIXSkkM
a2Gv2BPvH9SEhZuad+HNgP65OeGOeG1CSvRSRVUJitPcBnpqgeKOvMkNqRuCqbkFXArw+/uDWvEE
UULGde5iE5AdoeKCPgSR0Q1SYRYo+BiTw028BQ6c+0Zukz7YOAZIpGaGGJRV6dZlb+jzEVwTpZlA
4FPNB1PTQeA+RXgjRz/GSH3u8lc8Za3YewC1wufIF3voqYI/0SpFVjvbLUcE9THi9STXfeDpUOAt
TcN44CZE3MYGH7YV4zQijf4ja6EGEJe2MXF20h+HYWRElJUpR/EG4DScQ8pMHXttH2zychDlqBuk
vv6Md5tvgjcMPI51wrpMzVGDcidZ4gGsgOgBKio0Q0pegHIbPUPQPBxltJlyDRxo4i+l5n8qanuO
S1BM3V/pP9Bi2iTu4AqIltAsiIzt9eBQmM/0XgNddXYQf84Z09D+fI+shoR2bAZOZYN+w243Lz1R
yMO/byAEAyiybuA0wdsK/1FhVNa5QBF7CCvXEMesiH/KLhPMWortHztTegXTMF51p/R5A2lp5/7Q
1/wKbEFo5psr7MgHUUHVx7WfA300VGuOxQG4jJ2+jc0f+Vu+jR2m2NjspNQ8g54IZAzYD3ji0VWM
QfJAhtRgnrmn2oTomZm6Ayr4kw1gxyZiHBfrQ1tYo0JfkGj+pBoYWmmrO38HQPQ5scKQqOd3eZ+x
XlIrb1dsjIU5yok0IykFocPgxgewp6ARjgC0kFiaC+5tRvy7rd0C+7+0NZ/Mi6iuChG2agtb/a61
fyFZ57Zv5RuQ+XCQ4cy6hq1FwitzlIcKcote0HlozRvaFj+0fUe6HRq4ZOjD+U+NW708pKw9efuc
uB4i9abJoETUCzls6g/pJrBABGaNUPM1iIPiRmk1tuwM7ntg807mvjI2xRzMbvxURhYcJ7UhAfR8
Pb19YnA1xDNAX/9pfMUfjncUUc9oHWQHpl2+ZS7nSshTkPD4xx7lqUrY8nExL6d8xJP7DPZWVG6b
txIolwkaOufegqLNUTcz9/5AV07uK7uUyzb9aKRcCbutCbbhiPx6VFyeZ7vr+vhmGdsZeHgT4RJB
LALBgFZ9vRPd9js9SlZgAfhoGmZldx/h9gNM+fuR2Zy6cvnB+P7apXzIyNDEJUeQk6/e4g9kGXzi
HapflS2Yg50l5OWhZWzMVYPIqwuzJgG8h3IcpZGUTJwdp+emA9rF903G4r+SVoPowgblLN2Ehuws
xHExmjKq2bV9FrajeX5884CoQ5WEaCdxewxfvlUyvgP/Bf1IN9iHlnwynl9Yamgr1wIFrZzyrNqL
pBmdsOtDJdQjEQrBQv5cjI9J5o6s3bHyykDaD7c9sLajwE4/AidFj0svViozkQcLHIyCCFYO7+h3
rKNw1dCfhlS8gvHMoHYDl0dCHmcy5C4BKdiFm4mI75AXeFADkvektsoDBFCt6dLyDK9ZPTpwxcRL
V9KBnaBrp4FcgiZ/BIRucDp9U1x8XDts9cy56Da8v+NXx7iwNP++ODjAu4AG9AGWZoJFE9AvkhmM
0ayaUHE6IX8L1Cq9B8I26fw+wXqV3UsAPhFP2pThVmfdXFbNzLwaKI/iMkHfJaoMCetuhOf5UHzI
HsUSBUNzzDb35+u2KoqTFhkl7GYBVK/YWtcTFuvoOvU0FUff52CB4ZDErmb7RN3qhyAhk93sAnLq
Sb7xjtpWZFxh1nYX3h0iqlnIztxqWY4BxDU0eKSmt5dR1TdtYzhhLzNWbH2Qf+3QIrxQoUnLdoCd
cYcm+k4ywU/FmYKLGPnYu4Y9KSTgAFvK7WAuuRqjLUI1lzCmer5q0qcuwIloN0DzH+6kVPBsszAQ
4hyOox7rD/3Rx6PrAOJca/zUnGoTfEgQ0P5Z2f4zvwEv32foGB1jIlZ9Ci8OUUWwQQsO9QWxL6eQ
H8QXpNO2Hx40CGWpiq2LrIOJZYcK4WNa6mMewI6XSk4ATiN42EsbpWg/HBnlobUjfmbp+P8hUUFt
ZnOL9BamRq46qoLn9Iph5WVuikL3WqmfSVWg25FxeVu9ny6tUruGazJp6ipYnWYulBgdM98jdODQ
a4yyoiZvwTODskID6hld3Iq1fd+TVk5htMEZYNqYIaho+7/esxXu/FmUeXAkLTJTryE1i7JxZQE1
VJiBBEZqACUrylEAowX9O8fhwSgEZFTJpL2D1gfM/vcHsjaPyESBd2Q+GGZi1+uRFKIPyEQbQqcS
vExOcZa3nqMc+a/G7mxofRxFFgpk7Si6skitnCaOrVGDLARorAQoHvHSXwyIF2MONxWLMGFtnZaj
o54VnRi3RT7bCktgIzWzR17v/gSuBNCr0VAXQLGrpyb1YaEwtgpYLrjaAg3dfRsrxR8UzxaLRGWj
0mJQ28oAboN31YfAau0IGkV2bz2NrvbFsLXyKkIvCAgmJHEuYtMIhwl6pXyVR2g0/8SqoPMlJTiI
IBfvqsfpnWFs5aaJW50OHAWASCJUnq69bwjVsvCVpDZF1zjz9rT3HMMs0Gn2EZHIZSL+V91hYY5y
vVIqpF5JIfaWdJJVR8Bx66ylmtebOmKuRkR5XOzJ2SSJoKzQSqt/kN0gJ5FTaURwdas1CCSpH+Yn
CeTyDuFv5Zkxn6wBUt4ImsZSnTJYh0rnnFo6/eoc3vQuusU/5V+VGXzfN7jy7LoaLeWY3NDyQ1lg
QnvjAh1YKKWJEoliD0qUDMzvmiUwgQBeAfThLBN87SnSMCDa81BBGdN9BVJoDynQrzy0GlYXzS24
Gd1WS0uUT4qcWE7cLOuiHiOO9DvVVezz5cwXpNhANthNyE4kfEs8u2UVlFc3+tI25aBTVWliY8B2
/tARgRimd47dzv7dAtLJuHeuOerSFOWoZeyLYBuFbpT8MzsE52bDHbmHmmGEtWqUPzZtGoRVjvEY
OMV6yJGnKDJaNWCjE4uX7A9yiN55KkRjVSAa8VykETGN1oihEEMpBswmDihjIGYE7bbYHrbV5j1w
8jfjKD4Hj+Mees+7+Fc8Mq52azksOM7fD6AGC4LWujJ6fIDuAXNfvZX5aW5rzT+V0cpAX9V/yvLn
VJ9QxJWUitTiK1Ot4bal6Y/z/v0GakNW6dQOEPbAJByj7figusJedwd0uPJf6bYjgD45HRmA0BfQ
6xo6GhreAnc4G+RV2/5rAPT1t9ANOmVatfw44lsmoyGd+iDn5/vR50/e+mbJJbC3Q84bmHW6oz2u
wnIKeegRdUhL4ArjQn/6FOAO40NVy5U36KPaTBfeZe2dtcQvGPf/GqaWOuPQWlwPMIy+0GnL463L
AyVsmOUc46GxxYIkr90Gl/aoZeXAgB5Xs35YI4ikR+Wi8ogogKPZsO9P6fyH7swo3fiucyMYu2a5
JX40NcGsvb0c7uZaNerUiuxIwed9e7dY69lJ/s4kXXIF1CuKwAJemz/9XV2Sb5wg2LWTiUuvxZOW
6Kw4wRrhfCVZ5CfyHFSkvooRttEmK6xKRt3HSRX0PJAi/a2xzM2nxb0Jpe7xusLHitLMngI+MN4a
ql9+c2HM4dqVbTmH1NmoDGXaKgJsoO/TbL+952TP/YyIepL+g7Lo1WpRZ2PdSLXcCJi8pjXBuJoK
p6RjeOAtCQLlEdQZmKhy4//vjDnBFj2gu8xKXUB6GnhEvK0doOE34g/58f4k/snm3C4U6NXQWQAq
BBoqqpRJ3KgahmY8qTttL/0wkD2uyaVDLgbUcU5h/kDkNBOkdvkNbwnv/0G6CXP79wOoVezLKA6z
EKsoCEQsDyDqDyR3YNHVrd0QUW0GhFkC3FL6M/sL96/RtsVNyAWC9osneLoQg9loOLv0zUzK0JPH
aCBKQsMPAmNI+FbHQFQXdTEz+goCIpzCC2clduL2W9+6v3Trt6aFQWrmIGoaeYEBgwouGGTsyY93
kdRP4ybf9Izn3rqbLGzRO6BEKq/yYCu3ec9WwasQE35Wid02qNgTlaQBuXiXz+LRtxsUr+KDBKkU
xlesLCIUX8AOgDqACCKrOSAsFjGOKy8pRRCrqSheQ2RUszplqBn3mfkMo5ZxBoMDRQSsCo46KnLJ
Wjw1kSGjRFRWFqe6VfwGSO7UoUGlPQcZYxHXhqQD1ggdBiBzb5A+ZSKr0yz0Z6oJPz2pTfkyYkkZ
2c41TwF6EKUEFC/BikEzEYB4vJzwoMH56VveYCU19HxVUvOvYvPWJLY+HLLiYWLRiK6cAUur9KGa
TlBYqlsJhcb8q0iUH2Il2nqdvd3fBitWAJX6O4PUnaQF71eeJwAo9iH4nmVx16gy3mLq5r6ZFbcA
Sy4y1jPrNEqK1FWkjDwhyroAU4hMplN2WmeWMdREsiw/l5WhP3pyWT6HCZPtY+XgBnAOlzygNgDd
oLnqmy7wWp1LK9DhbH3dbo1LhettdCzjn5AEiuOH++NcebpcmaOOIdnH8DUZ5qoRu5y3Y66wo7JC
ftES4Kb3ja14P5o7wa6gwjOBOKKiii8bRZvO5cup3HbgLkwSFrxn5QZ5ZYEajpYkShE0A4ZTCLP4
MYQYH+X0mNcDYyOvzdtyKNS7MuhxJsQRDKn8Q92jjcov7KncC3kKyr3/IM19NSrK5wu1GoecR/m1
nbjynAbxYEOh1H8oJuOBzxqRMbaVLYYNNiO9QeUzn6DXcXdMW7kYFZjrjIcs3VbhF7NAsDZ9yCwj
BMqIukDdXpvoynhIR3FCITu/hArp200fW+n41GWMC8/aPWsuhfxjiZq7wYMy51TA0uh6bvp7cpr9
rwlFGc1WHuUn/1K4so+s331HX4seS6PUDIJNByqbMYzq0SZFeOIvWmfJrTUGj0HHeB6ubaq/tpBg
vJ5KvQWRQpDDVjM8hf1OZ9XJ1x78iOvzFQcgWN6ge5n8TJs8IUZcn865bvJ2euzdYebYx2sJB3+P
B4xh4QHD4glbc8OlXfF6YKMfDEgIw27oz/JJPyIvsXiOUWFZN/LPUUk/zPo8MYq0x1GJ56YbF7iE
J/lO0llCTWsOAZbYGR4OcPiNMpVnQHTNlzEWjf+dJ5s+fZzymHQVCL1xLv+6732rPr+0RkVBEaI8
TRzCGpo61J96NMRb1YDUCpCy3gRmFEmyB3jnpRF8xQQTan7QhmbcoleotqEJHJpD0tXbIEpVq68a
3W7i4uv+J65VSgGWRyceOj1A+UHLCoS5lI2pOsKpYtHumh8tHt9tIFpRZDh9+SlqIGkDXyD0tEyB
746NNMqkL5Hxat8n/ZIE1ZYT5B2qRmeFB7+HwdLxWp3D5QdS3jdUOUj7DXygehycCFRK/ibBC01u
TG8jP6XbbBdgY7voaLo/M2vbeWmXuo/2gSaWXoSaQB7/aORjykrqrHni8u/P9heX6lyO5FiWES5E
7CoJmMGms7RgF0UXryNGyqiarm2vpbX594W1rOigi4teIXT+/hyrOW/+qrDYvdbO/KUNytvVVp/6
ssCMcYkTxc8S8jexJY6P99dlraCHZgMwe6G9DDxK9MsZUl7pkCYYyiS+gjTRrMptJTQkR0ZRcdV6
JwNOULKSHmtjWxqlVqs2pFL3FHhh370k8bOS4LV8VFmvktUQj9AOxToVKC907V0vkwwsSzhC3c2s
LGy8yTrXbqjZWC27OHq2jpxfT+RHVtlyzTnQra2hIIa2uZsm2VBru1TUMaN9EdthiQpc3b1Omcqo
qax5/NIMtZP1VPf4uIR/BI075Rb2NOkmdLqDj5znYyJLjAN53VMW46K2MFepdc//ccixMQew18to
FMNj4pBKkdXnvAZGl+AMbSJilB3j5sGaU8phxMCTfInHnHr8Q9i+x61bDQxB27W723I+KWfhRC2f
+BjOEg7JY6dDm0gHda1WPVdBZwNJxFi+tdypsbRH7W8ABBrdS2BPerLkXeJobxIk555qZzLHLeqL
Tj1a9/f6PElUTgAdj2AnQx8ieklpABsKY0pYe7CoJtz3GPW/skRmmFhbJ8Dk5w4/PNNvWGqlMJGb
3gAcSk4vfXxKtGeeZ0WstYVa2pg3xiL4Srhk110GG5poDnv0+z5yZmir2z4i00O77XZQJnKHd+GL
xVy0OjgduBEw7gNsRRcsOj3x9TjF/UOZasfr4pDkdUFSz2MkOm6Zi5BYRksO3loKOhzQoHo9wlHR
mlEdevARPKlubguf3NnDjjb9UxAiQ2YJFoDqLr/VWzKNRH4DDHinf/KfwavuhIwVXWl+mD8GQpwA
FoDJm84kNaHmqxBRawBfUJwcrw0QqUCBU3OEExpKI+KDPqk+SN/C1k9I5kau+sIKdbcTf/0Js2Mv
VhxdXWMFansweEQ7Q7RFoOtYT5vbEwkm0EiIXjiwdoJ04NpEWstCyefzKIuvtvptyB0Jkcnqft/f
gre+e22G8t0Y9faAL2EmgfhH94vvt15+zMWBjDyLL2WlvjbbwgsHyTJk5ekmv3iKhynwYMsfIjdp
vyZZ3TfiB/LzptoXRIAgM8DtYJiPvxs1tLSxOxoKtCUqoMwj3eGSy+DHz/fHv3KIXH8UFfVkqJR7
HV82Jt4ukB6pbQ4o73E7hpakvk3lRudPEksQZXaP67gHm/pM6wD2o9uOPb4yxlwSkWZKdf4hTtWn
JNIY19vbw/jaBDUsKYi5YSyrxhQzya4isxdcPra4wt+O3C4Ade/9aVzdEIsRUd5at0bDBTXMQSmN
9OjeC5Ia3PQlw8yqty7MUN7aqwWE7zxMnBoLG7928gilE2lu3kMDy/Y/GBKYMBBlRDQ70cglv++C
qIO8iimgkKiU4MJvbDSr3zey6n4GBK9mSkjwGNHaNGpWJc2QYkSV8DsAigiZOlysQ8+ETBVJIzNQ
iShu7htdcz8DaEd0pCLjD9WR69CiTYNa6goWq0jRcFtJp6SvGJeJtei1NCFem+BKEKWUIYbFhZHJ
oY8JKhVIjUvFy/2hrDnE0g51BQzLGLNawE6mxbjWnvGwngC5hz5uwzH8gWWKivmlmAtxLcNULGZW
oJOiEgHlNqvmkISf90clslZo3m6L86XKYnVM+QbTt2lBhSgS/dhsZdswxTN6Nk3wxoJtWLAnd6ef
g8eXyHzxLcW6/xFrEWQ5tVQEAdyib/lm9sw2s9PM7qfc6YFHUIQ951sc93Xf3FoEWZqjIkgJjo0x
12EOTUfPnDghpYduyrJAvuK+oVXXnOEdQCViE9DkVQKyGxLXto0pl84kQUHsqPsfE8tbVmdvYYWK
VIYRJikaThszTN1e7zYcyJ1Cbz/UqV3oF7917g9qBWaGtpaFPSoTmpVloYGfvUETKtF/az5J3ySL
f5B+KCnxO1L4JvcKCMRGPJVOg/4w/+n+B6wunyQh7YZGCiCmKI/tJIUbghHj5SJo7vihGcqmypKE
WN0WCyOUS/qjGnB/JtUDVI8Xf4Qt64BZgeLM7UFzX+tMTi3QQOkpBivI4GEeM+5c5pfMf698Vxs+
Q/mr6s5qtFOLo8+5Mf/8H8zfwu489MWO98AWEQfzjq8n3xIgt6pouBGlj/etzF5AXzyWo6NWiau6
tJs8WCmzk5x/y+NBRGINhT2/yCASkti5+q95Tq7nk1qyIS9KA9kp+EW9M6J3qB769bvCOqtX9vSM
+AUVBnDNuDFTx0CHLMDUiLBSeJwZaZKToFQU6+dOCBmnwEoKByYWpqiF8iES3GsZnkJQyjOehI5M
m/A4udxRvlQVSbcg/Ngb7wIDlLMSTlAFQyIUCTEUWegepaLmWgmi6Y3ZFEfdG4gKoRcow8pCjoS6
3eaM1MPKbr4yRw2ykfoECggwV4iHlHsUoo3AMVzxVoYWfB/LIVG+OKhFr5c8bFTKI+T/uAp8Q8c2
sboMQn2hLXS/G9mp9D2vP1TdXskudXiGTkKLwBYwZnftSYlv0TG1MnoWNLoYLNQ81O37GOO1/JN0
brGy+YdsPoaH7tBsgsfWSTnibWY6ZJXsgpeaJXGxcrm4+gBqm2Qeh0p+jA8YPMcbnCKwAuO9M05F
oJn3QwBzrNRBW5V8mIQKTEm+VUYbXkGXqfwVON/x4TNyoh+5YIVbH0So2aEl4XPhgvL5/iewBkud
jbqeD1oJkVfIQVq9bMlgDKtSO/R/StHrf2eJOhUTLR+bDLpcJlh/Om9fJrsxeazHJy9kHRzzjqAi
63IBaXSqDEYkOapgqRIPlfyziRkX6hWsCZoGZYDJwPagzzwT1wdELReQDpGTxhyHs+Kd0eMyJE4p
OVO2HwcLg5P8AGKTLDmfP6xj1MDQVI5NIYEADWBo6rEQ+HVdgHW9MY1GsirEtwH055EbNQYRezvR
wT0Um76hbtJi73dHLthDI3pU9qp06pU3tX8ACo2II6T/fDf2rCjvbJBN9/w+npw+t7QJLx+JQI0k
0r19640k1Ae7g/Z5k3FmDRn2oEDf1YfYukmqmlo6kiLej9VZa3hnCEwDDyYf/POsCLjioyIUfcBh
KeIqcCNciIQMoJ2TgnsAIiAQsrlxjGPT4O1Sqaz7TroS269MUcE27+WpScTZVHgIVasOwGgHLVtw
6IOau2BE9lVj6FZEfQX/bojf/alvk1SCsQSU2UM6OTynkkZ44/pD3p6ionHuD27lZJ4N/WOPCmxt
PYJ6TIC9mHvl0cQiic9+rTpTa9+3wxoXFdUEcM0UtTqPS/GgvZg6uviZK640BW6h6Vt9YiFgVgxK
My3SjP3C/qCzkJwY6J6o6q0pVDbvF9tw+jk2Ry4rz6Fg//uWciQhRHTUIQGLXDl9/KeZBlo432hN
UfHMsXgZUV4OVKfPGN6xcu5f2aFcsRCkQK7BoGhmxnmIj4nwHHaMkLwSKK9MUMe+NElGiGJbazae
DOXd3lRZOo+rgwDDKBKMCFdAAVxHSnGSVD8LMFly0P5ooFjeFcFjFjHuDKvjWFiZ/WNxYe8EnVND
HlbArUckIF/zfHPfpVnjoCJ+xAWGCORRa5bpd1FC+Ra5LqRJ/ysjdCe1rOSSjw0CBAAktRpl2+sy
Ii+jOs2YK5qzR0+B65NzjIRvlXPQiRb696z741hLLqPF8J9V/8NCsViPqorLRgHHDFrqp2OoHqDp
Z/Y5OOtGySrC7JA2KAYEPR7jPHjsNLuE4O4QCFbQZUTpedfrn5qYVSeYl4g6PK8+inqXZIAMNQaH
2U3bFz1/KseT7+9BX935RyG2u5YBMlwJtlfm5nVYzEHk8V0WibNPhr3bhQbhwh+J6Hoxo/LKWk9q
D7edodeFMe/hOLq0VblPs+f7y8myQB0beekb+sDDQi+/eZkrNgLD79cSr1dzRUUJNUwmNMFgrhKF
f9ajCOLZUw+WZWO8DB1nG7HuDGFOmvrR8OP/1jgVPAJ/QstA72FD8M+pV5EAm7w9p9OlVndDZICN
ZZ9xIsPqqjMi64WjHzUHtLRde0dd6aovcwEkqBCxvMwO5QhQH1MbQB35oT7yzff9NVzzxj9K9sgz
A/8kUzOsD3JdDAbstUb3O63y5wG5sFbILF5iTqi4stGWtqgJ7RtwHpRxiBbcA0DYlQ+8XPGhHb2n
F/Gx+swZYLYV0BI6maEgrPzf0KjQrHtyAkFymOs++VP4qj3Fp/G7NKDqAN52ybaU7avywGxMmBGG
dDRZWKV5iAtNhI59Aqt4ndr9b0DnlaO8BatHQAoWOxhj8WgpP10ocj4bYAuFTisD5fmUmXH0qLNI
C9cOueWY5oVdhKxAidAoE8FOKhlbNZH3QQ8JopGVIGKZoQJxKwSVlDazGYU39X4XIbvGytqvkB9c
eYVChd9RH7WxnY1wIL7T3eotes4OgpXt8zf5KVJJyAjDq2fecvKoHQ02G76L50Wqs1f/A4q/Pxvw
jnF26HYmYKPcd7EXnwF+NB6S1/t7mzWfVHxG3EyqsIJlSfrs9VdRqknJv9y3wRweFUC6MRY4fvYN
9SgBDvhTIM0+3CmZ1fYYUv427YZLbCkFEV2d9dxmBBSFCig4tdVgKGEbdXEgpoSzjEI8UdFo79vv
PGAFGuOOtAK/UcGqLiozBe4fcqrrneCNaWgUjYBe2yLE2/6cJrs4shPJQvu/FUZPY3nMvE3buuVo
ceUpil3GdM8v+evwMn8AQNzAcKMwTb9ooCjrG0kmo2Wtr0jcAYVZKObIE6wtOLIiNAAHqj15dlrY
DMt/NCHumaZ2Tq77egjAAOg51T0gf02VgkFoE/fbMD5yxjnND1X5lktupb0aEHsSQ8LltsR/C8KH
ijeKQvghfjBm3haft6XGDvujXnqbqYtN7X9Iu7ImR3lk+4uIAAQCXtm8lMuuvbrqhejqBST2ffn1
99BxZ9qWuSa+7z5MxMR0TKUlUqlU5slzihdUSVTpW5pXrlVwuwbVYVN9DpHsNM0pBK2xVmyJGqFB
ues0DASifFEf6ilGo+bTBD2p1GjOMPqKuuWgMU13ernPpcwr+10mbQK+o9lkNwB4mhs6bqruOR7u
A3LSwwySvKGbZj9DCFOloHFEVpECFzc9JPyUqS5VfQAOC9AAZCee7vjoyw3y1ewtBfo72HJja1pv
efFIGlQEIBM9PibQslFi16y2RvlsNn4aE7voDjrd8/CR5gcJBFbGu4WG/3SIq7ucQAkm3hn5Uxpv
svp70L+gb5JZz0a3zaltjJuYnDKcH7kDQRT7UUNvrTn1kw8xH4+Bkj39JtcfucEctERsJEUxvY9M
R1NeM/4s5d/JWLsWhtORsDQ0xHaB4K3U9rXkWuyHmuuOFn7I4zHlJ6kAsS4aKWoHnL7pw/0cnr8G
JfiK/an53UCpwTrIwQllrK5+NeOvvoIQU3noIGDQQGIYhJvW4MSdH2peLdc7qS0PTThudPWUkN6W
c3Njxt+AFvJT5qXWWt9pobsGrjOgNjG9JqMtJBKLpHoYVHrUzmAcR9kZu8pvQJvC7ORQYwzXlh/I
vfFaefCwZ0znjSuJ25J5zJBC2MdSAOEG4OsyNJSJnreVCvP8kLiq0zuQmj1V4D2035/pIXSz/Q80
jt5rb200YGE+ESX6M8vCwaT5SI0Kl9ofeFDgqfvSnt7D0k6RujpPhmfcQ/LxMG6jneEWLt9Igy27
0LtdCRBztBXiw8XPmK+j8yyhq/MmhHamo85UJDAduHSDYNyDh+E1s3HDucYhtr9ZP28bvs6CLpcv
XHNdEZujbKBfNoRulH4WqlcXhd2StfXNv//W+oSbTo7TvjR09K9SOz1qDrmL/BjrLN1uA/3Du3rb
OmslpYVG1uXahBsujcAs35jY0/SttKNd5pcaCB1Qf3S/N/fHZKM7/UravLZKIWtOSAWa8tmNDWtP
9E0wHIm0vf3Blm7RM0/BaKHgKaCXpnEFG5yGX7K+neRsV/Darvvv6Di5VjJ8b3rVBql5bENTwhkV
yD6w7jGO116Yf5j2/u+Piqbd5U+xrEQtrLklj2Tw0YqgEZbtuBsfA/cr3gzu9IRbDVJsmV37pt1B
d7Nxenevc/v59p5cOTH0kSB0B67kmciYiqDzXorGRFYDpFEjBCcxbFgiuNbG/Sp0/+r7wtAf2l0A
9xHCRUE2K5mSgkLHA4U30PHRzC4kj6j+7dVcf2HBinAm1Y5MyVDDSsVsE4M9yM/snG+ybfCc74iT
DXaO5tUave/a2oQTmmEqwQhL3jtS/tjwl0L3e8W5vbL5T1z4i7Aw4UCiYinVcouFSVyWd0lcpu+q
RCj3hnzM742WJ7+llg8rdcwl7wA/OqhmIPYN3IbgpTEHTKabkh7twI0MsjsZUxfVnUq+3V7c9ZP5
z+r+2hEeepOmQhcDGG/HQl7nKoNPN+Fe/ZAsJzyYz9lTcaffxzvdqdeQkNfPstkyuJ6AtSQzi7fw
6UJjsnqLxSAp3uHU7QzZfsdkgkc29Y57yNLWOHVXDQofsg3LllUtDNJ7aH6jMryxHP3R+OxBAB3t
zeNqOeKqMCCsUAiskj5mvRHBYKmDuSZ3OrC52BUyNT9zVmVsrxv3l9b+VNbOLuM2S/JulGFtcJWT
uel+QAW1BsOmM7/Ppg091UiMoIL+Hd40btfurcWDiLcAhCggSy+LrfpRyfNMndIewCpAWrttP1ex
dLqWci0eCwL+ZwzOQS9EbCLQxjQKC9uKZKuFvqsMPVfpUO6Lr+DB8CBeNh3Th9Bv1gTPl30HtB1o
XcypnnhpYMaqDakJu2gs/dAeAaz3Azf5Ul8wT+iUp/Zr5VjOx+4q6JzZE46lLqlJE0U5iGJVIFma
xgb+1GGb2pXdHoQ5eP2t7Ow1/mB2nzOLQjJrtEFCUwkrND9D6DuhTu1nvtSB1w7qUxAUOI0gW5J2
HDRLvyFh8VnspcMa1f6ctl6tGmOi4MO0sNMiBrBKitrMyRyMkoOm/DbXREyWF3lmQAgBQJb1adgg
ljcDBco7t6EC63DZfMpawFPbwgLeBa38KrH5qKEEHdnBgCZ3H23DgkOET7dVGkAppDz1Rb+LTWIr
ffVs6h1KfRJbe2Bcp/nzNzn7uUIA6WJQVsvqfLvRHf2cRXhz6kfPxfapAI+m+SP1p97le7IfHIW6
gzO6z/8YAXP5EywhcSOSNlSJjh0DlW0pf0rto8kg8fQOobUVD1z8+DPP4FzlwGNOuA94p5eM14hf
E3pd2VQch0HerByrxfCBsSPFhEbGTBFymfsNmYHn6RyRwdOkg6ju2B59/Y6ATuajscMXfQ8NAmAk
/cq/bXjNrvBe40EVE9bArsXUnVZMB3SpnTAfvWiNamt5F/+ucI7TZ7dAx0d9akJYMq13xt405t1e
yXxCxCMKlAsgLwAPIGkV8hKjLqKwD0u4ZKhvahQ9ggeoG/bZBhrDx3QN7rG0mnNrQhhMaTFFdQJr
o/Xehv4sWHx7OWsGBIegBtMHZTZAzWdN+Qnp0Nt/fyl5/MNejtcPgDqGcIIVdSSEdlXvdMZXrUNx
eVMzH9MsVriSpS7m32eWTOGg5gO4f40YlhiRO2jnRag4x/w+DX+GQeyHKgG4NGncrLPee5aBrihr
3uQO0wy6mR+DpF7x+GvELgIHGFygSDNrfQLWfemIY6iVpMvwe+LfoCKx3Aagohp8qEeAlFAQaeSV
V+zSEQMjJOYJQfkNBI0QPjRGNDMq694JAxBNGIeCpJiu8fLavf1FrxKdWW1NmV9SBlSdoLNzua4u
5aC/KQsoD0NeZ3Lj8hG38W0T14Wl2QY0WKkO4VcZeKdLG0ZTSkUn11Cr/xxOHLfUpvP90u62wDxb
DkavPNACj2BQT901GP6ybWqCHQ3yvSrovi9tm7QaFGY2iRNveWsPzxm4eiNIwdcoQjoSah/Wr4k6
033oD5Nd361m6Yv7+9e+SKOExkJBtAH2UVt5xHB5hXlG052cfNN7u8npI1dxnlf2++qUzvt9ZlP4
pmzoeAuEDUTvweO7Y3a8h05xbn/FTvkDYDaIX3hg03wv7tdu1+tTMr9+IPRp4h1kQM5a8NpCzVvU
Z0NUldi7ETgy25XddoAKohnaufTQtbELTuuMyoCBb26v+urACKaFXKhoBqVhBKZVY9gNitcr1Bu6
p2mV13o+6RdXhmBI8KiGqUqQTTAEYaiflT99S/fajtxj+k2H+A5D3rUSdK/ZNS4tij7Em1rjiQyL
4LfUPvPt4PLTeB8+ddvETu+RLCFpzx5ln70iszX2xcrOXnfIBPuCP2UcGoOMwn60k07Wc/iW7Mo3
1JgO5ssYetC7hFCtU76ox0laCR3Xp+fCnwzhwlSSph8aJYqRRCU2jd+jrPAbaWV98we78UENIbRX
Aet53WN5E3hKsxZVPLV4qi1UeBr5LQQpRDpXsvo1QZDrWoWwrfNlfpbbDFhXjPl+fNZNd5D5FiUm
h/0aLRuNx1ncaNird6ZvueTl9klZ3NQZTAg6NEuGgN6l3aKvY3nSsKlBAhUlvqnyt0Bf2dPF04i8
ChcXpiUsMeyqZdhJ3WyjtChez7r1K56UUyONxRb6ASuX8+KC/hoTz0dnkRikNDAWkV86CNkBPAnX
EATXSJ75a50ZEQ6BEQEzSTHw6mjSIdDcjh640XkZlCoqdV9jSq74gfbf7S+1soui+0d8skYlgE3k
2ZlbJfxe78CcE1u55GG0t/vHucDlEgXHSOUgG4wcQGuZPEbBQwlMzVoGvPapBJ+PLB5NRsjwqcwv
U7MJ+qJGuBIvlw8WhNLBdaeoIA2df8TZwdKBT9d6HevQrXtJAT3dfa7ZDW5/sg2Snc5eDCl0QhQd
Qr/UT1riAjWhNmu9/dkhrsLK2a+YP+7Zr4DKVjEaPX7FUO1kYquQI1Arz4i/R8MJ1Ld2j+5SBBX3
tXRr0WnO7BqXdiMAsJSiht2RP6vUUePtVDCXspUosnggYAZkYuos0SiWyOqp5XoWwI6kQcxUwzoU
Wm2DIHch2j7Y0Zg6pay4Uk32UbVSTp7dRNxbMNmBbA4a5gRyJpdrLAlnSJxzuFE4or1TenGyVgGc
t+nKxDw/D5FlqE+J+lolA1GPomJ5cWnuNQM8sDI6JwP5hLTuLly7468HLxBeILH5v+Ygene5ogGD
zPmoAvyfQDHD+FUMihuiN14/FRCgq7LKjXI/zfodEsZ/HmPODQtbCXRxPaohDGccWl6E7kJW+YYa
PHXhqqTnfF1f7SlGAmZ4IBh1xPQwaesBckawZdZpaKPFAgH4yc70xB0pXm7F4M3/e1WTY6wkWzif
O5krJCPLG332G4Q8sWz7Jkt6/AbJ4MFLZUj9XUozyeVTjnemXChuL4XTJhzMcV8wtTqlQ7VpTLNf
Q+Isb4YOTSWFUFAmCVFKiZIUeib4ITLlTtC4XQswxg+p8WMdAASUxiCshU0C3GRYi5BLIQI9NFAA
mpj0A1vupbOpo2WlPS2xB+zTjIHP+GlBH1d3bnvWUqxHvQ/EMSbk41AvuLTCpYFIeVHNeYa+b2m+
jVoU0cev21auKwU4OVQGkdfMYmLIYiwwkoIpJkcapXYIsUNgvmUG5CL1pkADv03U14AQnzdp4ARm
/zUU+be6Nh5LLbAcJSWvQaORlei0GBox5IcBSrAOAeIkhOAukXAxVaBEjTGIHZDgiRmoek+lI/UN
dJHZo9amnj6kXrimor2Yq8+EZhrIiBTYFz8tevwdkRKYLh4qOmxYpX0lY2ynzdOkNK4SRr/MGM9C
67XDzHtXfDQct1Bfqbtaj5GoqTa1Pm5/oflEiace3wWIM0geIBUUIsxo1GXZjAjWbOD7uHtMybhJ
dGIHaM3nWecH8Roz7ZJ/n1sUng1FZyXjCEpGp+BTaROka7WcfDC9cXQpX4mfS15+bkvwckVqpkHt
YStGNm31zDaKt6JfSWmWLqNzI/N9eJZLVDpoTxQLRkbER85Lm4UbydoHeMivUdkvvYbOTQkOlCdN
G+VRAa7dRgXi07MS22CfQRy6Kt55UP4Gk/ZKTF42qQE3AHZ3sJPM/362Ot4XLO4oVicHJSxxp4rV
3WihMUStY0BrW09PsTSt4Fr/DJ1c+SXEGCHLPefuYlkqCVqKvhTik7Zh75oz2njGHvJ7YifOneSN
TrCzDoOLQRU3vS/cyQ5eID2r7YY9ewm+lT+1lW+8lNMYmODUVaoCOK8LjgSSaH2MFARl1ItAkGoe
Wbiasy06K3gPLRUkDsifhMCUZ+mkQ7kKIflRe1L8fB96nYVOi+rrm9CP3aK3IbJ7+/gv+e78UUHg
D3JQkMFcft28QO0grxskGNQYi4d07PrUjRE1dZclRe/wsNGf6jo31kg/lxYLDXEdVsE3Dw7kS8NV
keKuB3TZScdTTPwmg5rPWpa4FGlMlGJNULMD0irOy8rN0GdM72Onbb9L0zGMXpn1Sk3/9hYurgTC
B/hkCmrCYgSdjGFMcJ3igJjsuW27N15FttlP3m0zi+U7E/forFirgsNRiNSNFQShPGCkKbHu9cij
8V2fAT26qdoHWfdyxSN4KNGD0r3cNry4vjO7QryOBqWN+miaYyjqszHfkfIpT9e0KpbuofPVCY7I
QzaFaY9djAytcCpi/JqNbi2mZY5aZIbPilZxyyxbIadYtqvjpQT6QdzJQnjT+6wkdYPVTSwFnsC8
6wzqjhPI7SA9limST+nv2/u5FEoQQf5jURMeE0GTso5kMkJJHoLh5mi1a/31xRTn3ITgKnjhaSUN
YcJE669ocbK8KHwI+/eCYph5q0JeDQqTt5e1dE8AjKFAhnjmGRc3MtALvZ64Djfpcs/UP/osByFn
75KuOTIQYzZaepD7cff/sipupob7Pe46WDWH01ScePugRm+V9FBrWyA0Sm3FW5bOwtkixYaMRaw2
lgjM9fw5T+4iooFJeSWeLHnkuQ3hvOWgQ6ahChtajLYaxJy1yFalBKoB7th407+pz52bEw7emJrx
WMowZ0TfkwwcXYNXtStf6RrSoqlgLsE9DrefaXUEIyQOm7JGIuG0Y5Iw4Oi78ANyuvQHm2LLt3Il
ex5yMz6CG7sC1WgVSqc0kynaIXHYH6IySe4aTMutCawtfE5c5+j/gxlbl9EYubyEzMxiRYP39SyS
EEAtClpNZrem57l0GsEeoMl4UiN9wKT4pZUKRMY56VAo7PtSP0hmqT6EqX6XDKDiR4NvM3Zq7yKH
u0draLQjnk/O7UOytExQAWJMCN1RCvib8AMMdNLTBI/ZwHw2tYfc3CqroKUFr6XnNoSQQ7piyizU
zJ0GbG9xPHlak9v9JLtGUHkNkw5qY9hRhwkoBYq6xHLitLPlTLGh7LAds8QdiAoc/aeBmuDt1S9k
ARe/TDhPpgEp9nounFahZ5G3vsUZ2odrHa6FqA7nNqmGmXNI6IgFN9olNcoIeFWq1e+4eomq19ur
WPr7BLSZM0UgcgAx8tAcb3hq4O9DCxR0q5mDC/+2hUU/BZ8BJsbw8/WrlCycyqDRQzwucnpnNduh
9szcSYwPDWMy4N0eepRcVhrpS/UB1Jv+2pzd6ux1UUU6VToL4iHk2VJsTHPYiq19AC15BIksf6sP
lqut1H6XTgPoByDxB/IL7Ob872cmE4opQC2fn2vSIaEbCY+2VX3dhcuQntuYffLMRqXIAYi85mWV
riKjRuRO6X3AXmVosat2u5aCXuMxEV/R/wBaUEFieMUNBbEqQ6kHPE9ap3Pl14HZnY02iGNCZowd
zJOMDr5014CDeA3Usribs9guiIHnF6KQx9f1GM7CEagfKHst2hfDp7k64ziHYeEtCOD6XxuCk0Cp
UGuzEA8jeWPYbBt66kdwaH1rE9n0CVRpKxWi5SVRRGzUrWZUyeXHS0uNRdGEJZkKboUffXo/Nism
gMZZWhPe01AewssBZ/rSSAM9mzFmEncSiZWvMu6nLwj7dW+amRbbtgjUz6TOrF3AuHQ0Mt7seaqk
HoeSzDbI5WgX8qr50IZA/l7yPNjKSjj5XNIxl4MHHdnkXRj4Q6i2e5lOHeQPjWz6iEeMsdFwSOAe
gyYXtlSaoNwaeXvfsAQ+UtPCYXWr3tejIZ2qEoBEWzbHaVMqZfhd5UpyT9O2eAyKejhonDUPiVS1
qEpFhQUkQ2oNPmtB0BXK6pc5xS33MEsYqLaKa/albRnDrdCxo25U4PRlOuOTUxCgQMDKYNSmPeVj
/dbQWNtg4/onXCnhTtFLxcOEWTTZbWtq26gAnxxaU2V1YITMvwzjd51p6a5atlkGFqGIY74t7/2S
6pUvZ72FiXPAsbdoFfQ7GqQsdOQpIq9hMpn7nkJ0E6ODGWEeJrrHAhNvsnZQC0zfhb01cLuo5Rqy
1dhEv08xiqlXk/QxKMCvbrsW+h0thnYsn9OObdLJot/SJgLmQJalF44r7nMKzOBUF73mSUpEWkhN
aSSxWWOMmkuSUOs84KiVdzJBFn0IB3qXpK3yHaO16i8tZ/JDbyQcQ2UKw5syUNPElbI8eU9jirH9
0MqTn1mgD3tOpPSNK123yzMFdEr9mN7j/95iVs/MnCYxyH0gjQoasCTamYPK71Wml26VT5AWLdEW
erdKlT72WWhx22orAmlizUx6P0jDMNm0RaTucrAVP2JWoPQxZ2JhuoaQcS/1Wf9pdJHsGVKFppIp
5eGmVzQZUBqmJw+gJ6+PSVByTM1ac5pjDeFzGKfZU55NNHd5ERW7Ni/Lj1CjEZrsStV/1zouVXai
jJO+V6Ok+cZjQ/I5Rkv2QSuTl6wtSLDT+pht21idHpWeZBiEHHVHCiTjUTfKYIcpWh2tew09fK9s
y0CxaYbmiaPxeOw2SV0Pj0nRjRBgTKzg0OtSuqWB1G4DVkggEh/K/CsDUOeFYF8iu4wq6TlU9Dpz
M6NLXnKuDc9q2CifVmFxJ0wsUGXzgmcvGenK73qCyqOtZoCQ21Ecle95n1iPgQXaIzsrCNm0kpbe
mf0AgEbbDX6S1/2LWo5qZYdSlf8eun7wFCAeXlTKoL2dmGgq26maD4WHEeHomcQBP6RMjyALjPfr
izqqkp8HLYlsOZcTsN8GQ/9GqhBc3klaWXbWU3rXgz/sGJIGBziX9QGnCJxbUVp0d30fyx8gpIZO
ZFxq+Om6GaTu2OXGMa1Q+LIVeNmuDJiE0EGreNww6DzttUqKH0Y+tZBX0KJyV2Lwys/0BnV1fYKg
W93ow0FC7vUTONz+tQA3yy41EwuANjQLMHcaeVk4lpFbVHn1PTSD6Iho2LpSlY5fRqqCnVUjEp6Q
2RBhXKkAPG0ax/COdQyvO2ukwQag6vR5QLj2ZV6r89SDFu5yqyh9k5jxvVbk/EkKxmhLI6LjOMQF
DhKNGi8k2YCB2qnz84nGH5gYlWxtjFovHWNj28tGB4rFUO/cqhohgScpal36BigYfW00QCuplb3H
eKZ5eRfr/aagtLIcM9V0KHgQpbbsPmdl46rAlEaoW1SAr+gFlDnsTiOZ1xqsIY4RGrFHlTgB+whB
KTWrB2lCCNOr0ZlqbSrANlbHvyOaQa10yMvmrcytwBtJVXwYWtBsuyiJ/VFL6g8SSs22BJW1U0lt
41VGVYBiB5seZdL0rimt/LvXYtM2jDh/BEzMOIQNhmQN05x2ChzxtU0lINJup5SLqfdcGJNxf+Od
JSYHulwHY42bNLW8ssTIdWKPpWuC1e22naUbW4eSO55ZAFsjiF1epr3K8baMkbmSYK9Kv6D0YSYr
ZfA1E3N+fpbRyfqIya8BJlrz2eqY3VauPK50HddszP9+ZiOPqw6cLchMzfx3GXtxfhqKp9s7tfxF
/u7UVWJqtriMsIwCoaLU3838MwB2tVor7y49V86/iPDlmaJGIdVhJ2v3Onnl3T8vxNDzvy+khFDk
661Aw1aVqVdGiVPrb4r5dnuv1j6HkAfyWCVdUmANTb3n7XtlPcfB420TK9v050l29sWtIDOoUsGE
qn2LkhJe9U/Z3PAwgNyqbqC+gf8m9hRGuY1HGbQ4Tqrs2QBhA2bLwdojbik/PzcifIyOJL0hNzBC
H9Pv5TE8TlvJoW7r9x0m64rv8vb2ri2+Gs8NCl8mTgBZncl+MJml4G57mLYP3R2gVw9k82q58mHt
kbOUrIO9c56chU4NCGIvD6ZsSmppNYhjYwq8R/9gSo+tfh+aJ6CTby/temJ4fsmdvQuEagXRkqHq
Y7wLdBsQVr/61uxOvReaDt3wB+oaUFWw+2/NntrWpvidObgiXjXF3vYorHi3f8sSGuPitwjLjpg0
xsQMuNORp4n5MuAgivGhWu/zzB2WLkGMePS1zr9td+lQAKJsAfmO7tDVYxZc81GuzIhBqd6UQ2on
VbWyy4vP8zMLQjAP20INrRkuaLXjZ6H8BA+YbcmBTQk6XuwHCEUftGZNt32xvgL9Lch9ABGhK2LL
q+Y1qRX+59Oq4N60dRQetpDLgRjKiX3d3sNVY8KZLGuDt4MEY7GJ2hrb6Z3f4vCbus+i7cDeA+0n
L3+vGJ2dU3yon69QOJd5xVH8T2EUkkBkW/1M9ygrO9oP2cUE8yZ7XTE3r+HaHB4bOvia0ecTLhlN
LsswkGZwyWN1IG6y+2JOeN/YRmozR30I/HqHJoR5DE9r3aolBwIu67+Whd21qikKg9lFq8Qvdsnv
8CD/qN74KiPQH8HPW0sUdjSzYhZUEQyB1ReUX2/+tGE26PxtzaY/03v9KfrCc++IEWZ6rF7NlXOy
WKUAggcsZ6AdBphPqFLUeNSpWoEPep8/NSfzQStAalUizXIws+3wz/xhvMOj2nLT93/zbc8sC3FQ
t6LcimZXar6Zun1CWqxsqEsMO/9hRvboVzZz6zv2xTddBj6WFeuLjnxmXYh8TCJShsSZOyUm4e1w
e1IMO3nrXQyibpi/NoeydL0AYAGdWuSwM87i8nphdZRg1BMfOQ+OjNk99Zti09f3wVpraSmjOTck
xL1urEarmwG+UvXSVt9IuGvlFZdZCt7nJuafcJbR8BLuyubQOhm7IQVwQSH/IqVBmx39JEIsyMkL
RyK3ULVTZ5yi1d/1I4aUPEtfKRHPWbB46s6aGSJAXqnTWlY6tAykyTz0ZrJvWOwqOXMIXxOAXvr2
56mF8ElKPEOjLJpTC3mjYfS3Mm2NPk7xJrfcFaee2zxXq9JB8AXYBRQ6RJ11nqQ67VKYCh75yVA8
3D/dHuokqkd+Bk+3jS152sxT/L+2xMRWVYqgzECG7nSKa2rHSfO7/t/kzgZBFR8NhJmf6NLTqoGq
iRIATAc9BN0CTeeaUsaiF/w1IHItJlmTUzOaWzrda9b7NLrLgw0lK8ns4k4BwoxRQk3Bf4QDY8gs
K+t2bhUYmz70pTK2MYR9+2ssrQSELJhuBcoBRO5CgMmLycQkLaAjUZTZKbBEdLQTaPhx77adJYwK
PTckeLMs8UpLm9lQ3RQHFITjfYaCpGc0df1gVJg6qzoItnQUw4ayUrt00v2EMuK0GlvLt5ZOFppx
ePUAgQqxOeHuShoy5ZOKR4IR+7KKQazoKZTvGkzeDcoKWm0p6J2bEi6rrFBLJAswNQ/tMPLYR2tQ
pmULFGB6JDpUEVMdkiSpwec2S1NvivxIupXDtOghaFD/5++LCU0GyZhqwN8vs5+85W6YodJpGR5h
xUoYWhqY+8NqAYJDGSAVcaILjgjIBriaHbOjLgZ3kI1Kvh6mdoF6M2iZgbU2bDVkXhjnBwwlHUfU
7ae6RVUbDBGYnyeTbLPe2rbKsQ0sFK1X9mIOHGKcnGk3/vMDBSduuryd2nkvWundpA8R3aeRF4GK
q9mXoAlcA1gubv2ZOSEAoF+AZIehuxUD71GzBgyTo6Pm2xDF3dvHcynUnC9s/iVnd3NmcV1KRiyM
Y2KBvDbSUZZXIsCin5rQgEI6jvaq6Ke9lM3yUMATcvUQxQp67qvgpuX9+mtCcNWR5hoaGNgvcFyX
TpQ67THzQw903i49tTvJzX6zl/Z5lQ50bWnCfdNNRgQOQ9jFBBs7Ng+qZKPxYv+UD6orYVC4AMnX
7e+1GMH+bqbIh8GyxMqBzgTij8lOUr/Uhp8l35L6IKVr02WLHWR6ZkuIlkEfNHEE+kwwJE0Hckdc
1NePllN4bFdDxRV0aaD405H+P00rvdCVfbWE4BlYtOpLFS4TsWKbc3agWvIv7tjzxQn3X03UceAB
NtKi7SYnPToPmZ0YyYrzr30vIXCUXVxpCug3oM8iAdtiG1lnl7Grdc89T9zbvrF8lv97CkSitbGQ
1bGj2DW10Vyav6Y0tqm5sm9/UNbXofCvFSFiYPJWq2X0e5z4zTpoj4Nr+QHGqfuP5i7wk333NNpr
7rAcff+anDf5LEgFssIMq8a3CiFMhPmaqr4f+/uSovBG3UzZWMS/vZPLBoGqR2IEXnQxZCktZYOe
tHixfOuhHhwf4odpDwKk99tmlnMjC0K+Ooh1rauRvIKPca9psGNA4yXdB8MpwfSYqrzTftsCpqHZ
muIAKWcDX7QSSBadZYbvo/FKzKuZy2yYYjQnYTqq91kbOTK6vBHfrCxw0f3PrAjO0nEj1qPZSu0B
Y/Ws25PP9sV7Vnghdaq7cVc+81dpVrdfe6+vrU/wmU7LRonOt45lbrixqdIaI6P/JkydrU64dsqM
Tfqkw8aQhkDLI/i3K0d6MRCeWRAumLAvCiZJsIDPaAcSONzWhr6uSZ5QXcYAEuAoUEIH5n/eyLPD
lQaWOmXNACSN02/YU+LqPnjMtvTNz1HR6e7pN+ZHuNRMvz68gohru/IQWZr+vfgBgo8MOjOBbsUP
GNz7wLV+sLtqB9UxuuNHYksuCCP3uXfbLxfP99maBefIdfCP5CmmADKTv3DkQHaa9vUB8uHQkiIj
2pLJ+ASYwndMI+xum15druA0RGVDQ0vYBmtyh2Fq1zqB42zDHrN3/d6IHGmjWbbiMd9Y8aXFaAPp
cNRIZuUlSKRffuky7mtuzl+a6eFjaoKRx3rp6xIt6+LQ1QY4MuXHaviamjfMsHqatKaNNH9I8eYw
VEx4KGDYAuRUuHJ7Ke3VSsHKU67E3JeNUd5qnaT/tJIC3BRmrrze3uulGADHpsC/QaMMo8eXCx5Y
rzRRhwWDZlWJwdOenSaQy902shTizo0I7gvbAys0GInID2YAt7FNkBO11Uvdvt22tLh/Z8sRvHYY
yjHsWrykiwEieT0QHQBLgQbeIc3HbUtrGyf4KNIhmgBvgael9T0MwRfybKxKXM/Z45U3gMoIM48Q
rkP17vLjaABS1NJ87EvDnQ4aKIbTg/RL3/cv7V20ub2e+W9d2zLRHwTqAFmfYEtVyxLUsJjoyILv
BgiwDGDaCqCcIEpufSeSX4Zftw0ub+B/DYozCGbSYpIRZPF4tBGPDoB7UvCyA1h128zykSZ/7Qgp
OlQeVGUsZzv7qnNeau6qP8Hw2QHTGTa2wt1/zCSH2wJo5v/spKZefrUi15VKzWYfjH2aeZrmZskz
0VZC1dK1d25FiBR6puZpW8IKqb6lKOcXK8Xctb8///vZnWcwOg1hKqM4Mzi8Ce2er6VXix43p3VA
3oLcSSwUdrxOINioIPExnqtmdPjwVskaIFFAc+3YiHYpW/GFxTiEwTYMcIOuF/xgl2sKm9wA+gEW
LeXAQOuccT8LwWLdKqgg+Lf9bnH/zmwJXqCayf+Qdl07kuPI9osEyFCi9CqTtryvehG6uqflHSVR
5uvvUe/d6SymbhLdF4vZBbYGGSIZjAiGOUcxTYb9i4G0o6DEb0hM3Wo5fxl1/+9qBA0o7akkbISE
BqNX6aFmj1X0wADM2Gx7tLkhi5AetGgzoDFPwwBTKQtKlhWcWQzUEHXA6uv2WWQeDoWlgXYS6f5Y
A+1iQfn0TBIFbXMstSsA6YUlSuBj85BTq7gF1lJWeUsn5bUGNBPmouNMdvNWTQqG0zGXrYJqQIzT
qB4NTRsa+CL+mAJxfjh0TnD5WGUiFgd0ci2MwpmaJCcIBVN6k/Ul6KDSm5IVEk1dvRsnKxH8GJwL
t5MZYlqed0eTgpQ5VLRDOi40l2Z6sJ0cHMZpdCRNJct3rYZfaKn7dxsF1zawWpuAI5x5D6BwMW/1
IHwHWUO5U4/GPSiiAv0BxnMne8GuXs4TqYIDGro+MXm9LNlYsLQ3LHus4m0FalbZKP3q1fwt6Veq
9eQM07TldsQgKQbVDyNgtZNBrUu0RDQ01KgoZRUk5ARvqnqjo1uaFJLeOtkyBAvjjFqN3l8cE9de
KKhBxsfLqr56ILYBKneAUGCyZVnkyTaVaVqOZoNyXoL0vGp6BTDa8mslvMPo0WVJq4NueJ7hnQ17
hrFmYSlZrqU5eGPhMu3JDY0j5z/zENj0NwrLvQ6UXcaOFu9TeF2bdxiEkkhfWygKHcvcAhIolhj6
lCSL56RCHWK4dzZkWz3Muypzyb4LroCojI4i94p5PYi2JY2L63LRImCDPAjB9/L3kw0OLaVMlRBt
bHCF31iModnxAyMBt6P5ZACA9PIq1ywKkHiAWIGha4Ik/VdhVYX8hr2MZ+hE9cb5WKSfo2G7ZuXF
5ZFnfisjsVsVCK68hfLdwm8LApUaIUqN9Chaaarj1L63NtKg401sA9o3jJ7mYvIj4CJcXuXyo6JP
QtBgL/DjGFUSq9wU+RpaapiPzwiGeLK9zo8TlwUuq0IA/Ik2KwxnEhFsDvyKPYpKyLUxkB61IVCX
Y3XbRlZweS2rjWToIXGwHMwHm2IbCRv0zMrAJu8VSX4N4uZ5QuKetTeGZQUYxtrETXxHqPYwpWCe
yr9dlr5mXQDdZOMNDN5clAO/6ovlzKXVOMvbA7DbynjFqx+XBazuor1kGHDfMUYqCMh00oyqgfCB
hvN26XmtFXUToWXvspi1F6F9IkZw2KqR24BhQJSkU4Bv6BgjKzZ9+kj+AnPKOpUjXGat0gYODHrE
y4hhE/TfZWjq1IDOIut1XL1XJwsSvHNih1Zfz9i3SleBefMNzUUkf+zIbU/9skp2rf0XnSMI8eAG
7IUJRWzrqIfeUVkD8xhlh2l+U62dxv6iLxkoxGh2B2yJCU7vr8qmGCky1QpyoE6aglYTEITwzbIS
2JpGnwoRnIyVzSmJSwgpLPtOtfp7p3y4rGsyCcbXZRhGWVRTAevTALRZA9t8LjmK1ccsujZAx0uQ
hkRT7VcJmTol0cBwK1v7Va0AgnCc9Eelf07je7DyxtfKNbLgs+wNvXaHTqSKL7UYsXZuLvmbIZsx
Df3SMerWtg8St8v7t6iuaL1P5QhqEDF1GEsQ0nlaY5XbRJ/u+fjKZufOmr8XACoB+dDnZYlrRuhU
oqgTZWZUWYXLlIHd0moLz+gfsia4LES2fYJaFHqrRyzEsriznbPYnS23oa4RS17sMjGLdp6EExVt
B2OkEFPjxZmPk1tYn92wq2Uw3qtNsqebJlhuMmk51dGO4JnI6UfTtznEgV2H9QMDIW6U1eBa1xHJ
/UUzB8pNINVBNQg4YGI7uZNGGFVa3GHO1UNX0hveP10+qLXrtVS0HAf/LOZOMOKhWQ0jpiYhgjY3
zZIWqGc3iXu3SA2MjzdIhx2oUfqD+TZGb3r9FyB26CUBnQRGrIG9I+LnWbzXikSHE1FRLR+qbYr5
BvXDTCT3bEXrv4gRfCIqHBHJKMR0HUb3uvG2I83PrpQxi69c5y9ihN3s+rnhyQISk7fpNQFQHsW0
6/1InWtWgaID6YHLx7fiGSne/eifAKTQeRdFCs7TJm3h6lOreSF6FcT9zzgEqtjwCJXCJNinA3bv
yzJX13giU/DGClEGs+n0xWT5bH5k2b3rGqAhTTtJs9TqmeGdgLgWuO/AA/l6u+uWFVGyCBqmatvb
8YbPxaGZI8mbRCZGWI8xsogOKsSM3bax7tJ2k8e7y1u2fKlg5alqg9oDDae4zGInUxc2dZlh5NHj
A6ZQksBhyFphtLpwO1lxdXU1AH8AUCOCM5Q4vm6ao4LZoV9EjfHg99bOGMFaLsuXrAsxbfwaWFEA
0PtVSFsYGG41bWSdgC8BbMYJUBNmJPH8a3qmqejeRSiObRMxV6Jo1JWoV9DRnmrbMEZlIyUAnieT
73CQiOYjEqdJJTmptZVpwEaw8ZKCTRKfcOlg4WFcRwDd72zVc1jR+NThwyYxZsnyVnwXMGl/SxIs
0jxTC+OkWF7sEEAvkSuQYOyjMvbhafaX1W9tUTo6rTDyiLrK2UMYQJZh7mRIAtejFQwqsMJTK5iY
I/HGa1quW3iHQtctvOIEp9/Q3smrBCkgJyvdZNoS7KJ9tKg7pZvLC1rbu1NJgt+PlWIGdBUWVCob
4Da6Fv3kTsCNx8tiVoJbeipm2deT8EJTdDXCciHGnG/p4GyrqpYY8PWVUDzbcZVAMyTcpLzIKUqi
yGgV5c8J2FfOK+2DwfwbBQBS73+lCCYuyTSjiZcscV/fVT24mYNx3F7eq7V5NAqgUmR2gNuEwxc2
qx55kakLrFeBUb78R32VPEyHJ8XLj+PO3LBjsqcH1HNvAc5/g+7l4/0CNSKbBlnT9NOPEC5VUhRO
Pywf0U03o/mi9ImntpIjk8kQjoyNA4PHhQybbEj0NmhAyZY19K3ZPhTkHQood6DAiqmrMdczYEnD
JwH54rMu4ituFMfMSDd5nntmY7u2Biqdyye4FkssgxJLdg4IRGIkZmIoa+girCvhNbBoblK4jaao
3JZFnlUHQO8YZLmrNYtxKlI4Ll7reVSrsBhNQW/QEefpQ/Gd1xpome0Np4XEuMtWKJwcYeiMDi3s
6lTVldeR8VtYK+0+5+1bxdV31YmqIEycmwL9yJLNXStdYUJABbrkguGC//lqS1Iep009YXfRQrYx
kmQPbG1P42XAabeDs0E2MvUBrPTAubFB/2hgR99UJbrLY4ktOLc4gH4xQecAJh9EVmK+cMiB45CA
Ps3LewcQA/uk/kjtN4tuLmvTugb/1ibB5CiYJx7zGuudqTZu1Rr5QkB8cr+gyrexCt/VSruOTVlF
5XxxqNJgqmhpXQOUiwiWE82FPtXK4oKGI15rxpi5c+Kx8Oflxa3lKSHHopq1jDChH/DraRKgfoxA
2oKx061rNbO8Kbd8EEBtGyU9Ftl7Z4P6HaAdZjTtIrP/fln86rVZ8odIXAMizzC+Src45wwQT3gz
Vd+7rMBNSTZ6xBFJfMMgnERzV7f0RJjgaw1TTUJAbSMXBjT52nrJ5mzvtNHGVP7mMYOf+3dZwqaa
gK1ILYZlTTHQh1T7SEuKcJzu+rG6TTvVZ3Hn2rN0FkW2wuXvJ26+xCcBGB5y47TeAUrYS00Q8QGG
AgDU1+M0eehPv4swPain6i7su8eitm5pMnSu0uXbJutdDbQJf3HEv82FiBIH6JmcDf1yfVAwyOON
E/kW8QG75k6flyWtXtQTScLqB8qAqhhj9WT8IIZb5LscxS80iYTLrCiXqO6q8zyRJpjgagI8mLGs
C8xorjq9hUhPa5FMZ2VSBOMTD5mpmPmiSSYGQALApLgIgiVHtOpNTpay/P1EbYzO7GNtsehz370Z
TncV95bPwxfMNQbESoIk/lZiOObyaUlWZgnPO3CwWSGmJZecu+6DOhscDMm2VjpJjLMW+YK0Dq8g
YN+D/EcQQ/O2Nh0QfXoRBXl1au2AqbT9m5X8FqF/3T4M9iRjpMCutDw6pDRGN3/8Es6zRMzq5T5Z
iWArK6Or7G7CSsgU7VlbX2v8QStt9PhIaYCXnxJf+YjWABKKSUM0lQmbRpyuVYzYQfAJePVxdGfz
IQfqufFCyds4b/rw1gSDOwHURR+0sondtYIyenV/Sxf2M0ZY3hKGhepIpFXk3ooPse0N9RF0NXn/
CdAg3AIwBHIdLYJDcPkwV43IiXBhl1s6ND1bEgJVApzp1JtB2J30flQ8l45LZCg+a+nYL2sVfFIU
xXVc4EnrxfONyYMaPf8m384JQ/j2YCgPue6PMhrgVUVaeqGXC2Gc4XYqTj6oTgWZdRjvS8ZBZNYG
pa1seyzx8m6u+vcFlhkYVASpWUGR+GQWU6gjNWDGHC2JWqD0ZJvjITOTN8SWfxwQAjkf0YyjUhWI
nmLNdaoiYiqkwrvCoK3LsvxH1zjc0yMrcWfdfL68ttWEM8JPTBACiwGEuoKqRJVjt6oJcWh8JCBr
ra+6tql8s4vGPWBtrW1vGd+7pGnd0e4r3xhBOliH8yNoV2X0Zuf7jFB4gelHEIVas2hMh4oZPToK
c4/YQ6CPOfAJMj9uiZsb79FIvMsrPzfdX6UJF3TmOk9TBmndDHxyXQ9yeteMf5zMXIQAdR8tAUtW
ePmIE6ekx9kYUSfB6GoxfB9Ga7yzKX+u0q6SJHtWVgNlQaXeMjCoYor1S5Mo8YgwOPcc5aMF6Fif
BJYMIuDcwxpLGwWAkFW0NthimlHrxyHHrBmuufWZh/s5B5XOnlHAlGTHqnodX/74gJa+H3CuIOOC
jKPg0NVORRoumkAyOgWKvTPtx/nPu6SMUxFiH1atD6ZKa4hgzXUevTcgii83f7oKnSIqQWcRwRU7
4+vRi84YEbDnXpo7B9KD66Kh17k0Q7Fig1G7XrZq6R9a6G2/alqXRhysHBxlgOTBLr/V/L4C1dHE
PXRexmXQKspS8ru8tnMbDJlIbmNewQB8vNhAodh6nFQhZKaFp7WPic1AsLSvBhkSt0zO8veTW0T1
Po0ACIr4kXpd/ziVGzrfMvL6/1vNYp5OpNTpALpDG6sxgfET2xi41x6Jit6Wp8tyVq4qdg02d0H8
BVuIYHGbJAYFZresJn8c+H2p3jYyXsUVS/pFhOCQY7OeHWcRMdLPiO415kcVGpJ+zrI63nlgivup
gtQCc3FowBUbyDoARSrTMrwx1vcRcx5Uu5dUnVYl2HhaI1MO7yS2xhlaGodJiJJaz7wufSWGpIdx
TbdARWeBURNJChRPvp56H9dTO/4qn9Hn1tgYYeVm4W2Jce7Lpy6TI7yB9LFEu+uA5LVV+FGeuxEF
kC3KuUSynrX9QvEY5VtkfgEGLgQrfYfXSG0ht8ycW736Jx90id/8lTn+GlcjK4DEJNAMgCyEvpyv
O2YptFZHjtdcfYWZqP2HHrnUb4Lwo91OQeGq7su1fjA2ZoCJ09l9LTDtwA+Rj1yBi2wI+rS/hUGE
ThHwVW0v7/EK7BE+DYe4sJYtFRbB3TLMR5ZTiedYb9ZuOz6pfejGQJXCGIvLqmvH+Ums9L4z+k2W
3qu83aF6+tTrhq9qDADLFcxXI3v8rtxF5PZALwNXA5gQ8bqzPg9bIGziiWjlx3DujyzRtkZjbiZc
y2mWYfqtiQMNLW4lCgzQaGELqgp8AQOFnrF2rt8nGgI7tJhtqntVnre5m04aAVha35i7UikwtUoI
p+480uEQgV82cPo5t10AjVQl2D3tBWQ55e1ziNzwnVlxYvqXz2zFGsIFgyodbZpIr4tlRWDXzp2h
DLmXzLuJvKrpFZM1Ra2KgPmwVIBhoGFSuOIx1zU2U3h5Pj6imDdlV4inL69izf1i5Oa3DOF6TyaA
toGpjviLvc0fBKeLbl3zHz356Pl9HjHX7AuJzPVlGTC9DiZ9DFHZm7rrSYXElGeyfRT9TECUbXy7
vKzzdySUFlSg/xUhON5QU+0Chw6YzjAYlF32szX9tLyZnUBv/yKAPRUlHJIzRXlMeohyQEodabsh
+UCV7/JyVu7Gl+UIh5T109BqKmQ0yeQmuUvoy2QXrqMdDZmVXDH3X0QJ4ZhGGxZqNUQN1XdNOeTt
z3r0hmh7eUHnamfDEC9Bn4YKEayLICZR41bpQQeJl3c+Ykkd2LhAj2AnyT9ZjJZdGtc+HF8ZIHyK
/IYO7OflLzhTQnwAfgCDqsA/hztY/n4SNFXTqNd5hw/QGh65+JdRspmGz1BpZRR6Z7r4SxIqmeiM
wktcRGFccvwpuoSY55Dwtcw59xygkwcdEpejiWZ5dIi6zKSTxD6d6YwgVtCZFKWp0NAgtkHLIVDf
E+qTLHfjMnSjPwbQFGQJp1kyhskaBZuZtICtK3Gg9e5vjuvfTTx78DAU2FLI8RL7BmDa7jAcmayj
8Uz1v65CfIraverMYYcdiwDowhR0r+lupUa3XcMlNmPZjy+RyCIJLRsIQjR98fiC8ulTlvcEq8nQ
IU77EcU7uCvnZTYmr02yu4LV7tQ2kk4RmVTBKKpWEpshaaER6WEA+0JtXWFGxZ00b1xAjupN3BWb
y8e2qoQnC13+fnLL1HigKsqiQMHnul9XGjBj+8esbHzVVDCdIoujVk/wRJyg80kPPGvbgbjcnED0
ubf4fdNOniFzzKtydBwdZm4wvUeEZaGPrNSmCYG95VTHOKSeyYtAqQGIUspGbFZ38ESUsCSgrDjc
5B3sVAs8gW/WuEuyETWW0mOWLPe7LguvYvTdIFAWn+K9bg91UeICmEZvu1P1jcb5ARmm2EeObceI
dHhpienP7sHyDP+PwF+cnCfqYVKlL7kKu4ERo71ak4OVtMc2Uvdl/9bFzS0mSVzUlK6aQsU1yfeX
lXPVBSyFQmA6IjUkGuZmzKswR74ZjCi1nzagoJ0/QzOU2OFVXTmRIhxgBRKFvkshRY0TX+n5Xo3T
TQ/S3dysJBd81asCzwMNQBgGoGd5DRtI6ywqIEvpAp3n4NVEO2Xu6xH4DohrRyD8MFwiw7tY3Udg
3qGQDUd+5sv13mqKfBhgVyZQwFhD7WpG6ltKJ8lJrtqv33LEXvopVoawUDjzqszxcuMDdLRDCdZi
QLBgItlk302HBJdVZDmcMwU9ESk8SkdbL03FgMgcB+bEPvw1L7y2+Ui10lUtyfnJpImZXbvG5LWN
jSSDq4ePkfJgOdcxeUQaLJI9t2WbKTyGB6u0SKlClsWbYFZ85Ka6GcHIS8kxt6T5Gd67l/dSJnFJ
AJxc9gw0J2j5g0QNfXwdeC5SJwoG5LAj3GwUI5/zZLzFgM6Py2KXn710hIKv1Uot4XYFsRF6VYom
92MgG18WcY5ltvhzhJJALibo5BAbKfQSzdw0mRCdKFcxf2HNW9ceDRBF6TswiLByV5DNPOdumN7b
KjikMEZoHmm/N0A8GiV/+rwSPkbYZwb+Fj7lWDC3Hop+CursiIyeRMjqrp6sWNjV3EB33NBgxVl2
MNgYNFPnX97UVbuJCfmldAWcUnGKjuKo8o7PsGXYQo3/aEm4QJzZjazeumq+TgQtH3Kql8QI67SB
oKHu3IqDXMd40SyJ7ToXAgYmjGBgohOMGqoYW7Jc03M0AMOQIImhgLqp6skGyMJ/fCxfxQgWRKFJ
ZGQGzh5YiRxVRRXcLUkng4I7P5qvUgTboQDYoOMdFmPPul+kLwz8Xk34OZgff6oCixwk6TEoiihB
HFuxx9pMcwuxD+msLaiQd8yhoOIauu1g6bJMyLl5grBljBnKpkGzBVOv29lcoxKFcWWoQTw9Gqln
Uz9e+FDTAG8P3FqJ2Ti/Q18lCodVxIaVRbkKf2bNN7RlbudE95d3cFXtlu6L/6TUHEG3OR0xwTlh
UYqRf5blQF4zQsNtmIFD6rKk89gRBW0M3mDAAoOvmEb8eovyWplHbSJoesoqcGjteGfckFZ3m3ek
WS+LOkdZwNQ3+AyW9lIMVZ7NPPZtpWd2YSFsnDztbaM+jq5+X3n1Eb1zmdv4w1vk9Z+abJbvV8r+
qyv5Klc4MA1PM3uyTOZR98k+5FfzXRvMt3xzr4Emnbq9W257/N80ch33yQxGj7+2WyWwfTMAJeku
fdE8y1V9x6uuKr8Lhlfjx+Wd0ZcvuPSFws20q4qBqmz5wtt4Gz/VrzSIPdt3AnzBsQ4GJLPng+3q
D4A9i7eGKwV8Ow9hvm7RovMnxnRWAS3dj/gAsDMy9qpZT1q6J8XdZMBTSJR7Jdz9KkxwQomqR5Uy
Q5ie+xq5NswgAl2YipZftgnrRxYGcy0xSatqfqJ6woWaBp6WSQLVW2ptRo/OBgpi9Mrl4Y7KPODa
XhqWpqLmhvsLsteve4mRgZBXCsWVqtxRMVzM17kTB3xexP2eHWU97+fNqLhWp/IE9S4TEKGnQN/w
yuy5Q/OCelPUH3j9eU51rUzoRNrYvdfKUOLX7C5ygZjzwMsBYOGC4RjrUYmzPITGjLdgVlQSx82j
QAM1X4YuSvXZlvWprNlEsvSnIPOI6q9YnncSIGdNYA3wumwzsA9avYyh5B6eN1FhK09kiOmqxtRr
vWMKPBdjj3M5+33/jWfJBwH3K5u0O60mx9rMfdUeMCsWBdn8ivENiUk+b5ERvkJQoDRPYnwGVjoM
tVebn01Y3hdjtdEwP5joL/MQ4SlzpSjJlvEepZT8T9PWgnxBobJKMwunxC5YmKppAIk2k9dZuzLT
OzpKwDLXtOh0wwXDV5W8bmiLparIdrIaFBrUN/ofRrtBsJ21O8r/xvicShQsXWUaKW1nSMymp7TZ
joUXVYWLGqPf8eeWRgFIjJn655nWr4olmLwRWCdkXqSO9LkClCORxVyyjRQMnF1oZtvWENCWc+xG
AOFRgILelglGR6rAMMKXUinduTQfLruuNWN3up2CGVDasK5t6sAMGCAqGh9JBlqdjnp1/E+a7pM/
z8os+4gcCUUXHrhmBH2ZO4y75ipUMyp+Dh1HMsYtQSrzxxiRv27AbzGCkuhNyDW63IBuTndhO12T
jgSq3kheF2sB+elqBK0wky5SWwNi1PahHBanZGzK2qNouL18Sv+HSfm9IEE9jCac0kiBJBbX3ph3
gZm8WrOv0y2YrMCtsDzhTW+OfcOUdTOu+qdljNcGmqwGVGHBnNljq1UziVpvyM3hnyIj43ZBptiX
NQWpVV+E/EGpSfsK5tzG56yvDsSsh4ClhYyNaS0KIJqOmVKNAHNDXZT5JMoxcqtPKItbr+DEj9On
GuAOeCUQEtBEUir4VQsQQ7pTWcuFPZEVjiZPsharpqz3ATMJmRA2p88NxkWY814Yk49lHjsz2za6
9U7BN6qix5OPw5XKfyp2sYH673P1u6PFHsajt8aobNMkfGhYCnYKMK47skFR2f4It0uJ6wxN3/hm
Rf1nLPcD29TKsUISV5W9BWSShAvmgDovjQtIsp3Iq2hQ1k+V+hY1cVABF+ey8q+axpNTF25ZhAQW
ATEx8vD5pmPADvEwRAxk5totzMRT+lctebkscTXCPT184bohelHobOG6mXSbmnulDzCNr6SWFzKw
Vtw7E/JLvSsRupzOJY0TTLED1t2+o9hTo76nPbTJPObtaz5rQQtQxJJ1br+kDO8n22XOAYR8Evmr
ARogdU0UhzFfJs5ON8YU0rZLWs/UruDwvMHqXTAVzekNrnnNPuyoxcz7gzZ61vA0OAdLxbCrjElW
X9es318hbD3Jpr4edHwFvb213jG8s2V+ukdjs+oSr0P05g6+uq+877Ubuz9RLlQ3ma9s8sDx5/fL
O7LqG082RDgQrZk5g8VpvVEB6L4+fCCJAb67cvJ7tdmbpPXH3pT1SK6+JcmJVMHI5VHkxK0Gqcyn
brmJY/efD+cmccMfMZ6RaP7HBoA7xMVYJ6a49spulD24ZYogmL5EL7IqB1OJlzEXg8feEPtVLWPt
MZYo9Fzd/z1oR5iorJAAT3MTUoBEVgT9TgfhnbX/BE/9p+kaPyYvCurXUHFtP9mXBx50Lhoi3o2H
75qXbKo9OiX8zJdfQon+ifmovu0Mmy+fFY0a0PNZbZmbMIs1r4rY+KxwW3vQAGYweHSIu0PbJxjk
TYuk/4doKQE1aTg5n0CDSY+81ZxrtSvszo1Kh0z38xh27xXPmiuNtyHG06jZPqBFu99McYqBEn3I
HL9y8LLtklEBXWRdO70bx00YBSDTbg5RanY7gJYaxwrM567aKNr9qPbWI7IPCZK1lJJdGNf2a9EO
4SFj0RS5aK7tfVwpZLyNYb4pqZNvU2V0tm3ZVkGjKBgLtvvyqsCgno/kMlrMCtY959U0HELLib1R
bypk0B27vM5t4txWGMP9BnY7+7ro57oHW7etp75acWptQpOUByMes40ZUtUv0XPqgvSHIMXbGu9J
l/V3FVS78EEOX6MOPZf+3BXxk5Jyy8Vgq33X5XwC0BBhfeta86ztuto2MbnXTdZ3FRt4jJuo7JAh
7NXIG5xaNdzGiccdug7DPUhvKJBrU/D39I7DXuyZT0+A3mvu7HGMb1sVcGDo19X2DZKfQT5w9WfS
6Gh8rpj6zjvd2fMyxi+GNis29UQbkHNPWrdnKEYdooyo92o4RIaP6pT9zFXeXcfNZNV+06jlj3AG
dX0YW324DF0ZO80uajQ3Rjkjhx5NdJarx51TbpDKIr3LwtAsUGzK+tFFOUifXDvVgYs3ttE9CXVQ
qld1Ht60jqXf4aEeG67V2MUHZVHYAmUyAl5LS5mCxruGOjuVlORODbPuEBeGcu1YXd55tQq8d2aF
00+rtYhXzWnZbS8byF/p80t3WHhpkhmZwkzFZdGvkwfEgh+pf5cdQv87ACS2+m21T/zX4Uj30yZ2
QSIrkb5YiEvShXCniNvK4YultLefPZJqu/gReCbzfenq73NgB+k9hj7pFb0Nb+hiN2VT/quBiYMZ
YjAvowgrlp+mHNeaRBlW31XE7abm2iKzHYT98K1I7e8Z669oiUMzq2l/eenrMfkCCY0rB1AQ0Vcn
jUGLegRKfK61m9AAsmNlO9+yuCEbZnB4BktB0KkgLavmTeIqGhJJVVVKEg2LLz47gJOvEHw17Vhl
q6h7eahJ3YTKuCXKfi62IFD3L6931SifCBI8MUfrqoLiWuv1TY90b59xt07DK1NV3vvEdrkUP241
AkRrMBjtgT6KLlDh0aPkmWOOBDCV3XA04HEm22f0UYNt7iI8bXw+Xqcy9Py1VQKaYMHLQbiLJzK2
++TJQbpJ7/MFGlNlnyWFnzdfLWa6dv9qyjpp1teHTJylGzbQMsWHeBSDyLtl2FFLfYpGTNofTQxL
K71vo1mNkk3S+IkmI5peCyyAYq5hxN9Al4RYrOBOEtW8K1sYoxINrukx7pKgxvP8srasisH4Kwgp
fk0CCXYh6qei4SEC6WrescxxLeVa735elrE8cETVN09kCA8gvH3B9KhDRkTrZqOxju+bLAqDy1LW
LtiplGWlJxoRTpPRNxqk8AHDn1njDhg3GXSfjZHkkbWuEAaSMiiZo/QnTp4lVlmnigJR5sCCeUCY
DR9iN7PXtNUegGGWWyLPFjPbJ7UhM+VrJ4YZPrRaLyBymjgYhNdxhD7sDqCwaITAGGiiWq4RcUkW
Zc1e40b/u0TBXM2ak/XNgIdkplzhsvmAcn3D5MJzquQfWohLnhO37mQVuvWdJdZSMMOsIvT/6yGa
GV4LGHFtvZrtQsPNtC0HaLPuzbpnzaPbaOCxlqGxr20o+mdANgrIEtTqBINJ+knB/AiW6hgPJvSl
mMB5LnFCqzLQsGZhkBD/EZlfxqKZnarGunIrOjb6Vuf1rq7/uXwDVj0deD3/lSJctLSzWd4NkJJg
5lSbYrix7KEBqVZLbA8kbNwrGAP12uAPzHxyWKn8he85/YBlG07vYI3B06pAlNFl05s1Iv02J98V
o96pIDhlnewBvHrlT9YrKKlZaHzgIdZbxtuOvyTja5e88F5yFVZaZ5C4xFw9pqEdlJ+ooJRhERda
1SN2mfvsx6zaP4C8Epg0c402uuLkO29AvA0sJrc3kgPRC9cussQFg+3gOlacuvX4o7a16wQ01qST
xRVrD++Tj7OFp2FJrS6JQmz5MLtNcpztbQ/aKrP1UhXkJzLcknU9xuQoxhaojWnIrwesY+4/jJat
AD+FW5eaz5RqT8pSkixetT7L9Oj/ihEUeSTaAIYqiEn5a1ff9nPqT2Rj5zbgjIDPgKyxDEBdtjBB
c6dOC5uYQ6JazF5nR7lro+m46sZGEonLBAk6G8VWTbR22UH6nJk3IxhKasCPXrYEq/uH5sqlnR+9
vyKoM6FZnSyE3eDexeMnex3Sm2hK/Tb8hilFOCi3xVPsssjVuwh0f1vDmDTyzUJAltd9b4V6Bdtj
buzGBlU7aLyup17bXJazun/ohjUB8QfeJBEuLEPgNwPUF74XXdMz2cfI+QE5MbgsZTW8PJEinFJh
LwBaMzawMeurErNHm6hT3mlnz66u9/dVBFTByxLPUbNQhzn164LIsXOywao4XmjK9653G3oVo3hm
h42naCg3GS5iaov5ahro8UfUjAD3p5LmzrUzPP0EwROORpznaYxPoE3hq7G5ycjDRMY71t9fXuzZ
9qKHCWMm8IbA5wIl7nLIp35i5iHQEzG3NwEWzA0z1UdrzsFOqqtR6X6USf/HEdsvgVCapfsXMz2C
dmJWh46RvSCGKAxWuFX9weivwLLq03nyWeMARasAz/iwBXOIbGxw+fEv8e8iHEOKxMYMD5qPBeEg
msQg0QyMi5E7PhvUnaI6G6qCL8c0N0pvPM/JAOwLkOboT7yOJGXnxVaeSUd74vIFgOMXBzlKjAfM
4DjE6HX0OcRorGll3YlnaoP1oVUBE3oU7yNYgK+nmfNobAweAiUwDEi8b7TjWAZ9+XZZZ85jQ0GM
kEABTa2Caii2UX2p9SB6Nj7V98kHKBmJ3Gl7WdiZlRFkCX5uLGOtMyPI4nSPB4SbNLeOLbvxy4+I
J4OHF14/aH1DR65wC1o2JzNrAcBamuMG0za1i3y25tFOm7awBplbmkPm51WGpvi0G29A5oBMKFzj
oS36e97Nk+yLli0UvgjpAfC9opPRtM5oIeZ0wAu4x6Tl1GQBYNdQpdXcsOdH2qCeo7MddeobzAxt
JzO8jml0Hzd/2ry0bLwJKEjMB+C/xZFVIwkHApoPoEboP4EX6hb2Tagqd70zAJF0lPis84D5lzQE
dQueD54cwjEb/H84u7IduXFl+UUCKFHrq5Zae1/cbb8Ibfe0SO3ULn39DRm4x1UsoQR7MPM0QGeR
IjOTmZERNcirZy6fUsVrA0qCN05IgUcThfjecTPegE3gvokm606j5Da2FcuPp2Tlgv7+ztKuz08t
PMBV+CcoMZzfn9Cw2dCFDEQmpdnjIdlllKAqlekvihNrPkrBFeB6Q5KzI5QacMl4nKB4B9j4tLes
uHoZaNJObqNY+ofdoeiaKHRCBNGz5EDEmDNgd/CX3Lox65fC4apfhiXKpnXejEE0mdmrZjaYcG0K
9YU0uvIl8lpsnVjRvhlhKHZpM2Z+zPTphnE9A9NoGAJ2gTL7Q4s6/1+/b9HqRct63gnQraCkdL4b
hFukG1WOq6dNPsYpAOr6EU5rYnGXF/zcipRhhk6eGWUKK5weWfzcApGQjN51J3LpF2EDcQ7qPzbY
f+QRrLLKinByYEMAuTFBQBb0PmCdZ6Ayu27oMpyeG5rfCCfhNHHyJgS4HwFGg26Y8isStw4NpsoV
a9iei8RyLjmAAodamopCrjxwr4RtiqYLXBao5oz8vuN+Yz13xR2uSlL4VrbyDrh43OB+zlks6F3A
gwGIsLSwAfA4rctTYMUh2KpZD7nxqwFla6JWbmvTzbAmW7PoEUDyQ+cJ/xkoLFlEc0XvWwvPZ0wl
OPYjBiTy9i23Xlj30TqPHER0iDf1GkTg8jRinTgpeFLNqBGZWKBPtdGwUjCWoU+2G9QQGUpyb1b6
ynYur852HJSOQPZ8UamNoQhQ9TP/VRH2kLD5WY8g6j9Ojouypq0HmnXoIBNdruXsl6cGy3NQxsTE
HmhS5eeIrTdWaGJYwjOb16l9Hkq0524axU2UV1Lt1DXilEsEEI4NALAEFVsd2oUy03RbtGUGUQ6Q
XTWvWecP1COJH/KgSVwrfqcp5mx2qnlnl9vr93Ap1Tq1K93DWGO50ttYp103W24Nu35cU6e6vOpY
GkYAsJmY4rlgK6yavtHSHF8QSvBlvRf9bhTZLEMEgP7KI3LpUJ6akvKtpIhQAgDnhWdHDcbrzZ1t
pC7J0s31TVtbkeTvoxjyrRWDmVBFSXF4GJJ3Jyu8cPxkq4iJJX8CaQLU+hw4FPSizv3JzGJZ532D
SAvJOefJiR3XMR6r8LnFiIO5RmCpLZ0HE54Er1Swe5myM1GFgtIQnRM8yMI0quuUz9qELxco4rEO
v0GYXdFv2+hjLLzM3lFQQJR3DOMjary1uyPRPytFuFn5nE673PR5nj39/daf/j7pvJqipokRIfEA
Ej4mbjduKuuR1j8bvpLiXDY/cSPhTiFzjv4JXJz0RKCVXavMwE5UiFA536Yj2J5dwTBQkjwKc/SZ
impvkwdpAc+e/ijRtw+9VPwy6CEZvuX24JqDR8zH9WL+fL7k7Ov0p0nHvNUwjDDMmyCy40gybH6A
xgHaVtR5ibONif5VsisUP40yP/8HkjRUnmEe8gsoesuPMyHAwIQ2ewo4IgFqAhL3AACQlYu85H5P
jcx5yml6UJdODn1WRBf1e9O4RrO1sg1lL72xy8J7ba2If5n24FufrEkKoUKMRsTBHuCZBuaTTFen
dwNEP521Z+eS4wC5D0qzJrIr9GLOl4WyPY5cAW9Lkw6CrftqemJ4tujqR7o2TbbgNxAuf8sSQSzj
ouEDXWHAVnSY4vGzGVVQwwV6u7iPVDehGPVdSecWvteZNel79bEWpcrMN5jE+0kUkOhmIHrQXVNz
M/0HhegvFJuve4IFX39mUvpmMXScc6ODSa2iAWlavy9uydrBWPhgZ0YkdzP1cRxWMytk1GeuSA/I
g7Gtrg2c4BraWFv8YrhP6EmBdwwA6vPDkeWxnurjvIfpMx/2Pb9rcgoYjW9EgZ6/8Fj3GAY2809u
3oTTzqKV3+topJF5gASU9U20qUKM7LQBhBqBIga4qNsgo0h0t2D3vfP3QRCdoT8/V9oa+Mc21zj+
fgUYhgO4mlptLfGzV+zA+rz+qS/bGZDLObU1H78Td1DZkPyb5iwlFD8Lw6+VNw5uNqdxE7YnY1Dx
TUlvHDXQiofGPGRj7gntyTHe04xty7UQdDmGcvZr0Bo7/zU1ScOeEPwaB9sM6uLo1sCgfELcutub
eeSG/XtbDVvDeMgzvx/+gf4Qm/E/bk+54aigJlCjOzdvxsPgvGgTAFTFYWArAXDxfv0xIw/bKFOo
ODWHmbx+51XvR+UuF/nKJV7yG6fVG8lvlBAhgPYxqjfU3nfjf2b3olHQOh5E9LOwN5xsVw7S7GCl
yAk9NTwGwfFnI7WXMrfOmdjQqwbeShX3AMJN+atVBGl4GPQJk2BvFCWVBinOyjJ/f5MLuxCBRcER
XWK0ic+PjJUpYxUWJkbl3fpb+5EF9Cf12WcB6JzL91XiRp9ofb41t/ZxXLG98B2h+AOdGqBBoCj8
O885uTtJ1YjQAi3rzKhm237WbLshuL6tC18RmGkVEx/EgpI9ka5nmVnlILiC8Ck4OlEYDtoC0gZK
OtfgPnxRvEZvuxCvTw3+rruerMnU8kothxDHRo/dNMYIFN9P7U1MV+rgS3t3srDfj9MTOx2B/Kue
OXhPKBFQiSgmDRja+YcPdGpEk85G2Rp5Ds/tMciPOaFHnbe+WmmTLMQxCPaCcnimg8VJkGJLYipT
RhOcP3AF3tRF61GBKYWeB8WsmNjFK/u2EMrOzEmxgSt4QigEZy7VPhMA1LimuqkSCPtgYy/XdBjX
rEnHrzJatGVzWNNMv4o/IObi6tVuSHxDe0zar+tnfSFMo3I1syGBmQWBWi59WkbqCKDEEu8Iwstt
t0lfiu14qPZ1YO8dT3nlnn4f3UAO7U75AQLcoNzGNz4cjlsHkX/9t1wez/OfIm0zIaGZt5YChdpa
4LFxaPQOMJ6VOH9512AEPAEoCALadTEfZEwZOkED1quBLlJvfYFh4Mx6spT99cVcOhHYmVl2ICaH
Prqc/sRTVJCSw46qfiVWgDLWJN60PHY78zGzeo8ZKwHuEqI+l21PLErbh3d1rIYhLNL7H9yj73Xw
jJm4bRu8/HLc6Z0//crqgHuAZ3EAh1zd5zelmx6K52gzBTRAaW+71mC5vKfnP0k6yinpC3XM5s0O
AxCcdM6hbr47hp+vTUEvtKZOLQFIJHkdh5R9Ph/jCQgjFHnDkG+sJoxuwTIUb7iTGcicquJTZ2b0
xFSbbc3WSV6uf/NLzoGzTwA1i/NfQUY16nsTv6L3KrwaMFbvBM3PlLgPo1+Cc4Dj2hyVnbVycRa3
WYdujD1PYoBr7NxsWDkVzQiqz424raECkmqPtvV9MHxRrXjCxVN9Ymm+XScRJDNiUuVznTvpQb2I
0S0QrRCoTxT6jvVvnf6oNyujbYv39cSi5OptPYQeLoVFam2LPpg0C+2I+7D8h04UTtCfrodMxawP
LB/GuR9BLI+bGCvC/BBIH1ELqNqvUH8i/GVw7iBVc/3MLH+7P80W6eCGEYkjM5/Xp/ogUXcr5cF0
gtwJSL9Se150r38WKDfB1aiCAHMBS4oeAD7bTw/q+H59McvX8MSGFPxVRSkxDMagszIrdBdBhmJ2
M9WBE3KIZrx2sauM+25NMXlhZSbYWFDAR4EL9S3pjMQM6Es74cjt4xtLfUiN9+zvMw5UD09MSM6V
A7YY9yNqVEn+0GgPVfcqCsxb3GvtihtfKFmeW5J85iCAukGLEA/R9+RD96rcTd3uG+ZHNtENvXNF
7+ku+zgg57mvDzR2v77Ij3Sl/vEbwnqe4M/FUjQAESdB2CY3xkewt9hDiyawqoLAwtW39oF8iNRN
vhXb9JgzbzoMX0O90VaSx4XbcGZX8i+iRZHS6mDXDh9S8hwLz7Y9HQ49Hnd/f1TPTEmHBrzQtlWa
2Gc7/WqUd/M/1mOMZXTr9lYV39T4NgrX5rUWfNmZSekQpYqu53aM1aGc1KvvE9lWzk2+1uuZ/8q1
bycdoG5M6mm0sTBH/Ry7D6r4ofMk2FPKd6G24lMWV2SDnRT81nMNVXqAkravWd+j0qijUNChKwcY
ZJTe0DUE6OINP7Gjn8edpO80mjSwE033muGH5Uu3lqvMf0LeNhx4eJC5Tm7ICVve2KzQQkhZAEMH
RtcvulZpXjZgE2gzEwCg5GcltVEdsCZIakYqBR2M9jytcjsumgDL+NyZArBLBllh8M/osejZS30W
5ZMJaajrt2bpe8805v9vQPLvrFG1YcozsHJnjwTNdC25t9IntpbOLX3uUzPSsapi0SFSYR2s3k/5
N0u4cbhy/5c8zakJ6USxqI4w+oeV2MU3hX8Hs7OtoAA3Jm66xs66+FXAzGPbgGdpqgzZtRO9V2uC
/prBgeQvvTpbg7SuWZAWkyBZKYq5q9wgJKAOVBorWdjiBzlZwvz/T/K+qilRw3MAA1DYK9df6Dh4
cb/yRRZtQEloVjRD0U9uDUbhlItkQAu+GO4VxbeLG5p9XT++C+nrLLP9PxPz8T5ZRlpFdaKXMFGO
d43tto6vA89V3gpl15bCx7zpyn1Z8sWaDcQhehfQD5HjKNANKtryqDqycSPM2tcKPLlGXzFv4J/F
Knvm4qE+MSetrzEcBnV5mLOrm17dceubRf2x2oHd8fpGLn+rP+uSgmff2aLjEwy1ww8z3grQ2esr
R25xLWhizbpkc6dYCmO2cDKIzKAgT8uXvnzlbK9HgOI9x/FKxrViyJIycNH2bZYJOH4y7rrsBVlr
WnodcFnm3056Abqj/VmRPDEXaTaAhQC8eSZ7U1JQflY8cNaA54se2oFmAvTXoVojnzgCJYsYmso4
4iDxhVQWRqBIC5nIlQxx0eOcmJFOmtrEscoimNHIo6K8i7U5lqWXxCw2i09sA7mCxP78qhaxGefh
DBQQU4bJb3a048SnXNthnv1I+rshz4El0XIBSp56ZVJ0oSWCKoEBdLs158AQnTo3HueUW3YzwRXd
qcdsi5KvTxQXjVvQorggjIvdYcXk7/6DnH6cmpw9yYlrgqdowTYEk9o23/Onl3wPAgv1zfGEX36h
erBld+qj+oN6CiY+XOXz+n1eOjVgdaOOAQ00/CvtdkMzh045Lttg3xeYqTTiXa8A87W/bmbJbQCH
MecPqMxiGvh8kazp6FTbuAGFutXC/7rxfsSs83UbCxCreYjsf0YM6T5jeqyFwjeMtKUHCI2P4f/Q
+q5bW8fwwDM45U8xCAXSlcu9dCFOrUqln2ikaNrOVuv8yDFnVepv19e1+IksXATcbUyVyPWJSsPc
8FTiQjQg+Gg9HRM4W5CgaMITVmI2ngFlgsy/bnMpXlIgJ1Ug56FbKGcuA51APIj5fC9s9Hx0oVwY
g+arVIRn8cbeGr0Gwv665LdKE6K2N2bq9voPWDwwfxatS98SDeQ6sedFi+Ijs/bC/t62m+smlj3N
iQ3pywkMsIlygg3V3IPLxMVkHsAnD2nzMKFEXId+oYCNK7hudSnoYBAesnmICXOL/PwmpKli0zaF
UR2pVEoDgUsXOqmrpN+0fCWxWjw5c4cQFX5U+cm8ySeuhWS07RynRcus4j6IFUCA2QiXpRryxFVG
mMUvdmJs/jEnxqYiT8NBQBqGlA+j7jf9a2KvfLHFvXPAzThTPqN1IXkRBePgaZ72+GAihyK24lr2
Bx7WwOBB3YwZK/5k8Q78sSYzvwhTNMDAYEEjB8m6/X2q3iNnesxyciS5jVwBUwL6GsjwMgIhfM9U
udCOAnbNMKQ1FjGG65GVFF4+bgb9HhPOHehVwPHjdWBJaG/hy1r7y64qF3KrvmqsvSguPuNsH7IV
9tzeVTVHsh8qOWSrmg6wOO3Q81+6eGTRSsy5BIme2bio2Y+WERpmBRu1oz9iqMvNWt0byK/YgIZV
rO0oz3800fg9bhVXa9V9mawpT1+k59IvkK4+iKUaM7XxC2aQpQNoQ13flaw5ms3gG8jOR76q/z5H
0rM4D5OqCaIGbO3CwINI50kBVS88pQTwf6tggP29nWaiFDL2zRMzuvJREMXINppRglcmNKwoulEj
PdlZZdHRTZvq5BA7dr/26L6IYPhlc8aFYs4MbJUHP8yhK4aC6jlI6oytMtmbkv911jibMDGEhWGN
BfRnZ2bJaCHkY1Q22gvN9rSuXglZF85uNgFKABPVojn/lTIZ0o7CmdCC9sos22kicpXhpuIadBn+
nu4AYVGFUixgaXj8XuxXEacJdIvBkhpDcg4CVIVzMIrHaC1ULK0I5RywHCBvAhpBChWYudVrYDHw
XTJyVMkvIsSuHgjE7gxlJSotXklk20iggG+ecRbn3lvDpLjOrGRGw96F/etgTC5hOzVNvKy4V4pX
sz22xiHrXpm58txbuoqnlqX8t8u1irMqLfAKu7XErZrvNVXxDHpnsVd1WomIlzkiTslM34DnBcXw
oyzGHOssykZSgA4cAAK90J7G7sXpyiCKik0ZN25D+1tCkhtbsQ+1Gn6/HvyX1go+EUeDZiKwyb+/
wkmMBHGe0YohLzz0jb+NBnO1gm6c2PZYRd5xWI9NpK9ci+UV27h9mgmkCsRyz7+sMoyUhRFWPCTG
y6CRgzKq/qA2aOWZ0Y2p9u6YOAdSUs8IPzP9H4Zr4faw10BroE1pyQGFhky1uga3pahv7NJt6r3d
Y7gXQ+woJNlOYDtbJ9ykFFIB0L3ALMvaJ59TRdnxAgI+o8DxKtbk13fl8LBuCRxDH+/VDIRlBsZQ
lS8G32Aqu3Tc6+Ht0Ht//6WhxkIxgATINbK9812HSDxYJucAg4G/+CZpqgxybk15i9rG89TyOysO
QfnsNCv4mCWX4WByAJrJwF9eCEmotMpTDp4nTxeoArSQDzPHez70LlGjlQ7ARTKG7GAmYQH0wIDK
rEyGEpZ6RawCo7Sd8cup2y3GF/2mqF2nqfYWmuDX9/MyWZ/NoSEFWT4YRb/7fEMhN9q2yTydgNTn
eQCFna1lXkGSQLUFJt4fOod4XRtuInVNmWZhT88sS59SKcxY9Aos1+FDH8Zek1fI1qMNRkTW7qp2
eVRhCsFLB3vALER7vkhlBFOZk8E/NBM96Dx2EflvmBL5tKyCJNMxkcA2hf00mew49ea2JmtkYYuL
naHd86DGPK59/gvyCVRzLMdiJ+VHY9zWCmaSmicIXPz9/QBy3ESFD2AcSKVJK23tLKxxJ5Hmqu2h
srsArhqwO/WXkjc7JRv2eExsV47Q4okFdBFvWowFErmypJeWldsKbCZ8bxQ7bhzUaFulO51AC2XH
Jj+z3gzlJnc2Wvyq4Nnb9DvDum/XSlwLUQCkwCC1h0Oex32lFLulzsCUEb8jhnRastXpi2Xc2lXo
JezopMbm+rIXv+gfa3JVpBtGwWMB/58XndeQN1Ezfxgw77Pm8pa2V7OR4P0mzkJJ6/zohJik69t2
AgUKAa2fwr3YaZ9ytTwymjwNTvV4fV1LKQuegiC8QL0O0++yX6/JQDgE6gtgAUdIq5ZuWW9AYuTq
5W2eedDQDPlTmH/jNvcA4bhuXF+4qKe254t8EsiTrldJBe02TAJH3hTGNypbYy1ceIihe4DBchM9
BB2Q13MTXV2WzA5tEDADiW7HrWeQEVkg319fyQL5BYgJEJxn7iLIH8rdSaPVjQ40U3BvlVNsecR0
EPFnmPm0I8fvjCHdYhgMLHImjAPMVo+AqrJoRGIYGa8Kgs2+K7JxxRMunKWZyQT/AZYOby+5IaCp
9Wy08Fgqkro1PTyCwhubJWDidLQUub1V0eRoKGG8xqUy3z0pWUDHASkaiLyISeSegMkTsy1QXoDy
VqBVd70pfG0yAUwsvdT+yGrQ9699gAWnf2ZS+tC8zZ2+G2DSsgdflK9ORTwyZIGuJA8YjsDQA+Rv
kdkMbqqRbeo4Xh9qK22dyykxhFdj/ledJW8BLT8/bdmIJC1ucZkqyt0uRTEMGtrC+Oxoc9RJ5oUJ
Ap7+4XATtaNqq7cQalPzHc8eKtvcJUbjhuB2jU1+DG1zyzTFHcrVAu/SrTOgdqJTPPFQIpFORVe3
cTQ6uHV5ZyObO7TJexy66HSFdfQa6+Ve5+9qDeg7mJ81TEvGcQVC5rWR76WLies4D9OiUmPIoQsX
ACPyExIfTpXG47o67Cojyz1aVytPo2VLeGfawDvjDSidDBVw2LSdSwaxru1sle3qLg3M1FoJjEsR
wsLo8wx8B7eU7AEGQhUw6malZzNUBmtIiH7yotjoa2xvix4bACIUPzFWDkoU6ZDlIzfiJhalV4gw
1ALGSbYxSNUgcVOAEbNH601tVXWXYRLzprZq9cY2K/Wo5yVUB0G+txJBFtaNp66KeQL0M/HP7IRO
nDjeYl0VTyDqSvn4zlP05JTqtlHI3q7XBuYW01cMsSHeo6Y3U3yc2yqUElirEI2JunI7fhMWn63y
pTWBpb8b2hblTDSHrzv2y8bSXL47MTkv/2R5PG7BdpzAJGSw/OoNBZGnn+BmxNvWbY8YBXUfDuw/
8Ht4lp+tuJOFnT0zLe3syMqqduKu9OL8uyBAz6fQtbnvabPyKlgIE2d25kzrZIlhFpKibmFH0VJQ
CCle4gyeMtR7iIe7VGErW7qUuJ3uqJS49RRzE7zHjqbN+1QN7lQ+9/yJKH4RAjm0NpiGuQb8fCkY
oUaBJAfD9FA0k6PgFGexlVOkbqisWS0YBIeh2tYCjbQAnsE8VI0maBA5lrMZs6b6RspKe1AMZ6SH
xsqA9u5LddiYCcVgTov6W7TRp3F81MYCUFc6UZo+wMmKLRDUurXjYTJ8JOpQAAM7RjRgUwRvH9lR
cqyF0/S+VjEdxBZmV7BgMJTqkBJ0SPh8O2muhYqXtUT9dBpS77S6T0afZI7C/Y7FueXVQ2jfGYqI
DVdV7fKBRjp5EZqavhskswmYtuwJj0ewXxNP52qouaxo4n2b9RTPodFJfNViFX6D3d51VkgNKFAp
0Yda8dJHMb16poICmowWYB+0cUN+oNcJl6YTbkJNLQP528ZgQjtEfTFkblPOHWYQkBsMtO5Kti/h
XiBwqqa6DxQd2TlCAwC4SVttwuz4gAZNPOQCHpiM3aFPmAN5hyi2PwsVwyhjazlfSVSq+4w6HORr
ZPSdFCzbB+iVgJujGTvsW4FNdqM6BhucsNoWxAiNGXot0bP/RDm2tyZ4KmtPTeKw3fCwZaDfrmLj
K3PC5kPlzWh70MyofgEpmT8XvJhC1xDg+21sxflKDWzvk1VY0V2lDhgfjca0oG4P4hi9mUTQVRho
RUxD6Owx+97loTZ4rGz2WdPGh6nv8z3qp9qeNIP9IYYSnCxazrJiU9U4YUo10PxgGCPNbnOjsAMN
GpWRX6VtfqRFF94SrVSq3ZirVgRVYaKAdB1nFxrRWvGuVWMIojEH+F2vGicBAT7LcIrHcojZ0axG
qnvowonJzQch0NnvihrieAmLNjHr6zvFmNRnvRo4OBZFN4GNnBaa+lAaXV4Gba+2EXqQFb0Zeq0O
KN5WPztnBIWOaeYGerGama28XBejGGrl4M2dvfkFT0lVNTg9WYmoTGZmpi0Tt1r/PeF3FA2heEeL
r2ryR3pjgrHuuktfMo3HMkqHtoMwCv6qc39XdI0j6gQJUMONm7rr7ozoMwHrpZGUWw3mIEC3KbT+
KDDbWwNo0uhrUzQLLhDEOpg2APQTDEFyeypXyJQxpMheq6iu5m2Nm7bXcSuJx3i+ub7cBe9OgZY0
kWJp4LiWK5eqkhq12iioXLauad6VmenxejeGLyFdU8VdWhZqZjND7NyclYtZ5djDbQqw/Ye1jiqp
0IuDSoY2dYF1AgM+vEjrT5GaQNuqNft+5bsuhMuzREQKY6kCkKtiIhERg9jZwoAQOD4xRnIj+nB9
SxfWCcJu3UGFH4PZkE85P0B0GJ3KHsFgFXd5EIKHydeU4lkZ+iC2ssDGbNswrA05LmTtZzalPMQC
YSPrYthM297NK4qE/fn6qhbyZFCWISPHswBtdRkxFpYO1+uxRuvHAH9PDrT6UEEeYYUfbXHv/liR
n4Y5i9tu6ltQ97cOgqryjScQPMlNT7HSjRXp2y5Stn+9MAyMA7eIywbufvlzNXSsOXT4EMbA51CT
FolGuE+5+vfpGvikwFcKhWpUb+SyY4MOhF0yiG/EahNUxg6EY8ioXjCsdn05S69MzKnh2YQrhsRN
9h4jeIlpGfESskh9/y6GxEINfoRcnNd0KZQXMEKFX8HiZJxcs9dD0x2RhPwIu7YT0H2Mkps8Uq0j
qztnxyKTBWFYRkfGeyVQ9bRDrbI2k9BPmr54GFLTFq5WdRhKub6MpRrByXGTC09FA67lKQFbAOB8
Zvpgh1/asOcQe00fWPZsdv9dN7foHU7O3ZwlniS5ccM1jHjBHAtv7WEHwPJUfdPXhk8Xb+mJFXpu
hRsocdP5dFcWyml9jCpPwtbmkJeeQThnqK1ogHDAAc2/4mQtTsdzg7QV9CZNlFfZBDAKiGemH4zm
rsp+9Nks1prp6krivuAgzsxKbi+p80yrYphtjT4oM8CYx23arhhZ2kECgQ0IeBMQfMlPvCal9dgR
vG47NPYiyu6TaG1GaM2E5ErVokKsjGAiyxLcjZA9as2apNzCXsHRqOiig6xpbtmdf6IKqjNdWgOt
bpPyKa+VjyhMN1lYrjy+ly7RqRnpVLc8rczGhpkZsZreF02GDOIWrFCpE9DuLTNXXOlCMoFlYUkg
SZ0pcqQjkAm0WzIDZbxmhE5U0dzHs4LRoB8ggQr2vDWZskVzNv4m+EVnOIJkLp5MYbYqXqYh2lPq
lAaGMH2tBOkSZbfl2szxUmgCaOd/1qRzIbphUOIR1irlfuprV9M+6+S2MTYMLW2IQF13SEufTjWB
EQIkwbEuGKX0hGsT6ydYM//TrcCxtkP/lcYvTh/6ov0cAK2/bnBpMw20pFAMx0w1avrnR1KnAxqN
USLADjMERhGCJyHVB7dNYm9k1ui1ZvvzusWlSwCsjgMgEBAeVCaHythQOIVVomldRK46mPdRZGyh
fMX+YWV4+MwcfUhdTJmN2R5Hi+Ou5SAnCbrpCIlasI0GrMKzZw1ZtrSJJ5VtOUmiIUq/U4ok06re
C0Lcgr+OJiZGwt241uC6LD0B8I724f8D9WR1siq3hZ5OAOpN94R50VOO+h2ysjsnmO64x/fRi7OF
DjfEEHzE8LtivzaudOEopR8geZc0EooWqfgBGfjf5tmLbm18d4EK5XyNUsC0FJIpQwx44LBRN8Yz
e2HM73z9gHLKUcTuxDzr4EXfgetwQT29uX4+Lz7m7/XB2eNZNLeHpBuRZSCuR1YNFGn8RSfFnXoX
FREnfzXWOGHXLEk7Cf6LgdUzrLMl4D6G3JnjUf7YdSBI+f4va8KVmwEF86jc+S1vQFJHG3MAHg8U
RFZzVwmvs1/AUtnhVlw3dXG9sX2/OSotiuIaxMXPTZlQN+M0m8+n0QUJVGBFi5E27dt1K5fPdcmM
5JY5U+JCq2BG2YW3xQd66cOTjkb+Te8bEHtzgXi5bnH+g2cFw98GwSuId/NvqtjzdRXoqEO0acTA
mfUR068BXT0R3tfmCspk6UzMCfxvtmgA4aTT19ZtH1UMXypSbtpoT7S7tD9qxWNrrjy5fnc4LhZ0
Ykk6fSQzipY185lQy+1UOce4AVsWzSn6gGXrqx2E6Aux1VAeHOr6szTe/2FDsUICimiA4mS+mbay
p6lx5g2toCii6H4kggaA4+jrup3FA3liZw7wJ3mxrSgpKIAIdtQ+xsZRjzfKGj7yN+Xl5V7+WYt0
vzJ1RGqAVMQjj+ajumedqz3W/2EksdmZz43lK69h5E4e9zGCF1xf3kXGMJ/LP8ujEpo/GcwStXNs
49C9oQLhimEXD2ja068RdB3aeEfo7rrFxZsAXndgAyA+qMpH1LJHrVdDbGgG6g/o8JrqFxv9SFsr
HC1eBXAP2KC6Q9dUBj1kI2+1GE1yL4GIV/xR8helD+ry3lgb7l5c0DxJOBfEUHmT7lzaRjWkLzTc
hFTZm9WX7XS/nBTQhkqs3O41S9Kdq9KQj2EFS7326NhoA77R2vJAY7lyKBYjqH6yJCmCYlwRGLZQ
xZKEfTt1hUvNyuvy+BXd/6cqaW84gYwRe9FKqG2xB9QUXIVPQW9/11HbHAGJmkzuWSLe6x3b/8P5
Ofltc4JxciHbFPm6LvDbVOHXTlDqt4Rh/urpupWLvH2+FyZwE5ibQDdZHtuOhNNragcaN3v4kbZf
XedBsJyIw1h6/ed1U4vMDqe2pM/KMsRBDIBhTinI3zFrdg9WRSie+FHjIx2DuIkHbFvxc03/YykT
02esK0jjAH23pI+sj7Ha28l8QYb7Qr2vm7UxjcXjemJA+lIJVcoxETAgzNSP6c3Y+Kmgm24NJb/o
ok/szP//5ERYWtFlZgs7Bv/Bs8k1MJWX/Lz+kRa9yYmNea0nNhRdQd9mtjG2mRsn70MZeQl02eP2
yV5j9FncN3Ce679RaCDGOrfVRx2G5UbYqiBRDVOYQyAYwlgpLS6e8BMrUmBjVd2DEQGen+HKmnHQ
AK9RBC1B1Wyj2y/Xt28xzJwYkyIcVGx7qs4aGpzchqDvrMEgunHUFxah7b4T/Pt1cys7KCPrcjwB
NGP8nRy8t8V2wKgmfYmIf93KctxGWjyLggBJLD/c9HKkE6Nz3M6O1qZ7J0Hkkhjyuu74kLv1g7E1
n1v/A9q8K9nk4on/Y1gueKtlkbR5AcO1Ym8nNfGF2dyGjbXiahc9xIkZKbIZHPQYYQwzDEp1nEEW
921lBy8Q4LObPbEguT5BaZboLSxM2pcOhKCodr3zTdefNPHGQOmnqAe7WItui3f5xKjk+AbWEVNP
YNQoEc0wroxs3E84c/H48an12UKti+VPrYkXiPN94MxT2reC5C8ddD1EDDCV3r9e34jFA3vykyRX
qUCN2sDwUeqhHYPZueeyBK/uU7XWtVj6oGBdB0EjIEuz7NO5Z8nKJusKzFd5jebzEcqH07RyMhdf
VicmLq6ewSO7wDSgF90lwQARTjfc8Ndp226ST1TKURi6vnOrBqVDahYRgAkzN2N8037l+/DQYVbD
RZtp+iKuBmzN5rrBpU91ukDpyDpRYlYZt7GH3dtA/MF6VK13468bj7gYp1akMxrGOA5UYFVj+t8A
faoocZvhR+N8XV/MkiMBKc2MMjUggSF7MLMv6hj0VkjGMT+MB4ehb6a/F96b1/LHiOytbK0kDOgQ
5AFofmfRsyN8J360K7eOj3UR+yXE1a4vaym2nVqUzgTRIgfyIbBois3/kfZdO5LjwLJfJEAiZV9l
ynRVtTcz/SJMj5GnvP36G2qcM61i6RaxcxazuwM00KGkSSaTmRFq4LQEe5zYIzv2vxIm4pIRjKHB
LQjTajvUVwNMyp+T1h26Fyo4ztZIDJFixds+JgltMny5UdNIajW2qIvRqvrZgETBbhjJxiinb1au
JHbSm/12qKvRjYKO3Jh6+q3PS3Shx54V/dTQT6Vl/YYOUyOIIdY8KfgzkOfSZbhx/r3NIq0ayjlS
UGYnoeU2gkCTjw6MH7FuNyJx67VhXmJxw1wFuSxlKLN0irK3QZTmTNVPVUTIt7a5lyDctkNIFJhj
CxAGodg+UNw87W4zKbGnf+Ke+lTWnbVLUNo727uIKBH2mWEdDDj6FFcbEjtkP65vgtXJmaV7/wdg
tnUBIMcoEzcyAAQKiC/Bek3byPa711z1FCaqIF07WaAXZpimgRoNFKKcg7WmOsrRoM5MQe9F/7Ps
N9eNWZv95e/njCnDVjUCn+JGivRtQGs3NJ6bQVRBtDZkS5T554shY2jB9DOQ5Dt5vO+0rS97qtKh
vBw33Kd/sAeKSqh2wmkM9ohzpLTPctOc6bpRtO+U9YaiQYoYAr+xOilfIJ9vvktzNL8jtQwQH7Tq
prFFsYfA0a7tFwP0ppRgKYOahTODVaCTHWIcU7TcTRCLZqgVe4z/haZtgXIp56vhxYDADhJsMuXP
AKW167Nx2WqBIwq1bdCxwJ0fxNKcHW2rwb+MQNDBL8HUPXILeov2vC1UOE1/X1Rv2KFJs0WJBGgC
XQ23zOtfsD6Qfz9A5/JwUE6PK9S0zenU0KlM29df8vrbIGppWN1GX3byTbaBHCm5UsNORUHnAs6G
9MkShS6rmwgvZ+ixRD0luh3Pl7Y/0pp0MRI0jLxq1ZMW7WW2z2svFuUu1055FCr8BeJ9AsnHIA6R
DkMWkfSnvn8ZpZ3afKuynSoi7CDz8cLnaJdgnGtQc6utUHqKsK+1p43xZNmRPcY23unuj/bb2+TY
3tHzdHtHRe88q7t4YSZ3Ue/zmKWjAeQYta4TGgCLSHCMrxKcLo3jln+c9bEVDICgd23m1o+SI91K
TrkNToZXuuW+cDx78IKn3mUv6jFwRffZ1Zv04gP45c/MSg8nCWvGfFeegtv8FXKMjR0//Zbe63vl
4aZ10S9yEnVACxYQvxtyMqA4zQQqyUIoQoO45Gi2x7Jx1eQ91f9rgR9cjDkLr6G1EF0GfP/mFFhq
2s7OeEjyTUSI0xravp2qXa1Y0Joa7KYqBAxWq27NpKDug4qygooRLpyhjR9FforQNI8cn8o2iFEo
uoga6c4v95ppR/5vxMp2XN4m5GgkbiPs7Fy74C+/YF7ciyNIMqtOiTp8QZDfkgGVmiDx2BTpKQxO
FdZX/OjjwnvdlV6WMs0jrUIPDu8aZK6DOMcE417TRK2FSw0oznsVL833UXEvVYdQh/i3DpmdPLEh
JyOAnX8t7yFAXoDTA+obKGThPERqmixjOmAtELX8KpKpxlOK1R/aAVXsrJ6Jc8E1ui0hZQGt9pji
QkJ6XFLNScaXgbupa/t/IQWcHwPRrwdZBhQmnw9FG0MWvCIBusSqx5q+pajxjNARcd3ytbNrCTK7
zsUcEzaNTeaHmaNKnhne6OYdwiUQcFxHWXODSxRuVtNxMjpJhim4Z9hGiWJVEf+oyA5urfqykslM
AYKWPPQZsobAgNp4KCpQWDsgLWjronh63ph8sJGYcl4WVZw5UlC9xoZ1XynSLdWHg6m325o0u+sD
t3bmQ2cbGX4oJEJPgnPuJdKuzJpm7RQ5t1nzrTT/FCiDuA6yOjtfIHyoOeAJUe0tSIyYdetUKjpF
RKHmikTT3NeHSnCU2+LRl79s5kHvB8yHHWFkl5md/ZHuosNwKDbsgMtNdDS8HkfF5Om34Y22v27e
6nM3etFQ3Y+KIJTecYOoIFFiljXWRh46nWXjgDomp7J/SvaJG29Ro3Adb3WJfO1bPlGnJZC6DJoo
Q/oHqj3Bzxaah4n1ixX3Qv2A1eXxBcUn7BR1NPsogmVDkLpRPB2jIXTJ0AveLlcXyNei50/4JIti
bfJhUae120EZHiYcf9cHbdUSdPGBzWmuoOd1iHTF17ogA0Rd/KRQWEpCrw++X8dYK6BC+SVKpPF2
DZ1dg/PymZ5WKCWFvGjvTBvrqDrBTfC72oVvwUPxgcQjfQSVCvkFAcH5zR5lamyfvF3/hhU7zz6B
CwhbvQ60UioyR65HX0WxqSzfQ2g5NlyVgWTEu462lmA1FQ3FTLidkLk6+Ny9yzT1aafCYhWNQ7GE
w0s7+ijeag0U6DjFlNhmOxMS3dOq2aC/S7AVVoK0M3judJE7Eid6UmFW1Y2EpymI8nbo4SodKt/J
kiASXosdztC4U6aGHEOSRECj9LFBumFC2T041I3wtaU42JGAO/rNPxxtZ6DcwaONlqqiYRB1tsVd
EfQI8kXXy7XryxnEvKYWZ3RAzTyTUtglSQ++tqlNj4aBq8onzf+WzK2Ckl39opmE1i50/76ho2Lm
20VWxzFAPRodev2nHHwfy2ezE5F2rY+5rhF41XmN8dSuUBLJymjAt7XFawa91+6HNm36wtxm1bM6
uVh8YJ4Wious7CITncV4CZkf1y9YyWik5WloYtDHG/m3+r0E6/SudDUneQaP30HZl14vg1hWsJlW
HDuu8TKyDSjPhTvk5iGMpYZJBHt32Iwe+eG/E2+CFhD6+YLf7FbfZHcWVvY+fhAdn6vmaiDvBRMb
kv386SmPql8qUBtx/MGO6asO4ohmc924VdtwtQGvNlKaBi99l0oyHdANi51K6NYYfqLzdwxqZ2Db
Id5eh1oJ1WZ+lr9Q3I4pwZRp6jmgQsVNJdAp7yy2HQ2BQStn1hkKN1mQnJu7+oBiJtuB3NWmiDdh
dVIWZsxmLnZlH2s5KSIAxMTRg5eo24SipoG1yGVmj8NzyFz3eyGiEIaVVEUdiPuNSPagRGGbipcl
H2jGiZQjhcBGsgExFUR1RLTXa/v6DJk7pySaQkWYzpIB5UOLZ/EMpSwfSA5OeKco3AqPdKL01iok
OggI2NTmInH+DqZYsZ/SDg8lyNKk9XMOsSkwVSZgjxtbOwbFmDTi/uBeX4wrszi3LfwF5e2UzXhM
ZkZcNt3n+r2s/NGHn9chVg7BMwgu/Kz8YKLlAIjAdOTRrgxb3wegCxhNwWn7WTfJ3WKXSPxjXd01
Ghh0gESL/llry5vYn/ngYnAMjxhI6jb0T5V+05Un3CZK/ZgNIYi+UHdj2nIS26YW7qNOR9d75Qb6
C/Fl0JX+jCARhSJKu9PY/dBrdzEU3q4P0IpDOPtsPkiJulDRanx2h3wGyTe98mqhXpJ512FW5wGK
tKgptEBCw+c2AzX0C/QzIm2vT+prZFnZe4BlCPFjlYa4hmjw7A3TQbImoxP9v1+yNGiJYQ8rcysT
nB/nLtIyg6BahIqt9CmXDywVWHe5kPH7DRxOgNDAOTr/fOGOsg70on6M31/joRZNt+ijTjaW/O36
GK5UFwIGhbvIlOCdDljnMHPBh5ZrUI5Jo0dQjPTJRqbbIXD1IAC38502uWVnG9axccpnTbUbxyG2
VmwmkWtcM1dHnznCjlkFgK9EbcJCiUcCc8v8d57ox2aUtmNLRJXSl8ci+IrwDzp7dTyM8VnGJmVK
mTYlknCjrT3L286VX7Mb/2ictMppbOOU/WJOdkhvRBp0n6w753sZyOBRkcFCgfYqvkZ6kuVWKmQ4
4F7Xp9CWcL3+o6Dc8ID2/5mzOG1Qy9/MDMZRTuuHfEghGTRlSkVdJYryexA/IMYO0jqCDJNV6y4F
v5HX11WHCnm9zZgNdo8AzexlEj77Rls/91OOuaNyYu6IH4vO43lhXNiDWm9QiiGfibac84VTtlmq
q3GFl3Y1QG6mMFovtVLFMSTTtEuSHccqRYieQpkGcZaonPGyRxaBG1qCcBfCg9dlG4Tip6gzr7D5
4z15939QuzhKyFFbjroHI/m3DinqHTrQmX2T3am3YHARhCOXPu4M//PwW2xPSQFVm2wBP0//BPrB
j7ad/6ZlgtBqdVd8WfkZTyxQQFjQxdosiWHWjwm4PSpociov113A2pZAny4qbEHuMzOun09kW4Mp
v6Dd3ARU3JNWO4UW3er+hCM6t03JFxzQl3Ec6oXRQA3mbBCNXnCWgShDCpQWJqH9CULixCah4K19
FQH5ZkRZ+nws8J7Tzwkh4RwCGPrGUtFtVwnEDFaHbIHAhYpjiQoTsG3j+SB/6HxwTD7J8cFKQMwi
6tm/POMwWtasw4psFxhfOPfc+l0FKawey3y6RTuAXO780GO9rYEMV1hpPt+n+S29ALugckdkU7G5
Hawq3Yyc+nGblZ4J7tBgp6ubgbp5fZdF6K7fmSDxuL4KV4R2zyzlm+F8KZt7GgFe3tYP8mBLL5Yz
ev32V3rS3BO43ULX2L4pOzvYF7aChhYwNtnMAcOZl6EyV/A5axtvORTkfFOgbRkVX/O4y+Wxwoum
tQtCgQdZc6BLCC67UYSW7ytz91+buu2wJyh5nNy+wcviRjKdWkjwu7otwMhCka/CYuJTRwNLEpWh
itQJik3d3MvTNxLvzPpuRAte89uk+1R9LyTwHLPEyeUftfafk47Y9EiwawYq3HEh4LalX+pB3FLY
m0EYFUogdkcE3nLNQlTnowAYzNHoROIQ5KkoEqLPJbIU2jDZCcSXgmWxkn+DEXjGAh8axBUovx+r
UpJLP0HDDBQHfP2QjY+KtZOSU9B4ue4GVmKXNQrd8EfwfLjmCBbA/N5MjC5oug7AaFazpK1CP+Lm
Vhlf6uJG+e81/GdG8lsxHuGKitnIAnTf9fijmMiNFEbu9R0vsojfYiVL9XFu5goptfXpLmUH3ER8
/UNudih0FqCtbejl+HG7rUXZXp3Is02ovTLe6+Ym7r9fN2jtVIDwjDzr2KGZnb8RFIVWVWUDHRHT
V1GyUkW/ow4Mj30+jV44BJMHgVkRy+LaIM5pOjywouodBIjnfmqQQhpZcyFeljw1DWjpHUl+yRV7
tEC/9XzdvpUhBJE/WOFBDg9mR56iXG07JZd0YDUWEr9E1Z+LRp82qRGNgm224hpn8hO8MOJiNxPx
nFsVyD4uvtCDdCIW2coY3Qb5PZqZbiWluCnobSjTjakhPL5u38X8Ia2OhzkT8STacMBueo6aU5+g
qJxh/6L+K2+/l59sMtGetcEN8t7762gXM8ehzT9fhHYIj2K9LYHWlXtJeYmrG60PH6aqB+1CbFMz
EjhHkXXcmLJs6uKoAl5aD5vMoPeFXkOxKPWiJr4dcnAPXrfvIkA+t4+vEzMbkhpGBKq2TmmQ53yu
6j+l8WsQ9YZdptQ4HC7Z0Jh+FBcMOI1F3uskDu0qZtIBSuNHkmVQWR4GHcTVA5QTIHnhNaT7IzVF
InAvIms5Z1ZH5qgos7WVtCGmW6AktkUrzyAkP1+dRkgiYH0iHQpy5fNlA82EjFgjpjEsTlm5GZIH
uGpbr95C0Qv86gJdIKnnSL1kWGwagGSRVzwkgSKRodoKrO5tYtpBL9rzqyMIwlOkw8EDgnTEOZwq
9WkTgdXOaUogRYqbYYM3Eznp6Jr+h6W5gJo/ZbH14iop5IICqjCUJxOsdLGGTGSv7ytNJHB54TPn
1bmA4nxKHUuMkQaDqAbWA2hlUfvefqhmLbBofRcscDhvEqt4je/DokYDqkcnl4FHjISFy7A2yvQZ
vdgZ5LrQkS0KFUSzxnmVxAiHNq8wlCVFcohYuZ1WLWrgc7dnmsilXDZnfo4mmGkUyJLMA3s+cWWW
FzNVZA0JnuF3WigOCqbuzCHYN1n0zWcZso11+ycGKUhisWNoyqgXqd249F08Fb+p6Ju9vpBmvLML
0/n38O/onWSwom8/Rx3ETHLlmGpnp6EO9pWNpLvg6Cnq/h88DU5fvB0g74Jjn1tRUp5qdGAVZlrO
IVjBDE/NR3cqKhdHiuCee5nCh4FLMG5ZpZ2UmyDdrtGScqDdAUyOanTsMzc3XkB6mlpvIR4Pro/p
ZUaSw+QmOSunBi2DwFSVGxbdZQ0GsnCb+ClBmNi6an4K5F0SezXI65rTaO6U/iZsHo0I8dUhCkQV
n2s7eDEEvMSeJEEYhqb4nFoL3vuk/qWTZFsM/n+9HX1ajUpElG7PEtic+1MQatMoB0xsoCRDZ9+R
73u4PrJrRwfyIX8hOLdnBVT30X2DgY1ru1YPNQ7/SbpXkldfFqRgRFDcItWtZtZyxcaoIBgYZg+1
VG4KA1T0DBdbwcitT9CXWdwaberQz1LUAzlwRGCEdwMJxXyqQMZlHWQmM0e6ESl/zqBksMyolrDr
khq1LHEIWn//UFAmmKK1MxdMhn9hOFuqKM39cqprZ2KnoXrWpfpbzW7ztNnoSImEIAwXRGmrB8cS
kdttEwTN5LgBYstAdZvvrN8wjt6OhX0TSc4E1qjuvxOWwqnMImqfpM2gLD334g3i0KYdMJZy0Bxj
lGtJRu+lzS1akBsq4Ia/rLqd99UCjItiijRggRbBvqig3gDC3jBDMXVROX6x6QLFVjq0lbzm1gO6
XSEE3Cp2KuKkWB/jxTdweztgU4psMQzWddvy3wf1EWSLWQPpApxgEODoK9tU72rj+/X9LsTlNjyE
XEIDDwTYhagLwsuD3D3kYBUhmwIMwlKa2YUOyifVVRAZXIde3S4Li7ntwrJOitkI5AKvAnJ3M+nD
thPdaOap409fPBXBWSJwQo6Ui/ylHuoCUtDWDplkF4wJuDU17bfrhnzG09dAuMC+t6rGsIYGjNPW
HRjVGvJmWdtKOmbqLVganfLNItu6uTXzn40lGMRVZ7Cwj9snUpmoUmcBmqYNKBllewJtSoiWBtAI
69aukAzRq8paPAMRMg2S4nhUBdfp+c7UChbLwQREqXgeu1Nj2Ua08YveTmlpt81O3P59UZI+b88v
RP507UyS1iMDYmdsG+Lp+f2YTGiMy10WzgxG6Est8DYm6lZZXZ8U2k0o3UThEd9qi/aehGkDnvxy
6VgPD4l/YsH++spZXZ1fEPzbfdCyMp9bmZwSEklQanD7VET4J7CCLyPKFL+X0tkKDc/5VZK7wXgI
w9/X7ViPAVVIFs1SV9Bh45ahHChpJJlASZPwO/6+VSpzVxmFF/sTeM7pttcfGN6XEPiKOJFXd8AC
mnPeU5VlEwoYAK28FkNoW2ln91G7b/3vtH+vS5Hu4er6X+DNA764GJYoW4j7bh5Qa9rSadiC3d4r
cmJnVncXlPpWnrkXUhHvqshMzk9nQzdQeYYllvQq+R9dWoZgwBw3OX1XuszrSSG6L64uHTy0f/a1
o0SXm9Q2VDOrmTCyERk3hAzQkCxOEdjDTHO6jZWXSBl3A7T5bGOMCsTZKKa1pDc5sWyz9re5Lmop
Xd0tM+G2gsoosLZznkdFzXoba2blTOWwTUn7OIRUsCFXY9K/ELrMdfV1BS6kUwgI2tq9dovLS5xs
TRWt2IKAdO1OjODmf2zB3eF8FUmtZmTWYCDEgHBBhBK/Fq9XaEHZMeGT3fo0fkFxpxO66vNInqex
a3ad/mD2b40iOhT+Pw7gC4RbK0xvJnlsYI+RBcjmQS8BRbhJehP5eKxiHprLSYDrby1qZRECc9sf
/QVtAVlMWCc34LBGOQQFxdSuQ/cOZEVGfUfL29IQhOCiIeV8AMQoEzOWAMqIa6Bw3Q+2Rt0Jwu5V
EHRmg08c/6JE83yJUJZmgznPG0NxxhAVW3XUPVD2ONd99+qSX8BwjqUk+mjGOmCQZrfb4qNCr1WQ
o2ot3vj+IABbXfYLMC7mU6zGyKsRYOXI7DG9LTrVGYMfdS56yhEBze504aX1QKlwRwJQxO7jfqvA
KMOE/LjgxU00R5xL0gocAEmMhSAbyH8E2VMoj5usrJ+uz9E6DAqt0TqLtjCe3Kws8jCrJ7glBc2A
PR2Rx34awLbzf0PhHAVLiirA00flDI22U6zwGXKH25hZgmvy6kmGFvT/NYZzFW1kpEFrWvCxuPdP
4Vb1madFuwbXyTJwJ9HtVTR2nIOAGGSvtjng0NAYEqcgnR1HolIAkU3cXkWyJrT0AUOXoWrNrYgV
xtC7yH5EqTl5Deosa3RA9dSj6dQ+X5+11f2rU5TloDIP/AScfVVZp41u+YDWDoiOB6VyaePS0JGV
f0llgv3gLxRnZZ2i6YQVgFJoe6TBCDG1xyHD85vcBh9dle4pHjD7AoJD101cncIFLueiVDkZujiR
EPtgdbRgKULpdTD0gkTm6hwuUDjfRBOQbtPZOlN1m/SxADuKgod0UH8XleUJSztWPdQCjvNQU9u1
lpLBqDTwOiSCu2JL63dVbwWDJ8LhXJSS9p1ZyjCLlI09zFFjGSH5nDy1eSyKGOeo5eIi/NcmhQ+f
IAmb+ZEJLCt8ifp9CB7KBGILrTP1vp0mT5P1Z5Cfc1XUMXnZjj5fERfAXDg1SHqqTxmAo9pE0fqf
2reCjTlAdgqurEykbVY8dd1oW53p9ghWiw7sHVD1IhSc1p3xCKL1+zGTRS8715cUHsbPTyHWGCre
3THHTfzSdAfNfGjy8CZOX3X9PalEynjzTF6OPvrVoWuE/lG+YZ0qY1FUKZxQlco2lEG6fLAjWttM
2Q/sx5iiRDj8l/P8syUHKgfo4eM8wpD4hEQVnCsu6Oi58urme01/lyKW5PUMywKH8wBSO8Zx7cM0
A9wGbJ9FINL7mVa7rHsYla1C9kPxq2pfyvQBbTPude+zniLDXUDGwymSHnzNhtpKYdP3WFxV42nV
YWo9EGzbNL8t8hurcWPDbsvKDkA4ch149tyX8/kX97OzcRHDsGAqxy6B0ZNC7BQV/f4g2rCrqZUv
0/gOzLGTmjRVAGEyFN/DisLY6Yhk0Q2ZQDRpbDf6uEmD/1wX/7ldvyzj9oXBGKqcOywbTTIwde3r
VKXb64O3fmZ8QXBRhqZHbS1DBMCx8lMFSdEofzZw/F8HWd9xXyDc2QuGYVMawcLs4I3PVqV9PfMU
EGrXmDB9eGySm0naXYcULQpux6W9nLGWAJL5qGE20hs/Z+/XIdZPjC+ruM2mUx9FGSaC2hKlxKw6
MT/ftvopAhvVvwB9xRPcHEHMqvdVCveoGugEz+LAIcz0uoHZuam+XcdadcULD8Kd7qpZkkaflxyI
j1IdNWTJa40X6NbctAHa0UQdoqtjuIDjTne9qBUoQAEugCRhdKsWTmneMU3gmlYXwwKFO9shDKqj
ZQsoXTLtNa39pbREEK1fNwTPjudHWCrHVsEiQERl5YaITiRqV9J9Wm6uz8/qfjXnZxhFVlWLlwkB
Bzdp4gzdh2TIT5JKT3omv+qV8XgdZt2ZL3C4xY0ekqT1KfwC7d/wlKVQL442VLEbLfDkCnJxOzDi
hWA2FeDOa/nCmS9wufVHRqmu22k+RFBSVXXljT9RG5dH12eDzZLKC60fNQt/FpCZKUrDZm19NAyQ
2l3/jtXpXHwGty6pPzHaN3NEkrY3hVocahR1ZcNgE0nUwjxbdM1ibnFmllb0uH1VTpv90rBwqhiX
O5QV92+gbRV4RYFZF6z4deIzFOJiu1WbIIwcYFmjI6sCz7jqROazC5xjIMkxuUlU1UGPjR6LtBy3
av0blToFmiQj2dWal0quBbt79XRZoHFzZbVG0hgD5kru30n1oncHYr32foiehQMrNmPTCvagCJCb
saT2JRUqPTCPxXagO0w6KWi+qPLbjHqa7lFROmjVf31ZyBcsa2EImSISYtOboEVApmGKm+frC369
VGSBwV0N/BrlPmyAUXIqP1hRb81ynh2aW0nnKulwW/bxndzUPyvaT46hTi+1P+0l00f+MLqLqpnd
rUpjL0+pD7F00Mv0Yw5GcQsivYIvJSsbZlaTnAv3tFmonHO1vtTIGUSMnJTiWb8Otuj3QnNUXuxI
jK7MMrkJu2arFgkYNeGp4n4/NJYoCXRJPICxmiX5NJCno772MxRfRJ1BAaXhdp6T0QHFLNpAHeMb
/odCMeNWq+3G+y5/NI78KB3ZtnkBa0z6IB3H7fWxWDsNlh8xL5zFRzQUTB6FhKEoQYU59MomVx2d
GgJnuIYC4qn/3c7WPCELFB9thhAyxtKI5elGwrtRWqi3QQll7/9uzRKHi3MglhoXsYGNjCzujvq5
VxroPVBFSfh17wSGI0PG66zO8wah1S5HWRvMMfSXTp/sOnPbBo2Zowf2FlkX9cKvH6Vo2oZCDvhQ
UdV+PnxBbwx+omKlpImTGqOdt8cMb8CQmRjCU88grxjbUgMKI02wU1bdxgKYWx1BZElpjoINZzTK
LRRXt71Idmv1PFkg8FsxzDSEUhjKwUQIPG0KHVKYxi6H7PT1pbF6SIIrEN02kNNDAu98DEErZg15
j6XBwket9CIUXMiISlUP/dECqNXVvoDiRs0fSCczNkOVD6rS23otg9w5FpwhIhRu5KAODvWaOVcn
RUcLhQERqj2F5LWrBxWKm8FhbFAU/3MgELOWSlpjehSQKQfRcYTchgwqn/rOSr04Se2SCk7+S0bn
2S3OHT3IsBoadJTOJ6pIuyRLDEA2zE5O2uN4rz/Xt+Te38juLEyGHv9uH/xBUHd9gaxt6gUuH9mQ
KmGx8nlHmvam4WkonI3vSXBoFXeMBc9alw2z50by7wxQ4E06BMI4K7eWHXhGYAfw/xCQvc9uMoix
WZP9JtvpS7mBOHljQzlVElw31vbD0lxyPsx4RKaRrmL5TMOmjQ/jiNzys1m5uvLj+riuPhwukbid
p2UWI30AJBIf4JLbsXWpfNA0VJbQXaVvSmhkl6J+vktONG6EuU1oml1AOgkjXNv5aUKYj65Qewgg
wWOHb82L/3hoqI2eFveH7wWi120qWkzcviFTEsldDI8NkryN/6zfx2+1a3iRh1e4bYAJfYhd04W4
/F57LF3pvQFrxbb+VmB1F069Q9hkgUo03u/o92ojP0iHSHRPWnPtM6EBBBwJBFX4RmN0e00J9O5x
hg23fjSAtkF0bK05qGWUxc17xbImlUccHsy3NbCrSNnWFzYqrCYslyjcPFepFqnTfERlcOjQpzPS
E5gm1PAXbVFLkUrQUvFK+WWSt7210UbZu766RUbO59sislHxqovCRcAr+UMvodUQ5YMZEz2yrkYA
Syv5+1CTSdADwXpC+qEyN3V9nPpXXYK4fPqtjl/kfKeV+3J6vG7c2uG8ROXuRVIxoN47g3FqKd0k
k3Ho0z+gon2rR+nXdSTRMHJOv+rknDGwvjvGeK8pL2P31Ph//k8Q/BUobtOWGQGMIcnkkIiA9nXa
TClzr8OIporv15xMK9Tafh40sLIh+4BAozX3FbnrNK9XfsXKIVdcWc/213EFI8iH2EE4dIocAjbQ
vlVIYXfKg0bermOse7W/9yY+DtVMcBNkBWYp6lFM2oGOq5e+mWZ/qDTyEZtPtRntriOue6kvRG53
j1ZSpaoPxKo8+TJC3AwSI4KDfxUDQrJo2EQj9EX1FavNWulnD0La8Da3eqSCLDVvf163ZHXsFNUy
VZCbmRo/djKqnSC8MaNAVHmU7BFyT+noEolCouguQOL8/4bHjVwWTGMCciJ4jPKxUu/8ZJOMx9j8
nvkPA1h5roOtLr6FcfPPF17QkKM4kXWAjR3k0dV9ldRgARBUj696owUI52qToOvxvA8Qvy89EFw5
cmQh12DeoahFsOxEk8W5Wz1gMUlkQIHTlFooz/Ga6WMcnig5SI3gNXx17L7SAPxjotHUY5H6CFQM
MECP/Y1iulEp4htYDzgXKNxyYCpu+SgZhXjeKbyrdtMO7+377FRAuSq28YaS25FL98yRTtlGzuz0
ZHpEMH+XpDtzSLb4Bm6VNK0KkpgEW6D7eQf1o+AV9Yu/vj0TDYp+pds52tZwJmd8M73WoTeT5jQb
VfANnxcWPle6/AZuESEPPGR1gHFowVfhZr2jPQ6Hetvt4o/yZ/hAQdzp4eFe8a5vkPVwdGE7t6JS
Rka9LoELkSxTspFrOTQ78sv/1VIbr+HyhtjlB+o67goUzhteJnp/XN08C/x5xS92qK+qSWJFwNee
ThYoOt78Yx97mHt5AxG2x/bgP5Jb0MwEH9cNF+FyB3us14WmM8w5yMwj5EfU0yR5QnFfAcrnFWRh
nZGgH2GgsC6qPmL/ALGIJO7sqRTcTeePvbJ4Po/+BQzRap/G1jyIIAVOQ+M3xR0CshS2TP9MoYxr
jYwctag8eNUZfU3dJwvGAlVlUxV2I1Db4pfkq26agHYmBcHds44caVRvrs/YhT8ClfOcGAX5FyrM
Lb7dfyosPZElkLXHee1CTrU1tgUpBfvh85XpbChnwmgyl5LgtR9XEO5yAFHKIMxmgUBQ1o6eegKx
8p667IBHcFyMJniE0B0cO2cO3g7Z1v1x45jezXVLLzPW3EdwTjEyQBKhzkKP4xasrtBE/7AOvluf
on2+t04gzvqV/D4SO7krXFMQWl8EHRw05wvR5BNWSTUr7emjPYBhkvaCM+zS3XIQ86ZZrBtaVmZn
zsLaoEZCpkZ9f483+vef2o15N+0giv7QHKP37CF/bm6nDzzUBqqjeL7g9j/7tWvzzPk9Y0JgKlN8
BEhsy/g+ljcK3WXZMYdCiGA2RUPKubgglRk0nwBl2Ol39FTpg118ZC/H7lX6Y+5UFAl4xv11zFVI
qIpD3Am0roghz4c4YQMbzXFmTVHAhNxaThEKwsYV1slPeqC/EPwsRpHMpAkQeeoqd2h4yLaNK9nG
3TPKYX6ip/qP/vxW2ZLlVF62Ld2+sE0wUG+iD/22PcSSYJQvPC0WlQ7WIhWsXSp0SbhHnqSPjYIW
FMoyyg3pb5jqjeafXBPF5CtmIxQHKSD+C/G0i1IgLc3aMZItLN44yjdWG3Q7hqKCyTaYpgeuYYXm
KZKz8DawwjZ3qzwrb/s+TZ+iiUY3aUayfOtDPSC2yxJJXqL76RORzPJI4gEq3kQdStBoadDFrfu+
9u04B/Omp0fRSMDvGWlPYLSLUTJYE30f1zUKdqRUkUSXxYsDBTJA6J7HrQDsRdBA4bygPyaBX1Ww
kiaa7I098x21rqV938yAZQMiZNKrW21s+y2esv9zY+AMbxogT0LrlYyysvPlmxl9HyUFzrKIkHLT
GEnwzRxpgYRNJWozvTxVADXzx+CtC5RXOmfpYMVKzGIoYaQtqgMNhUX7sNBN5HKHXrBE16Awc7NM
nEUJsv3nVsUFlfI+BZ9zOBb1ITf14oHEjflhFjQaBFiXj3jodtTR7gweKgKWHJ5IckDzbF8XJY4p
hz1bd/lucDXFbVNoINWxnRzRKrFJjsHWdDUv9eCI3thWlLleMfjsGzjHpyRt0wc9vqGLj5r2Ghrf
E5DSXfd0IgxuUMdEDtr/R9qX7ciNK9t+kQBNFKVXSTnXPFe9CK6yrXme9fVn0eeediaTSKJ8d+9G
PxhwJKlgMBixYq3Sho2luA362yZaJ/HjZRPnwfRkK/kCfDMtbacsMGEu81rTsi1yHv/7JsBjhMls
/AuGO7bKoyuRjmZRg+0bzxwwcMYWvRuLVLKK84Lkn/nXvza4gD10YNrsFNioV1m0Su7yZ/tK3enh
Sts7m8jVKneRfRzRzh0vizvHbUwjML3BZLY0rgOG2kGS+J7DfrlFcS4WopBcKsxCc0UfI09v0K0g
D6Zvufl69Fs83uxbui88VfZeY3/xaf7Apon/7ibndwr4rJwpakAteJ/dMRyBZ7+Tg34Xe/aOroCo
WTsv2stwHXgyyJfQsqmDtRK9Lw1EVKe+YpEBWkk1LFtl7JrFU/JW0tQlk4+Grzp9XnZMwUUAMgMw
7TIJFyTenDGEFyfrmw6iGNrtPDCeJGDlQm+yoLG3mQPMOspGDEQHGluLcW2gayBxzwXkPolKpyqh
O1wg9VOnfZ78wPD25VWdJwuwcGSD+e3RcWuMRgH1LmwohRv/HtpXNfSTSHbgzqC1rA+P4h2YaKBR
iGbGqZWWdLZOzKnwgmd1Xz1azC30dW2juzNLntGCz3RiiltQNOrB1Cig88EIiGIlbh49WiCkjBxX
s1AE9epF0qUT7CCOFlhTiQ1COY2fXszI4AAlDBr8qrqtjdFNTVR2AYmqZJgYoSFwPQHbYWAEnIc0
hLpV0yId0DnBXP0ca64DUmkQFqxas3647BWCaKWis/t/pvjHelCZpbp0MDUzAqa2uJ376v2yCYFz
wyOYviv4nZ2zN2xt5sjpKpgYh9DPA+MuRb0pSmXgGVGsR2ccKqUGo7bFqk5drwc+YgyzOcfYxbpf
HuLsoCQvob4j0OWIgcmoD8vkjclNld2B+OnyGs9LekxD0sC3IiAgMpCMnxq3OkLTKDBzT79HWw0V
pSt7t0o36Qa119md1869gncsNFN691nZBJKzLfqKqOep6B/iDa/zTx9VUegQpyT3NMyh5j2ORLy+
vEDRR8SAO4MAALUBGrLT9ZGelIGFpwXIQl5IuV/0e2mqeE5IwvbQBHU1ah5gsOZV4Mx4mK1cs/A2
JYd09B23WA/udB9fL/cdwA3K+oe+rbeX16WLzhpIsqFyYkPx5GzIcKlI2ZEaC8vd1u33b+2qS1wM
jYDQrXdz93bw9Y1zAwDTTbBtIDWzy70U0kJu6IVr2Y85L0yyHTj6MfrpLqdL3lRZix8DwIPmuCib
BR4wB253l6zxnFTf6APEq/FAir2bn5KNYH83d7mf2OYid49ZCA3UD1C+ekt/z3tfC1e1a97171/2
z2UzbYEB2Y5XFnWTe7opS1fzpPxWQic7Wj5z86Mrqq/NpGrYtyhXzqPxNrhoal2TDZzOm1bK9b1+
X0nq/ed4COiBIyThHQ3XNkAozZnEZT+GTQml2W4Dut951V6j7nXbtqv0bpIYEyyPvdJtyGsyFXJe
5nIO07JZGjTEx3Sr5oq7LNsYYqaXv6MgFECvD3AdREGk1vwFbJOyjitbgwvNmoepQTAOSyycl+2R
rrPhbFyCSFkg2326ZwFUtdqipBDQuWk30as5usGV3rvq4136Fq3CZIuCROteXpboaJwYZef4yDd0
JcoLO4fR0Ws34VZzbeS/2/a9eqXX+la/BcdNs46u84PGVAokxgWpBrSjQYEKPKOlI/87NU6dZaqC
3IZohh9s6utkZ+9D050+9TukhffFS+yTXfyevsaPyaZ7v2xcEKBAYgv5Jwq0HExzowh5DZ2DKIiQ
GxbXQXQT19fU+T3qkjgocBvGCG+ButlCkefP/Xa0vXYaF11aYGxxrF80883Kvu/7qDMYqGXbAPme
lRyKtu9mkGwXoD2q3TH19eIW07SXd0rwlfA+MOD5IOgxcBeefiU9C0xrHNhjD8Nx+dNob0oKasOd
Sh4CMC4q0k6rKHqAahDxAxqZmD3kxzfifJhB+zsXXtdtxhXoun44g1+4CdjXZS8g0ak7scUdAAUI
IT1qYAuTx/lNfm3/jNaW36/1tX7rgQP+Wv1UZS9NgVec2ORSKq2sof2qwWa5iiAJUuKKjPwU4di4
jm46d2+HsmMuiJEnFtlD8MgPFVXD0HMPQUKKC/hLfUlDr3Pn3ey2vrMKHjUv2/c7mQIJWwZ39Z0Y
5RxnbPUSTJFsmc7johwwtjRantHlbgGI5WUfFWWpx7b4wkqZD8TqJtjCM6xdQSQJvWbPfCwOiX9H
79vH0L9sULihYE+AlyKAaHyNGLSbBaKaimDZz96C6yYxn2pA775phSnyMKYxjIeABJAniFbVQF3w
SAGEr0tBS+1XGgZjZaxmZ0vhjHC+UVcg0ggmGCEBlLKgD2wUm1YWqM5cnon+QDzFwDMcE1n8I0/V
xsmaJqj+JDqc3fDHsJK4wFlA/2MBNqB3w8RFuKp911cV2M9BOjfVjl/Uvu08aBnAE5/f/iTIACAm
AlQ8VXWTv6XLpsI7soJKEibgs3rCBMdr+O1nAaReTJAkaSq+Oh4g3FqUtoxIQ0F8XkTGvdEPPim0
jR5K4pDgw59Y0U+DwpyNQZ8EzIqR7jDXu9Hi/tag7eb7O2YyxjX0VEyU4bkwMEwoylsLuNWHjFx1
k3FNKWaC8/4fzBDUiHVgPcHUy/d050XRrYagLd5C5hoJDROJVmSs2+wsnIQ0fBioy+EWhJwy1FG4
20Iv6wIVfQtqyoSsRydegWp/M4aW32bJw6SMfhTJKt9n1y9nkrssEhsDfFNHQbgfmwCmr+LqRxh0
fjqhYpetzWYDfc7LH+wsbqNqjAYG0lAIVkGoknNxupRWRTp0VG27RVKNp8lYgeOh2liL/TAEuSRH
OkcTMnvIeFHYAusCqlunfhgFRh/0OXQ6xqDe9Nmqsva5sykBw6fPafqiafdR9OaEks64aJWYizJN
lDSQPPHCXMiqxjhvUGw1mn0YeeXUuW18aCfIOw+SCq8gNKG7hzxbZ3pjeBSdLlAv0mypS5hCErzL
jeCqz1LMvta/e6e7v/ztRKZ0JISY/MKtgcvp1JQJXvqRDPAWYg0qRser/tqO5u6qamvF7cL5HyIV
BF4wbQJWGou1vk7tjTqAhYGOA9Ho1goTD65N0Y6UFWJE3woKTshyUYzBQKdxasVx0hnegx5iqaUU
szMhdYFqvY+1zAR8olzPRfF2eR/FFg22Nna78728mjZD1tQ2w26QX9kMYj6zdpewad3ETtetFEgu
s8fuz6MErZ3arqQR7FV5/FuNOq8tpv0ERXUMp9xbjSxfEoR+8N7/XR53xGe8M+ssxYbaxbiulCfN
IutSph0tNILXD9j1GKkoDwctytmBci/WMKX6rjbuO6CDLS39/r1P9SMr3M6Fed+kCcPyTJG+Vpvg
re/qa2P5CuNGgoQQrQfNVgRF3C/gNud83VjAG7IkMyLx8JCNjhcqihvJgq/ghvkzhaThf+iY81e/
mZhzE0BYD2OEmh+pr2r8GqDLWgTtfR3/yKkkXgjNgXfVNlSQaEEe+NTv5ilSVbNit+ZS7Wl6lRk/
G0BPrV/VGO4G4/HyqRJkgRRSNUgCkNhgF7lI36hjr7YDMo7Ucb4UkKwaRSx5EYsCINIzAy0fpGln
01w4RKqpt4i1KOPs1L7w+3H+QE8DCEQiuSdF/oAsjaK1xFr+fEMr1mq84ShgKwndYq7RzdQtG4C/
vGXn5VvcjsdWuMvDMuO8cGosqMvM/KeyEGsfTEZzBxHH+VlTFrpFd6XaALWSoThP20NSoVcOqo3E
udWdcXi08pU+DrvLP0v0JbHFDmo3YO49Y1jos2opsshEgc8J7oy4upvq58sWhB/SgDQ3AgjeWPww
ox6SwpkbZiGu03g/qLmWbCZDA+dUUpHgRxcNskqpyCQKb1A5gWKmChc6PQxBZxhBSxCEMTn5Nqqv
S2rcV+inYw4gX19e3XmNg/us3MFz4pkEkQXnUaCwl40bq19ZCwYbItdK/LI2MN6zaWX3qOi0A9WE
qxqCoKbOgzs1JWzoQoBsqppuF1vGbon7qyCbtjNCWdD0+9Rs/MsLlZnk9nQorTkoQpiEVJXbmZY7
2V9d4GdhsALqsoj/IZ7hfUkgGoVH5tlk5TDPgxkqiGddEW96qr4VarUvK/RkqX7dzeAlyunq8gpF
XgPRXIOJS0Jqmw9qUb1MJHGQclE04MwFYOO8OJgl+iw2kZTihKkyzhuLnzCIf089VKdJSsoeHhqg
dWOkI6YmYTdcJ+nXRMGmclMHj1RfSyeLhaEOHgOfMYE24lmrIsBll9RkkLiWulqR3zVdug6kHD6i
LAjV9f8zw5NUtfYcQg8UZtQmXIXdi4KmRV2uo3lxBxm/nOizEYjJAh0G/bQzAuCQKFqiQ0AWmX8w
QHnY/unUI/WUboogZpZuLjuJ8Lwfxxbu6gtBFgfAFr6W1Rs3cfNQ2rR003LcZCRc60v2Pi0Yaspv
wWMkuRFF3w4ICHQkkDijSMb5DK2HIggT+Exak9StiPnb6fI9Osu1JBMT3QnApCFU/y9nABfS4s4o
ymVSkB/183tZO5FrzDIRYOFXI9CPwPALGCUMttijPDnpp3wE9IhJrc4uho3cMklw1YMwW0oTd4a5
QITGWx8lHoQRRlx9asoulXkZF8D5rK6ztX3nGGF2jWSzmlzIhjrWJhqS1natUU9vzI5ED3qk9we7
byJJneZ8zXjOIbLgl6CEYvNtaGKMZKyQBXjoZKxGy50DEK93xC2Kh8tOen78YMhG98kEYh1z6dyK
jWEkveGg0h+0V4X1MUHeKCu2eKoCUSZJa86d8tQUW/PRd4SWYWWAJ7EAKyYY952VUyKNkqUQMiOc
Qw6EtLXGoHA55p/bT0cZ3JRIEiGRDWCZEBVRL8FsHXe6Ynto1CkEXAaEt76VDducZmtDkRVJBGYA
vcaNZqOKYKCbf7pfs4Z0odJQby5a+gNUIxsaIH6EVfjtnBbvjr92eBEBQ0E5bDTQKLByiAhUyrpV
plVANEk4FC7HwUz2H6IKwJpOl6M46PC0tYVdm4PBU+3Sdh2rLNyul8kcCQIvxCORqKJuh0oPYN2n
psK6wRnOHJD2QXskt1c2xeDMtV3Gvt18WFW0trXaW2QY8vO0h7X78JJDERejHzy5kxW3URLEsGpn
2VPVNC96hVtaBUZFLVqXKJBjCZ3V5eMriBMaAGIWk9y1UIXkfGQwwiTrl7j0AqquB+Mzm8fNglxr
JjLyfPY3nZZB4Yh/LfFeAh6OsJ0mWOrsZ2I7uEJXSkBWy/RBMHPcrWpZ++DcXxCLAZNByZ3Sc7wz
iSuQPKNX7aVN94ySAhQC9MQvjEomdiZwF1hgUu8I/AiCPHwWnDcRtJ2QzaESsDfsBMTzYb0K2ugj
GMafC6QJMdPj6WVxp6EidPkDyraVOxVZVwbAymNbo7Z26Yg07iYZ15b+GlN71Spv1JLc2EKPAdOz
5UCU5DwH6qnZk6lNS0+zgKaK7id99tXAHagkbxWdBsA+/58dtBJOz2ADFb0qsLAwsI+gcv1qOosX
JJ5C3nLn1VZkPP7niYgGU8TBwWd3Gc88QjGGHIUNgmVtHXSQYRjh9xtzGhNuRe6ILgBLq04XNNUZ
Cg094ldl6yrmnDFnmHa549a0KiSnWrQY1I7BwPQnmvDNcHTUMiXTKYDPYeUScidNqf5k1dxpJg6a
WgxcihENPtHpGzVNmwCxaiJt4VYBOdCcdGtlTm4jVbnNW5PsA3280hRlb9vNTtHL57peris9DH2l
QKxpozv0kEzkssO+1KGmrCAjC1VjWF8+IH/mAM9+KlSVWdsV2RAP4RybASC6NCqhemqtKy3fqhEQ
sJbqV4PjxVOE+avAU6evcCF+ooWeM3wbU8xaBQZkaVArQ8GMbxu0VYAO5AxZuVLbhwN1w+ZB12S6
4ufhjhlxNABUUMynfMssz/I6r+YQgQBBKGjVjaXjaVlsL+/mn6Y4t5vgINYJoFO4M8405trMXBLd
wbGc1mSt3HxOfv4DfJJgZalbdzN/Na8PDPReHK7S28bNXh6Vp2hffVBfCjI9z7WxYLyd8fKjGDHh
0/o+qQvNSLHgckpXRf9MZzYG1U3bBeR0TdP7c9A8aFVju0SqbyncbLw6mXXkcLyIO9Lu2ogJbJuJ
82OeOm+qtEMWyWDOgnOMJf41w2e8RQNZ7R5m4hKdpsy66aL4/fIHFdwfrDmJYgQG1wh0bU+jkl1X
S5or+J5W82AGN0PxZgDkOD3Y7ZtpbvtAkisKqhHaiT0W9o+S+G6GFvIcJyU0dPyyuUlnSBV5k+aP
y95UPhzD7cZnZZB4raAgCqusAEIYoMrhJ7rSoXJqUJNDlX6rdBv7Xl2Vnv6O95Dlm36+Gzbp18/L
+yrykGOL3DoN5FR5BZghmjPq7WyU+ykkt7Hy9n0raNwBoAusM4p03O1v1Q6jostLsDTOq6abd3XT
+hgik9zFohgKB9Fw7IE5Bqs0W+3xV3PGdII6Nb7abXQ1rYcd+DM87aO8Mr8wKi9pfUqtcW6vamqA
KjmsdWvMdG6tDeS8DuA9v8lcPKRl+gSiQ2Y4QFKryLwBA+D2cEzsqEY+j0MGCnmj/YW36+WPdI4X
Q/w/tqCf7h6lFenVHBZA85vtujcdjGYqWquupfnpFYQHvR+oH3+/XwdEC24cHWBavJbO6n4JhqkH
q0WMUp80sjf01ZjJ/IJ5MX8bANSAET8VD1qkvqcrC0ijB800ll6xS27t6yfrp75zbpa9+pj6ng2k
GObiQMTnX95Q0dkCuNBC+AW6EKGLs5rOUQkAAGJW3vhFY7mhgQqHrGx0zriHz3ZshjnOkdPPRUij
phoQNG7L2R18ZISlZz8BX5tu6HV51bxY2/rg7BZJ6PhD5Xe+q3/Xx502UmGUpsqxPn3zMcHwcltc
jYhaa+MR9b9f1VUN7N8A4XGAbdE5f1X2q773sh+zP7tkJ4XCi66I433gjqOlJFaoWvg5XbsiW/oI
opKD5Vcr/bEq/XY9rRzf3NZX8W366oGU7/K3FhoHCAyNTXgZXpCnHyG07NJByROn0zr02SZvMe49
3qeRXwS/mtHPZUK9Ao8G2gwDU3g4QhiRzyqyoWlMJ+0qz4hVIB/BSz1CM+MutmM3S2KMPkguRIEv
U4zkAOIBHlOM5bD1HzmZMg+kRjWo9NICHEGd/TWESFUN/duzkLj5UMwFBo09C1COP7VTGFoVRLHK
nt+Nsl9GvUNLmsj4lM+pI2AGmA70GbCByLi5o5lENLRyEBR71rP9Qa86nwJVGdw5sQuE7OT1/rKH
bJRyba+hxnbZU0Rh9sQ2d17rpJnrvoZt3Wt/5y/NVXZnHPLateGkTgUKHQN02c/q62Wz7G/lDuuJ
Ve6w2mkNh8lgtc0P0/BSflvige0o6ibwfghWqTxGUQcJdwk4TukpzapS0SBKASd50tor6PTp4WaW
DSeKcqUTg9xtVYEQp6sqZvBgbbor7YoeloOzUn61/uxjAk49tNvLWyg446jUsAoUCl+MP+HUN4Ep
JGOnwjdpOe17Z9qg++dazm+DfuKd6QYa3YBASaKcJvxuoF6m6EireJNx320cinpM8SxFCt9taTje
5IrpX16X0COxLA38Gvh+Jv/wM3sjKgn+gQgDEOnmSxbvYvW6QxWj95rhWQfF0HKn40EY/8j6zYDk
Spb5ilZ5/Au4j5kSyHbWhYkzESzK3qC9fmvW5OvyOs9jpg7sHwI0ZBPQMTLYjziKYblCgnBq2wpD
Lo9qgWb0vgONk3mrqHvT/HXZFvOF0+N2aov7bIAsKGXO4vPc/6DmBhyayXSlxddOIvl47C86NQSU
xtG34yJZY6QavAPfDhRuKwX/bYduR2PZ/cYuT94Mw4JgTBLoSaRRp3s3O6ACnRwWl/GK7Crb0yDJ
oMW3dVmuL++caEFHlv5UMY++EmmWOI5yrQS7+7LNTfAvOMlqGa2Hy2ZECwJBEiAD6Kej4cbtW5Zq
ddKj3QQlhPyWOuHn1MTXKkovGPmT3J2iDI1RMBN0DynmTfjNA8g+z4wQtvSkOvR9eLfM1oaCCRHl
i3WadlvVuNMwnZ7VuutMN7r2CJ3Jq7Al4Gf+bNJUsnTR4/b49/Bb3NWocrc9fs9Cgtdy0FZmo+0h
WL1P0uiuRSMhAyCfolwBLELkTsW3zyGyCAwO4RWvIyvn4+g46HM6dkDJF63j5hDd0jzwN4Fd0csV
POrfL39ogT9BxwMlbQCbNYztcRnFYoXNnFeQ+SqWCeolmzn7sQySIC2zwYUvEpRp5gRRBSmEwl2C
TTGHfi2lSBK47MlKOJcN62pStRYrMaG1270rmPDO/ChZXd4vmRUuSkaV03dmj7VYs1eEQM3tUH/U
7afLVsQ7hje6AZoe9CO4eGJrS0LhhhXUqEGqYW4dDNDOjiSUiJfynxHC1eajqR/VpWGfXrkuzNuc
bpPZm3oJCOH8WoE7o4CNEXLw8ABTexoa64IGyUSxYUoL2sOx21VGfdWbVeYOme6NWrDRR1nXQbR9
rAOA6TikyZgkO7WZJTRtnLyogGOHAtnsXEHtauN02vPlr8S+NRf1baR1mGG0GQaah69D4SGBWF4N
X7D063nBFG/wednC+T3JylzIqEBaB84fvpkIhvpebwy8K6gd5/44RGCNj8Z8pbXFxzgnPeJimEvi
3/kHO72bmdsc3TCsadqbJe7mDuwC9k0SPDsBxvwfyuJq0iVQfEHTDZg0MAuhQeugrG6yH3NkzFEx
4p9itMKLYntXRq+qQbwknz2LgjOvQDiavtQwewwcWVZ3vrM65CZQawPgAYg/vnu/IN3pHBP5cRf7
g/NuGqug34/mR6963/2EMIQyOxuiRFjnb7c40Iy+LZGhVv3bZL0HzS7sXxp9v8hIqM698cQQf21B
NI6SbERmoDVv4E5wp2lzeSXnCb6O4hogUyiwWXjtslN39K1ac1jKrrOQS02Hpbuzio0SvTbhth4P
lX4IW0kBUfSFjs1xfliCprZvepjLqtmb1d0yN5sg/lCmbZfIsLZCW6B6AOgfyGEAYE6XNizQsUE8
wZWvvnR2sjXJcl8azUppehdwFUnGcx6eGDckw8Xb0IIEudapNaJ0SViy+3Acc5fS9Wg/B9Xq8sc6
D+7MBqavHPT1ILXL3SBlMthzOabI5stfZH6ok6toBhRSUjoU+RwGovDsAxQaSAtu3zStzguDMiva
vRXEKPvfX16GMBjh6sDL7k/847aqV+uqqOqk8srCt6pnPfgKzVsj2eWg3E9ltVaRF+CM/meMC0ao
7UZ9n+FCtCEQHKc7Qu8JqVyq7lrZ+1zkAhhewOMEcHiUXLnP0432WJAIG1fXYMdoNg44pQnUni/v
ntAKdHXA4oJMEnfVqaNFTUnQpc0qz1HuZ6dydedBoTKtBZGnIVH5zwi3a3Y9Koi0MLLgcJa7Nv5a
tL0KRZXLaxF+HLT0kRWjZHzGqVpUVUvTGGbslBxyMLRsUVVoXTOcPihkJfUwyCVHSGiRoCuJcKdi
bIH7RhGJCqIGuJuC/CdLJFrq1cpOGSu/KzeXFyfcw/9MAX5y+qEGs+japCzhDvO2TXc1eC4dguRV
YkboD0dmuONqBaTu+xFmgmxlDe999FDFL5dXItw09EkoGlqUnsGwnSQyG4DoK0/X74dk3ZG96gTA
anqWDPAtXAyCj4oJI0QHfh43ApfTaORYzNjG62o2vATY/cmcJfe38NMcmWF/fnTrZfloWwkzk/Zg
Dk8gvrWaNcvtyn8IpWy49P+Wwzb2yA74+jJdS2GnIdHO6O2XYgn/5fMfmeBOKorHYYGGCySdwwcC
VTrndpkkCZ348/9dBXdmWtPpa8IcudXSdQR9oXRThyCrNEt3kBYOmLue5t/IVP+uh3/AgFp0bGsT
xvoiAnndyEb0lo1CPqze9juar4bFhP5An4Dtedimi/P/t5981mBRzFDXIewjvPb602BuglZW8Zd4
OdFP3ULPwENlV7CRNY5PI2gMOi6VYXIlPs5P3NRWOUJ1HEa00He61WCvib6nstKV0Dcw7wuMHWo9
tsX+/MjDDXWOIm2ClbH6Cgq3nldDdg9xAI+CwPlyFBLUbOEaR7Y4V4+0MZ7oAFv6Rlv3+/imvCmf
0eXa0sUF0QySh7t+S7/9amdGMRyFzcIFxRPeRiZt8cipEF7VJwMEmfkvKovg7HefufyRCZaQHe1h
EmadYQdYl1W82MXnpP1IHW+wH+1Rd4ENluyi8IAdWWPOeWQtiLpMy2osqAI9FWTu34tD49JrZRP7
zsb4edma2D3+7h4XaOkANb7RxGu6gTawEfd+NE0g2XBH8lmSl8u2zunl8PQ7/lScL6bd1JI2gjF1
3uYr1YtfTA9KZTfDvtmmO+dZcZ3VsOr2ysbYNA+xD+GCy79A9iE5B23DcFDrElsbNWQLUMEwvUIf
Y6MZ73p1Pej/8OI4Xi4XlgH/S5vQhDW9MD8hshi7AD+t50bbXV6VoHZ6sq9/gGdHHoNBqAqAQuxr
F66a4IkUPgUSaUm2U++X1raMcYdG20Clku1kC7hwLnjg56JNEanAzuEFTfoyOMnOmZ5IwGxi3N5J
wEaWeHXzL4+Tv8fD4GJzGSxtFKYw2o/NOgeZWj164C/Q2/cxh5jPKCkMC6+CI3NcgRNzWHWqsvBS
9BhUAtFF01UPmUIlq5JtJRdidKUjy5DDjFp+kcSruj3tA1Qft9HozZC9lb0fZMvigkyYVZEyGbAX
zNe0uynLJ71+vOyW7Cdf8g4utAx1VtUOM7GMj9P8acySrEdYxjo6X2eoYDsIrWSAAXvqXpZZedCc
xK206B78mavZIoe4uK0yzCLmluzEnQMoT08cF0gaW6/VJIZp6La+GHl/lWThAZLf+8yM942jegtk
cErNWpFJldwP4hiGLJ/iecRozk6vhwLcHb3R4TJKFNPL1C81iTZRvqy1JfDzJrkGnYikJiT0FSQQ
GFXCoxmUIacWDYwiTlnCThwZV1Y9rgrNBPuZDI4vvIqOzHAH2+ztxklm7GkXD+vctr1mjG+HWPdz
41fkyGhyBA0wfMKjziu3Kgsvv9jMUXENPpTIZbIV1q6+brYh2HJ2uIH2yeRq78lO1rEXfr8ju9wy
raYzBjBOIO3roFyfp57TbzrIDaiLq5ev6SCJ0eJd/dtg5uKXSZKl1RU0mIPyRQGe135tS39p14bs
bhWls6wiDxYAi4KCgrvcidWSfgH4yoO8xG5SnAMO/33SWNdDFMlcRRQtj21xxw+qCUWpFjgDk55u
otAfy/t+2aKqs3IUFyq24AC2/2Efj02yn3R0x5p5WNVZjOW12e/cPij976l7BlmuF0Fu7XLgFHkI
e1xDBATIVHQIT001/dBNGfi1vCVd0wCcFx+6fRXM5VrXfTuUUvKJYtmxOc4h85IaVd/CXI2MiJq7
LNJdxb63gTJanCu7XFX5r96yJIsUusvRInm/jLKOVgb7hEA0TZuhxOsAgBVLRgkpCl7Hq+MuVqPE
DHeHOpZXjh+p6qnRXSqj8BZddKw+Dw0+tA3PtN/RJOpDq0Z8LO3yZqiCB+QLkgtHZoK7S4tSqeyy
a5AeVMEVOjurupU9FIUbxSZRQf7MOGQ4B0dRqY4LG4HCwNiyFr236uQmMtZV4cH9z8jZZBIKYbHd
Tgh+dJ4/lu4pdqJdjILv9Nkqj0ms3dsg77x8moRbB0AomrrUwSgLl+kUgFTYQYuvk84fjXNnfp/F
As20o7+f+zSTWsyDwhLE2LK2thPfRikQA2GprIL5X2ofYN21gVEAFtEwuG9kRUM8ggcF3whUFm5I
ldyN+25fR7L+mdgZ/jNkcqXRnk6ZnhIYUis8KarX/50XloRUYQj4uxo+r1CRN9EYL10g8MEIkLk2
eHf65ziSPMMEwEp8IZBi4zMBWAM6h9N4io63bg+AI3vzPfg+gnt/+ir3oNoP1vmueA03077YzH66
C9xsL0MAC2P5kW0uuBZK2822gTXObJomzCIvymMMlk2xtzhQk0qz7YjX0mWXF9z5YDPEdDQo/gHL
P8MRFSSJMN8GxHUGLXrfHEDd5Talrzgvlw2JXp5AsIMACPBbxpHBHa4UTGBWbjlAApJ+Zc75RsmW
dZBikL1Ztp35C6CAG4ICWjJbVwmRoRxE6wRcClhjRiuB/55+WGtRx2JMgBky+xoK4JlerLQxddw+
LTsPh6jw1QiUkZfXLIgnGEjDdAAQCJhG5MGPetEXc6ChOZYF0ORxls9xBvXCZRsCIClEJwxWlf4j
bsSX2YeFtFbeo1NlzeZdPgCWBWvdwdbsYq/MM57Xk3KHuhQ9aMg/PH1JfoBdAwAua0jdOIR4VvJ9
Aj/2kwBmBzsQyBH4RnQ162o+GVj3QL5I/ZiGqQ+hJ+z67AaWIwnagvhzYowLqj3awGplwdgUToAu
KWT2dKshrhLNn5e3WnAjwRI6qXjZ4PHBn5WiRrHCaZHXNfOQQoER6X8Wx4qvzcqunmOybjJHc0EY
96ubyqfLtkWrBJcTBBfQXUPuwAWmIgrsDpB1BEAa7YoQ3EAFCnC9bD5XZkbnjolWzEtJsUSgdRs9
d80+dEfZoKYgmJ/sIzs2R/lxV8w9OB3RKVQWy8MsMNX9qjNWZrm6vGeiM3/8vdhij+zMCQqVLSSj
vXBubyiyxhrqV1XjKeA1H2UatyLnIKAEZnRtmG7iw1vULY2eTVhU37aDVxs6SEBVa3opC8y/qWbx
M86gAFI2Q/KsNn0ueXeLthRoRhvjdxiqBjv36VK7CXTm/aQADrpUjZssTXdHurb2Y1K03rJMvcSe
aGtBoEAYBRhEBHhCA3AXDKGZYrU1yCiG/sVp932w1cLruJMcb1HpBhOo/5niGQ2WMjdJbCK+mRMJ
XI0M3lxGb6SzvFQPXtO+2QH2+jVX+m5WZQ/VPw14rjClHR877umxpM4ShuzpQW7zm+y2WztuvLor
1qAkXaC5yNoU7edwDQItImOXFaQDJ6a5U1IMVm3FrHlG5jtN9/Thvmsf9PQqR0FcJhAss8W5TzbU
2jK1sBVO41XRW24D9WlzaFdDEt0lgwMN1kHyXUUmjz8rH9BaggI7aotAkyV3gwbGFKLdKmXjpQPm
DxdK3YEod5cDguiUMJkrsIFpqFHxr2U7qe1qZHCLHv+3VE8JnrU49WeZ7LBwbUd2uCiKLn47JAbs
2MHoXxd+WWDevb5T0rWtS2Kc0BRuBaDAwZgLIP3pwadKn/YGQcAuQXwdQp4TBKx153eNtiXmwZaN
IgrNsbwYe4ibkAfLBaTKyZ8WYa+G8bZeLA0seUB7zXk53zi5o/lZHFxX2fh9WgdMwWPoATzEeLOe
IWWMGhOQ8YzkuMpvGaMjBPrUenPZPYSLO7LB/vzovkjSwgjUETamhH52Q3oI4tjDi/ARCfQOQ4qu
ociI+EUmKXTXwL8LHu4zjqIhH2t7YWjlUXtSFM8J3+mya8enHO1CabFIdEUdG+MiStnrQURRikY/
N/Gi4aeZQEPsj370jwx1zWA8xOTbyHJIR6NKALQJ6ooYWDvd0iqK/4e061pyHFeyX8QI0IHkK0jK
lcrb7hdGW3rv+fV7UHt3WoK4QkzfmJ6nilAygUQikeacgSRcpKIum0ntDksXb/qRbq7v3MosM+Ro
fLCPYCEBNX8uZ8FAWlvzIFAbe0b15zBG0RXodBiH8LTwB0pcyEwpoMHMZbN4a4sKEgDeOIrjYIqz
uQlJMHRS4awTVEMVO/bz+JVYbz09hNZTocdorZGEgmte7BMWD4N/nF6Hf9GJmQKpIExaBWuqRtpz
D7CLPtf8CEOGTSHDSlq9fE9kiR0c9hSh9SnFuhrpzwgcDjm4cFw06L02YezHRbnXuqlmpHLubRK+
Xd/UtRiDA2WjRRJw7hfVehTRhrYnuPidDFgXwZODkArNcsxRQreoJN09MmHC2VgWTGkmKoQN+g8n
3Gpd5mXJe137E8YZr+vFf0qMKU71Ei7bZmkB6sJ7Mgf1Tcu+AcPoL34fZXp0AmNQDLNB5/YRki60
Kwe/3zr5sxoN37Vc8f5GhIM2IpCwAYRbEFGRRndKFO2AQe9lQNwmVSQJD1agb3CiwTPzHxEi4GRR
kZxkKYJ3676M3eo47dPt/FB/GBv6TNm36jfYwv3Sb317q4xM319XkO/BxR6hpZiTa1tA3xH9SdAN
Y4JcsGuRzjULNrdgrpBNDa45f963/H9ChDABOOa63fAyiO681tY+zzxtsTGUrLv5dJ//uK7RqtWd
CBMiWUBpzrVZQJg2KUwFpp8hCyJX1wwg0miZBsbTxewzCi2xpTXIbs4h+u8A9wPmtuxVTVqJfa/L
AeACnALgpMW9AbkiDivvkrPtaNwSvHD8FIMXnqq2suzY6g45IFyAo0XQKD5zFJKkYKeD+3NI43f0
kID3qvtlVikjxYsePP37LeJwXxh3QMPHBbaQs4CiorBg8tX83iHJqciSYGsr90cAxiDPPcNcL3ae
2RBAx28WlKitQyS7MmQyhJMTocrdFglkzHTjJI+6eYdA+/o6rV2Ap2oI56YiPUEVCiLG4RglAL7d
V70nJWCTKSIcGBMsQlqvQ0qjt5u8TjczOvvyrvGvK7N28Zy8MMWXu6VoTjdyJ8A50G0WOa8pmotT
+qNwfl+XtKrQnxSSxZf1JG5InH5GaA1JFdiEKJggcrrNWknAt5qOPNWH63sipcZw5FyNWLYhXh5N
W2FjjWs7Uj1qpK+D2nmR02HjZtR+gQq0dAMryniTZcldU0+yj5EtrhDRZyRrC4M/3/uDcu88z4/g
cAaLLVMt5mzJPtjNXuEnr/a7jNt+NXA6XQbhhpwNs9XmBIs92c7biBndeCk3GQBPrTI6TIbB4Ly2
wIfwovwvWhDPEgfCKY/wxu0N3iwaxrfT9L0GYOLoA4BtBsSJ+nzdpv4fPW3kvYB/CwopQc+m7sq5
5v2OmOAK9tms5xvkDD+sPNwn9YRgLetNNzWT59JxDqSeq831D1jx0Hg84fWEOxozauKDdLCDSC/R
Z+WGZYTT+WMsbViXa45bYzgkMue2pi7EGRRtC0jpo5Zxbt1ZPSYOTZA+sCPlzlARF5sdcl6x24Hd
LAUM5RxRfyYtI3O2u67pyvE9Ey0c38xourbJoGmu3iaVn9VvRSARsXJcIALdsTrPMGMo6Vy7glZB
PPEGkKR+THpPMfzE2QTDTadL+rFWdQFrL2ZrkK0EjfC5oGFOVTO2sIwD3WnzISrfkvHl+nKt6nIi
gsdDJ34oU2iYBjFEFLGf9Lc1IEGBl7tMO0dGuMAXXogVMdj3Rxlh1ZZmdKa0wsYAeD2PD3P1dQox
WvH9uj78IF1IwYgVHwUHdav4ks5yZWi1dMGllzF1YI5bfNP9/qiBMPe6oLW3NDDI8GoHJi+Gcz9x
k05WLkVxOisjbtu38yF8mu9iAA4q+3CfQ1ovq7iuxKWn0i4aUsEDTyKFoEZ2jLbJsTpGm/jWPpJN
uF225raR0ouuCsTYvsN5LNF9JHgsKy2aaLGgngMG1QH1x26UHKM168YG/UfCRedCqsXOpPaQQJSH
AbzY7T4PvL/ZpBMZQphlg11kDAbImB8Xb77LgAfys/HnTfAefVU2f/He04B7BwAlOD+OOHR+mID2
pw0LL02HOZnQJAlsfoThObuu1NpBOpEiZvqtqtdJNeIB0RsfneHm2k2RvHfL9rqUtRvjVIqwckaQ
90oUQ5fEAYY6WKqmmyzZKMm7o98Vy+N1YWumwFE6kOnmVAbiWbJ7wGQAughd5HOjIedGWzYuVeRb
GGiVrN6aKBvmrHKaYiDhCQ6v0tUFxGNwQ2W6Q3l3Tr72ss7jtQ2yHT41hml6HQO352ZQTeNgtMWA
/pXoZ6N7drGJW8wYy8Ba1loFABf0jxzREELMD2sj2tqAFeirm9AHyxKSag9m4Ge+cqxkbT+rK3ci
TrCIKo1zswF4pUtatMJXAF3lbeKSEysTIjxanM4ZtLjh99H4XI+7rH1Kwv2/N7bTZRNuVaXMQjtG
l7OrmlAA3GtahDl9iZmtuU+Eemj9gkGjr1hYLKXHwx5RHy+3j167dDczkbUurZ1QFNmRvrKAQg8/
em5mph0NuQYkcTcC2U4VTG45l1sNmdukdB6N6Lut55KVWwsWABnN556ARgEih3OJHR56Y8hTCvUE
pPuhZpryZGYhM2eFxaYEcEMmTLCEWkdrW6byF1/hl0AUnKdDuySbWQXtzua6RfCVEoOGU70Ei+Ct
gHbKJ2SH6Y4Abhu8vyxI/Dz32qDDZMuDgifndZGrdn6ylIIbasZ0mIcO7z/03R7SwvnogL2hG5Gs
72XNSGAjKEKBrQyt7YKRDAue4qGCy2JCb7SWvtXWm4NWc2uvxrsgkjwk19fxH2FiMrLs8rm0NAir
wmg3ZgVm9fsduHn3sVEwxVp+aXTqma0Q2XThqsf9o6WIYBKRZKQJn2ApTZv19esUamyJb0EbI9m2
S7p5ANuerKcmWGUfwOkOXMVRq75FqtEw0pq4S+ajVU1+TnQvIdH9ZH8hNPBK+xUh2zZpNdbR8V6r
XsLJQEk1ZgSUuH9hUJzUAKjCyMNdNGXqSqZXFs7mRMNd2yIuiLvf9dJIwoLVU4k6wyedCyf4PXcB
aotGe13BTU3JSxs8d/p9U2yXn+H8/hfqaAh5VQ7rf4HIMDr1oNQL/GeaGO6M9IdjYXJd1qq0qs1J
MCBoU2dtHtUGpBCaPuJb3BQsuAEwz/KsPHSqLPZYv7FP5AnWs5TLAleG2w1JHI015OcSfS2n3CW9
sUHV83ZR55eAvFpt49JMxm60ekhOhAteLp2UIUtD3HsayW5s8zknwXMaLRsLK/vvNw8ULnj746gQ
oIOcG0mYp32gl5BU1kewlTX1MZJxlq2mGNCQCUvkkNMAND6XEVcoe1gTwe1n/+jnlzCyGFjMMKF9
18NgpoRpybMNvM3rmq1d66dSuUGdPPrwwJ0dEDTCw4F2qyMuxXTEdQkruwSFkCJCezi408UGqRrt
C9gkHDBj0l5THY+vWA+/95OJdqVO1se2Yv9ouDRUFCNUvFvEC32c6UK7FvavqD+Bg+DROd0rxezZ
Zsv05Md1zVauvDNhgvFbU6hq0QhheXbopwaXEBtHSX1ydfVOFBJsHKSOi64OSM0saPJatFcte0ox
yx4pP6/rsnLTnekiXN9jq5C2wj831qZXQAVsrA79Rk7tNbZzO/f6KwiVfJrIzE+2hPzvJ+ZHF80Z
Rj5hpaDIS9FQkpeAc99f123Fxs90E06WbfehWjXQLQQMSm7XbOxkfXEyPYRj1KNha8pC6JFM+g1m
czBd5ECRTOKHVoKfM03430+WKwL/ZgnqcViDtaXd0e42U6Px88TMLndLiU2srxvQagEPjfhYfPZ1
uZqbTgvnDrhaT29v6liWc/qcvBcCVSj0jwjxxZdVCliVFYgwN/oOY6y+4U6suFFe78j9+CU8om/5
Bf03t9U28NOGpd/z36nsI9YusbOPEC5Ns21sPgKCzFDE+pE56nEyXWBOWaBeASJBr7oozVKZ2HVX
9Ud1wXtEzqB0agmpWW2yVn/M8y/VdByiiYWTxIlINtISnIg+xWlb87QrBeHWOG9tRfZ0X3cff5Th
X3BimKUCSIfW4RLw0rBHNoX+mGzzlBOigfZlO8qYUmSrJziOGGXMackhEEQXmGpdlod4TN0+9kb9
63XvsX60/6gmeI+xcPImJ5AE0pe5R1ZPZYUqy4by2sy1cyD4j9oo2q6PEWCQGd3RHo3fm+Jrhxna
gXwtEm/W2CBDjZMZheBLMKaJCQYDeunqWx98laYqZesmxExqPYDXaMLvd070TZnHHbAe37vK3Fzf
nrW46fT02kLZqwNh3LBw465CA0OJG6DEtSFQeAHmHd3Swiu0gymD9Furdp4JFVxG3NAp7ykcMQzd
3sc+qZi6K27iPfyHobn1vfICH1J03nVlV6MBQJUDPd9Es/dlDhuRT6BBrD2GXpyTvY5EhaX8sDA0
dF3SqnX8I+kil92oMcn7HpLmBhOXTcmq9m/O1YkEYQlLy+p7wu+yBpjr1vADpKuhDM1t9b48kSH6
WLtuk0aHbZjZF+o8L+EdWhOmDLj5OjrIJUu26pI4YZGFKQfTEWuEqjJaNUbfcYa1R11Ftcb2pvbY
x/eVsr2+OatH60SS4JKIk/R9anBv0T4R0zOJ71Qyj7RuAH+0ETySHmpxuYzQZlQQMA2+ond+oflq
1bFadctmBHMjmEHQbvmW5l/KwR17ycmWfYHgoADgiti6g5Zt+ZPqPzD3cn0VV++sk1UUHNSSOUuQ
T1zD4i0cnxwVhH4PQY+D6+Ut2OMq2UiDxEAcwVOZSxEYBTjS3RBAlhZxg8UdQ+AmRu4gK0XJRAmH
i46NtvQqt0UkjhS+Xx/x/DGkB1OGUy2TJBwxHXN0o9VySaOCRumbWIlctWV0+jHJmitWvR/g/tEv
DQRhJADPg4x6mQEBzssDxH5XOtDZ0e+d+dDK2sFXT9eJGPF0aXHWhjxTs1jfMLU2jEcaSPKKq6Z9
IkI4XJ09qL3FX46j/Rx1v2djf920ZSoIR8dMagrgdqyUVoBAKg090m/14Pd/J0Q4P7NR2+PA10kb
KIg/c4BybPXw478SIt7uedMkHfIEeJfiHko0f1FMZsUyDEvJeolpg2bQE6PlaSzVeo2Mr3G4zWQA
fJ+J1IsQ78+e28JBAWdlnaVcE0tlzg4As+b9V+0BvE4P6l3tJe8AM/Wyjhlee3wNOxA8s/pGkbjU
1cN68g3CQ6C20YFs85gP4BuuObzFQ+025TGNjyomja/v3Kp7PZHFz8DJk0CJtSi1asgKq28BWEyX
Onsjie71I/E7x/HqOt+YNP9yXap0mQUnEQVloeJ6RNi5UY8qBo3ZsgE31+/cTUaP7pdteQxuGr94
I5vH8Ht7eLsufzXiONFacB5dp9Js4W/mcPxqVK8KyCCGhm4yVUWBidqsSNNYstD8J68ZluBMymgI
RpsHOV0FAqWIOYEPbEKmyCa3ZIdEcCoWLRp14qpp894GMeX4LqV0kYkQXErXLAbBnQ/7dDbW9FRk
36WjDZ8gM1eWS7yFZwABls4CNZJj65Zb9SlmaJN7QBDaLF54a24L1a3etU3wlLzTd8LGnXbXu473
qm9zL5dlASQai+WHurCVuQ8/N+8l6x+c9smIJZfNughMjPAyJ94Ogn10mT7WhJ+IeelZlOzS4BUT
vtfNft2x/JEh2EZPtWBSbciIs/k1zjsWT8YmnQJWVeWXwpD1payeMjSkAM4RMP/IT537lroBM16u
I+iwMMYElEzm9Juhib26OkTJnshq+OsZIhS+DbRnY+hLHDPKadHmUz4j0/vUvqFDGyYSHzHYZ7L8
wbhrZUW51RN9Ik64KpoA86ezBfVi8sWYD3a9j0o3t/fX92wN3go8Yn+0Em4D4GEU9lhCK2VnP84+
uY0Peull79XXhqn7ZJsc0gfTDfzrYlfN8USqcC+YaYYukwJSO/2IfkYyvUeKRDPuJi6OOKYGVRQA
AB4vvsTGJtNoHqKokWE8mezU1G+BEaxNXhtuDWtiS/r+FzqdCBS8ftNrSqor0CmzZ+1IERK7QW+i
GYfMMrCu1eU7ESWc5sWu0mRa0A/YO+njUkRuHFo32SSZ8161wBMpwnnWcHTbsIcUmm1tHfwLDzm5
M2WDMGtosGjg/bNRor+nYKCZHN7cuIQeJtYz0jAa3dWVP5VvoIa04xuM1cXBzdA+zQlghzbOX72l
LT6DCUwyjo197kpGA8DYI+UFMFSm9Olozl+pzDuu2uOJDGE1dbQqGCZqEPy9Hulenn+3um/d4qvB
z9rwaxkkwermnYgTVrVVwo40AVQyjA9z/qFqL9S5kSbeVt8w4OYD+piBkpuIGmzPmVkWfO/aeXKH
+nsUSGxw1dJPBAirNhqREVcWBDTdNs0PgPiTkhqu3SNIDwHzmF9dqMyfbz7QB5TIDuFo9bksnqqo
Ozgm+nGWPjEPHcbo7kIC0iLNaPPddYextkXASrHRIwhsD/MCIWYqJtMpJjgM+mRZj+hCnLSbVJZB
WVtBHdwgOuBY0M8r9sqAhVKp6kjnx0vzAmDuheYCenh9e12ZFUtAnyOGs1HIQdpLLC+0YAZQYtvM
XILpd8CnBYQB1/MviGHOpAj3xuDU1tRTSAHSy0NVAbu8zjag33luUaqhqNVcV2pl7UAqqAMOiqO2
gQ7i3DSAsJwZ9mRlrtVHftm0P/RucqlCJKWZVTE6Eu06R3e5YGGyQHIAzBw7c4ek+igGjM2ozYMj
xbda2yIwP2KoEcYGm+OfcfIYs2Kam0akZG5gF6Zv12nyRGj0saRh4sd6f8yD6i5N6HuJZl82LPQ2
CHOdkW6p2RTUzj5tTRnOG3eswiXNh3t1fJNlUswOn39SblZqvNRRjsnbiI2g2EiXO7Nz1fSQOy/X
93LltAEJDQ0IHCmRgPTiXFSBQfSoTZPcxYQMhij6MHCDAne0OqcBbupW6WT1sLX1Rjfu/9JigCpO
cMFqkCuNrra52w/TwEhC221Xla1knGINpoSaGJTG0QOSADb2XDGytEFTzij9VtFWI4eh8SPntlDc
vN6GmYeEw7YhB1o1rDV+BLYfGV+iZh/0D7EMK3gNQO3sS4QlTpMwDpOpz930reUPqeZ77dUghf3V
b1NkIPfR0XyIfNvvd/ROBq64ZkmaiQ4x9HCCKE/EZxoGDbgb3JJ4Z//olAsrOqoyC+9VF9ynEePL
f92iVkVyLEeg/uDkfj4YTs5TNFlhXah57k7TxukPYOrG/19nU3Mr2VjXWoGLfuJG/keW8BowYjok
1ICsGZD8ebQrhoS1sUuWu27xdP1xBsJRo/jXFdTWzsypVMH/0SBMynbKgJiUpxx7b7KSW00t269B
YM+3dhfr92pAzV/BONnVJuz6tmAZJcE+JOrwOM5ZgaKspoJLW5nI3lGHZnDbpkX3RaX3auFmiqP+
iNqQ+mMc4orqMGE1sUzTq12QxuFrVBhz5tVKh7mQYDAlxac17WAxHCHZMjE/JjwgzRpdNaYNc1US
3ja9A9V2HL45i0QMt3rRx4F7GjhyJpAigM90fj6dMatnFdjqoFJXt82kbuw28udAl2zWqomAuAqT
cBo4cfAgPpcTmnRoxwZ34jgDNMHPx8j8rQxNn7I50JJg48R94APhsnvK4AItdygwx8LCNI9kFcrP
di5RZZ3g1kQ/NYA/xKaRZU4GU+9BLaJvAD4d7FUP2Hts8n+oXoim/v4x9PWDNTMlY5rNkkOyB8e6
n++Aqbafbma/2Pas95+1Y/1cuH8x143Z8X8+Tmw30dVyVBTOe7KYIBvXn3tnj4+MjO1o3RaDpN97
bfNPhQk2NoZwWApfCQCIaBoblYb8UoH78tQrcfbl+nG9uG/Ql4ggHD4QlFUYFBMMTQVhQZyHJQyA
6O/W3D62iFz+vQjNVNEGSQA7hETIuY2RaewnJ50Rd1U9dQHM07lK2EqirrXC+tkOCc6uyheL5nyH
6GMT+eqN5tvegL4OhrGGTXEX+MT7fV0v2TYJjm6OlbSsU26w4VNn7Ct1G6SSpVsDtTjTSrinDbOk
VTtChvX8EfvLfvDSrxgLuj+q7sOyewhYHjHjGG90P9xc1066oIJrMBenaWsNovvf1svyMdx/B2b5
Fijfh4d8O7lpJdnB9eXkc08YtINjFaxeq3SMR/e4jDPz91Q8aP2NlNR5VQTSBgTDx8A1+oyKTi7f
3imTeGwQzBJz3qYjYeiWQLlW1l68NhAJ5CLHAaYKn461BcvQsj7V+k/LiEs2z8b3sPiR99lRa+Gi
5uxno1quaiSumae7BbypYRo/SHaPi7jwpidBsrB7aUY6tdG5cYKZzgd76jtxlHFjOph1rrNE2Qam
8UwaO2OExDeTGStfrCR7ytWe+oCnVCSGvHZtAt8TS4JbjeJlJPgAuxhTnQfSif6rU/0RjYf1sqOy
TgqZGMEJBH1Sj2oFMWl5FyReFdz2CXZABlK1vsFgBkcjEkUYJ17P/ZilcVunuRumVrIZQKaTOMkx
mecXp3+Piuy2yXq3JvF7T5VNkS17U/uQbPBKBoLqJ5/A/35iy6qaRGFu4BOs0Ite7IolEct+z37t
32sKex+98FmdWbt39sPIEskNtRbFctJQDiJn2RjtOxc+hG0+GCYiy84Akd4bjI1N5baJf+ayNuZV
NU8kCQ5Q18AFV/EYtulMz0k/oqhn6URYhORX3I/7KhglVY+LGxGw+HjygQ4VzG0YWBN0U8J5aHQe
vyIzMrE8nWav6Y2/KN8gtQJfh359IMNeHIg5NjpCCqwgSrjp64TaAFk8iY2sNAeCKZTwEX0baAfi
JAymRiyjVhDdkRD4pYdpfuvtTbMcbcCvg8BPtTxLBkmzNhZ0JpMf0RO7DOMAFJUOZGpgrC1TT4Wr
qb4N+p0ebGrNW+h9VLszPJHyUWtuBvS1knhdvqfl3illuZjV+xNQPBx/F+94YLSff41TtDx7y+Pb
8iZ0mGn8CqZHUD8pARu1ZxoAlNNXQUTa3JvpDWoYAQBV6kPf+9X4JYv9MpHcqmsOysAwCHVAb+gA
E1j4nqlEHiXD88Ekv5b2o6IWwLttQCtJpy5XJWG218A4pE4v8H8tJwijhkJS62deuTO2CB82QFs8
DmgJ3Zmbj5GpG+s+Zs6dwtptD1gVVrpfIh9gUq7NphvVT/fFnQ3+C7brPmYEGcPbsg3YY+UFt5H/
dt1W165mE5ZqOAaqchdBYp+27WQaI8I3vPlgOUv8YMtggNZlAONM1fEuxovnfPHb2C57zHHnbjGb
O8usb61S3SlqK3GOK0l7Ch/CEyvIocKZnIsZ06wMMwe5lbEtnJgto0ruB2CJHxpS557edORx6LX+
kM8doe6cR8X79bVcf9VZFnTE0BGMTLAyXLRKgzQZHqk7END0bPo+Uc9sNpjzL5guCTXWVhWEwSAM
ApoxOCqEO1dNut4K0gFPo3Hj6F+LnBFFNp2zdgucyhCWNEUXdR0t/NiE3mKxVNtpGWDIyw3wcahs
6mOtEwSliT8aCXcOCsdFlITQKG7wwoS4mgFc9stHuc1ZCNiEcmuBODZzkVE+Lu7B/DnvZLRra5eQ
BdhSQEECYglZznMb6gE8jxwhPqFZcBh6LWFJn0jMZHXjTmRwD3LqqXNlwiUOGYGN4UhQnqt7rY2+
W3krS3pdSLI5LAgMkqDqg3MnLGhEFIMO8VC4S2BtYzV0NSv30nbZXLf7CzE4dUCIgcGjyU/Hf+cK
gbg6XmiPg6fU+3D4QoJtLnOra4Z4KkKIuupKn5Ekh4gaDy8lOC7Uj9H8MRDM79igQfD/QqOTNK3g
sfQ61Vu74eIGzTVy5zaaTH+Ol6frYla1OhEjHOG+RvtxV+N4AeofDE5W07BCeafti6PsK+m8Iv81
8WlymnsWDrMWxtpijJCGTEOXfSyhxaL8FbFzVL13tl+WhNm/SL0HvwO7ric3AFHy6akSDAQ1Y0sJ
C1wy2Utb3tHuflpuSXIfP18Xs7acp2IEI8ntscZIHBQM0uewNVhWuq3hgd96MbaImiVKrV03AD/Q
Oc6PCXBX4Rgbw1Ro4YDR2eYjR+E7Aqlncgie5pD9RQMGwEEJkp8a4grg156fr8bsKOhDIYmYN3ay
zbRH+hdI/6ciPm+2E5+kzXpTjzXfofF9GX9qrac2bi4b3V71rn8UuUg1xFqq9yMU6Ujpan3LgHR2
3QTWXBHmYIB/Qzl5yQVhWVqhtmCqCDX0owmIiByjObLq6drGfxZPCZLRyJkK58iZ4Ghb9Kugjo4C
wnYBhEKO15FWhWyqtl2Resko8UerkcWpTMGT0yJVKZLGcLEhaHeLYxc2gL+4IflmnN02vAP1Axr8
r6/lyqnl9wdmgHUC3nYx5a50YdJggBEvCoyIDRzPN/+VzGjGab7rMkCzz4qe4CIgDG96XCEmAM0E
GwfnQtjHTYCaiWu4w/NosDxnMwYZ3uKbbq9v8sPiFk9OxgBVVz84e2fbF8zxKEt8o3Vl7+y1JNzp
51Ch85+WAdCnFOheHO0tdYuX0E9vgx1TbqMb/RA/k6fray0VKNw44QjI9DKB/jFlmE9ithc+djsL
oqa3wM321fanRCI30ysrTrVzr7KMeaAPKSSO6ANnCkvd6ZBsHhZk+wuQPaeSk7n2JDxbUuHYRP04
Yhoe8gB6f9SPy+A6LGUlK+4Nl3wr70L2ThvvDluMQfoW7lQSpUiXWDhDRdSUtC0/P6C9bbUNbIxu
foSHd5Q1Agu1cwYKHslUzopdA50NuSog8TtwSeKTwAyzvrAG4IL0JroDgchB7YHNqT9YdNOZP20g
u4/mR4WUkRNGeI9ukLBnqfNbT5bbHFnMvt0Z09Gxnjuyp/ZT2Be+0mSeBaRT2ezV5Xnnn+rYAGmx
EPyKvpPEzlwtOT41a/14fFLzL0hfDASv9OnXddvjK31meiDmoWBvQ4RNgNAoJmFaB3wybUQzty9L
vCUWo2NptlQSp3lxF3ApjsmLR7g5L/wXML4qWsTo1AC013Joy/Z1cjSw2hf09d+rY2lUA82ejmYa
Me086F0A+hEUDUkUfsuR0V200L0u4iK0gS4cQRmFazTsqGJLcNEpeoa8H0pT1ZdZf+4WUGGhLBCG
rIjfTPoXK4ekP9IlGCTXLBEMTS+qOV3MBpWjuHkz1fBoR82bE8qg3HmEdG4GeKfzUitaqiBKRBRM
20lZUivv3CnbJIpXBA9p642O5AjKpAie1TYnI5qyokPOeGfOvzvnISm80Fkkt6VMjOBO7coqZlXN
OhcMLN2etPEPZSjqd2Dy/1LRMCPZIZk0wZnmWWc78N0dQt3fdPad+IW2h0xWi7o8p9ggxGsIAdCq
gkfx+RVhWq3tRHPSuVkYgfapoqFnzLHM2lZ1OZHC/34Se8aTgxG7LO0AImd7eW9vNU5foPAqzebf
niKuD0IMCtMGFYTwDimzPAY2ByQhNYk0s6v0bpB/62Aazj2gBiU33uWZPZcmPEcWo48AWA6LmJru
Rg+GltVVG7NqULsN2lRmRkfgMOWOI8varC/oHzWFWAqTppbuhFCzmZ+rXAWdpMOKBe8GXeKVLiJh
8GmgPcvB0x+8lQDmO985wxr6rohxtAo7YLSz8IaM2awpfor7DL1OXm477qjLAHbXFhadE5y27tMr
CsZfx0aYqg2Mv5tAZQN0tOdQ3Yf596iawYdkSZS8jL0/tfwjTogbwAumDWSAOMDu+Kl5Z2FEryS7
QH8wx9c43uS9i5j/31vqqYrCyRsqVC+yDDLD7pO/t2gQ+QKhPfSJ9WjL3mWX4xKfKqKxD521KoVH
Pt/IaQKarW2CYNGJX02C2uW2VfZpEbJEP6oabh00hNiehevmupqXXWiCYPHsj3VAlQqCh6A4kuZr
Yn8rq9daaV2QTqIfDudDV/ZzB1APWm0dBIil2W+HXN+2EYZIMEUSVIlHCn1D0Rdy/eO40uL1hPby
fxZFsO6ubsNCV2DdAA5mWvBU0I9kksi4iLm4/qrKG8VMpBzFOknTNDRoZsgAOGfDZgfTU200Dmyg
We/PfXGH56estHdZKhKECo5pyK2FTCGmpWerfE2mcWtFvVcVI4tj8FGjb3RA2S2pv1SoUCfmbz1d
bg31NSMYF7YGrzBnz9CXYxMU2+sLvm6GJ6shOC5Cw35CwNm5OsCZWuVd63fDsM3mHyCWY8Xoh9Wt
lR+Gfn9d7upGo+cTrFzogULZ6tz6C+CfRwnm5AHaVexMq9tpNgDsikqm3kVZ8HPd0f4A7w6aJVPw
W5hhy1H+xKEemtkNhgxNTYPfIadtgrBANbQXIyq9wUof5yWSyF67yTk03/+JFnyYMaKb3uE+rKfD
Ia7rvW7KLoP1VfwjQvAhxailfZVi85xuAsqRARcCMidD/SuXcaKK4DJGWhAtmaFKjRSIl+5QQ/sd
79BCe2x2xa6w3Qft2WbOyPC82M1Pf2Mqf5QUTKUqunDM0IrsximGk5zEz2jrj3MuiVlXL9YTHYUT
agVtb7X8YrXjvbls7PLJwdWTHoH13pBdnz7+d1qJ565zdHQlY0kz1WvHW0qPdPp5XYTEAMWESpIE
o1Px8FgpXyb9XhpErv4+npOoZaI5A770/AzrrYFgFVCjblbcd81z7eyuf/9qzGGg6wTpV0DjiaEO
zYfSylr4iI6kxzGlTFeTZ7N6oUa1a2h2M0zt9+sSuSldXD8nEgUbqHNKakeDRDqjSO/OykOt7Mzy
Z9BJjG314J4IEnZ/dEiYYqgQMLP2fQ8oUaPHMKisT3BVG7z3AUiMQvNF5046Lkpi6DUc0IjrLc+m
PYgXShaRDzLXbrcQyX6txcBoAONtTyh+ASP/3B6MvgyCMm+4UrvWeLdBa+JsOhmjwKpVAAASoS9Y
gFQRZlJBNim0KZYupJnXdGj4yWrc3a2rhjvkm5hSbv7CKP4IFGeho65E2+gIgXW5tbW7BmRH5S9i
v6hUcieu7teJIOHVHCp2HU411wxoMrTzZmC5pd811XUWSd/PJ4eEaOjI+6L7AFVK5E8E+8utOQzn
qEPIV7DIxfjDgbrThs4s3sVsYOnevB03d8nhy0PgOW7/8dze9F52Y27rTcGw5C7y75IjcVmKxlV9
8k2GkP+tyNg0Om1ByXv/ofjhQd91N+Vj9g5gu5vlLnmP94v/mBJmPtQ3IXhJEZxLIsPLdCX/BD5m
A5JEcOuJPBJpUwGiw+lbd0Ze8KBvJy/yQDg0uJ2P0ZsHnWnbSNJBcZmjFWRq56dmzgJgH9j/Q9qX
NUmqI83+IszYBa9smVlVWfvS3S9YVy8gFiFWCX79ddrsfieTxBLrnoeZhzlnKjJESApFuHvA5mcy
+VDV+1Afx0f1Sx18xTycYPQxcT5Ib8xbrPre2oi4S3bzwvgiPRKukbkuG+DwzYybqcJ49POd4otI
PFo7PGPvinuohW2t8xxeF+F3ss6L1CjB8zbmOcyiTxjUoeVBDTvH2I72x139aj44nhLYRxKogb6r
Nw6pP3Sfa7YXp1Q31kIdDaw3uBnR5L2TBxl9PtteH9mBdqM+qg+ub+zMYPTyj5c+Qoa+JZS7+hg4
DbNFOjWwrhF2jJ8A8W8NIdaFz5MnI8X/s/VYVH7hO3JjhJsU/dV1J5BzQgsVJK9lNgwMxNgmA9ad
eNDLA1wKeAtv+GJEEPuKMEjwNhsBjcpqv4xitLg20si1fME4sb786m0BeqID67FueuYQ6u74DxZM
CB4YaJ1h9PaS5MSVgiKcJTjSReYDbexnmx2NtSU0AaoCwAPjeS4UtzVWiIyqMNGC/x/UexzS3Sci
5/YHe+fer+SQvI5eeuj94t3ZWsC1C/bU9iJuzFYzJi2GbTcfoJ3iJyxIUTrAiMfrN95qiQA4PA2X
OBRNL0YQ2UPT5DWGXvtG700/XK+dR3x/T9Cvsp4Kz2p8TJD1q68okAhv3G2eSmvZ0an5RaBgKBot
bTmv8ehZP+SX/JhB3xRyMWAJeo6ffzfw0Cgffm54vfZWJODhYvSNAdT8kh+SdUMW18LA8mrvpPCc
/JdN7ob8NdffMytI85vB3Fjo1Tvv1OQi4STUECn4wK3fUC9/GvYg5D1AjfGWH/K9sDwbs5zvrRwX
EASh0ZXMQrC70zf0bq67vhLUFt7GoMegRov36iLziJu2TGWNprq036rKd8sHbu5QU8QcNgjrPzhb
menKB0Zle+aTA/SFuWgLe7o+OszW6sYHSnDYSRcANzPOBjyEMG3mumsrhw4GsM30cRTaLGsJlCoo
p4OpQlodTffI4eN3qOdsZFOr3pyYWHxERgek2hDIhaRb7XXVFHTiYRh31/1Y2fuYKTK31OZh0WBw
nqcJdt1nBuUwMhkohSZ52MMdzNSKv163s1Z6nafxgCOFN4OG0tO5oUQrjVbpuwZTt28k0kPo/Q4m
hNG8RIGky8Epjjx9uW5z7Rs5EIw3DSARAEhY+JYYGc/yoW/81ikjFvNDQZqNMFirc8Gt/2zo525N
VmqzIoeNnANlAzFIo/Erxr3OiJoumEYvmYK0i9Jkg368Fhzz7HkEObAr7sWV5DJOXQdYEWO8j+Nf
VL5U/e/ry7caGtDdx4gWbCqAo85dU2U1snEYGmhbvdYuKIsGtE4z3LDv1+2su/KfncWxnDKKdmgH
O5g3kRv3Zn+vbak/XrJN8I0cYBtRAQajBzPDz31RCC1krM7RV1ZPUxbPRNfqvZmMHjByM9mPyTSB
r83ZXaWlh8Y1vrqg0QZsSsrn697+wacvEkX8FAgb6Giz4KZfLKtmYuK9lsvGHwqZFF7rkvZdVGny
SArJf4wmkzrk0jgpPcyky4OhZc59mqeg/fVKXvs40Ngef7zaMYwsAIIGecmddFpBvMa1k8qj0GNO
XLADqcLljlZdfcfTpHuzbNVuvEJwkLbUxKKPTJrWz8TJ3Y9u1NHnlCN5py7IPwHEP/onGucaArjx
pC4xCqHTs4eqn0tWMR8dT68HGmFSSfVbpAoeTY6jq2ECHP2jxmq8nGut12/0vne2FNf+QMwX6+eC
H2yCj4FZchBHP/+UQumm0WnGxme2AqXwNyxxiLEX0eRO+9bRPGOEZk5GPxPrt1p3LxAF8lI9+8CF
EZQWEClAnbLmW64nntkKkI81dNOGv1WWwKzxuZ2mozw8M8gW4VYAQKLWFr6x3tFbAXRKVckbST6u
h9LK9XpmZd7Ap93WyWG9pcKK23JxD8mWJvVSB3hXT7XpdFBZmz/nmBSVECBlMEjs8br51X2LcSqQ
zgB47iKbAxGhSlQH+xbAkLtCA/5ZYXdxkvzDNYhPDaLYPFoddKJzLy2ZlDbPpsZPe/LA1SEAzToF
DWVTp2MlT3PBx0LdQgWUAc/0c0NTrYmBlPN554526PYFulOjDSkFgH5emgRJ45RUuq8XmvBsp2Wh
3rPk9fqarpy58zS5+UbBnYWRNee/oR7GDHO+5nMK+dLQ/26gL2BaodzSD92ys7i2moqV3ABI2df0
InLt+k614vescG4EJmL7131aqT/BGdz5DkbvzPn3uU9pLHmRzWHaVCgXGi8ZpmBjxukgMFlpjK7b
WvPr1NbCLzNO8RYdYUtxb9xmZ6XdUU3uCrKlcrZqB/0lJPQoFwKUdO5TNuCEnzBZBVP5dOi36Uid
LaXVfrt2D+KNbbG3636tpDIYyobmIs5RHNRLkQEmczqBR4etXoKHZojnUmwVyla285mJ2eWT02To
zNodXZyroq7AMdUiVxuDbmj/4WgEWR60R2QtoLMuVi6hjlaN83Y2m8+mZL6MXzLl1/XV0uatenFH
nBhZhEGZpFYLfGvj1+RP30XNPZl/YepB096MYmc5EtgNX3T3vbsDQP+69ZVKMhYSbx4VykU62GPn
CzlB6ocBA4eU2m49Yu4xtBNa0/c5iqFp0A5bQ9nWbgENeTXQcTMiZil3Uw7Q6RibOeS5OMSZudOk
/AZMxW2VDHemySBWYh4sQ7xf93ItImeNJlAwgfrDcXnuJY8TJbdbeJlJ6Ovo1T2Ytn9/8s9Es/8z
sUgMiyErDXsOFUulT4NaPmfpDHDd4niuBT6+FgTHULwyreV0RdSucswwYDgLGzfAVK1I59PBLcfg
+oKRtbjACwjZwDw9D1Tu8xWrCSqyulk1fp9qdeUVLj6Y10AkJ1DLvLGiIbXsyBlq+QIxz+GeF0Ue
FHod419S8CM9qtJu9IiatrqXya4mXiebKlCtRhn9Js0gGImxbUcFBdCwmHS+m2UPuBerqryLBzLd
mAAlf8hJz8Acd+P6o4vdMnRSDZKhoCXQO9E205NrCv7aZu50MwDrFgwdnxwPdRMCKurU4f9qcJ5B
DtA2SstLUNz4YWBq4xBWelXtFaa5QSLT+NEReo27UiciKkzJfIubw86opYtZWuDjoKWSPkL6mUaq
VscYExUf8krRD0SxIHM/GRHjZIwmwV3A1NzxwdXVCcQPxbyzary2vLToqzI0WK4+GdJmUOiUprEf
p3Z6HxtbKz1BMv5oTOiPe4VMu9jDYPgidKx0eJWF1HZ9XeZflYRq/thTG5gjJQbw6foXX3vzAk+F
pAIHHaiqyweo7mLCTkHwMFSJSe5oXPP7XjTdAUOgzXdA2+LMa1gvA65I5x4SrhnzZDYOG9to7a6C
wiLqMEgtIFS1OAwhIJipTMGv6DLVq8bBN8WL4YRju5EPrt3zp3YW8Y0FNEZZovriNAmG7UaVm0OG
KKjFyzA4G0u75dPiaMA83GLocuQvakm9HuJFKbDOZVi3G92jVTsYCYe5uzYegsuzvE/cztBb+GR0
aVCxoLGO3HQ8ou2vh8raaXoaKYtvVKCnxoWFb4T8607m5Dln/e66ibV7YubToKIEjWzIS50fPwLP
uNZEBRYIP82feoi+VaC5pBCQUorqswKNJ86cA7e32rdrYQE9ElTKEHrgLs7//CSvcF2hDMa8hEy7
06lfKYmno9yYFXu05v4hLE5tLUpmZZ/JkgxYRg71cw8jX8tIsdXXrqibZ0DVjX/ZWSfZ+iLik7Ie
24KgeGa58aeN16+XAPrVNoXjiYo8X/9+66H439NgEfIj1FJqCE3NqS1GSiZeY+ch11/jdGsRLz8Y
CM8z7gIt3Lmfs8hfGorBn5jZW/pagbK4eDUAXkmsZ8U0UCTc0Bm9dAoID/ikoyiICvkyOGhcDu5Y
mEiQHEgJ/Fa0oJwee/n+t0sHnRFtlsCA1qwJIsF5CI6WgARGZc0iDvIpMz4xMO7ImRPU9hZ0fCXz
nIc3zaoUc0314hFZm4ldMgJTUP4JZH8zGKg07V1cjeatZvlyCm1IJmTia0Zuce/+vZ8oCuLtaEH/
CxfOuZ9uj/4zH5BUq7gRU7IjzgEMexSCtmY2XB5XeIgAjQHEv2liby9CxDFowd0RhiBr7o9Zfy8T
8+m6L+smkCtBVBBP8qUGqF6pTWpajPn1mByQyaBTMfAf122sRd88zwQydKhMX4Cek7Snjhljtvlk
fToQtSBfmxozO8SGmcsEU50/iYrIQ6RD9+78syR9lgvgXbFa5m1Vu8fSJAFm3258/C0ri7MPqkTC
0CisAG2wm2hzl1nmz5KVG7f86pqBVY91g2wNFJrOnemolbnVADOJ/YWyT1nEXt0Gm8N0VwrrWLT/
swNCzrkdbneVlQnYKVgbKPVukt+M6mZKUc2zc89y7yswrGu/+Hsc0LndRWjrtYtsNp7tml2IYX0+
G1xcVk44SHSXjWekUv5fR6Gr4gC0QQmehxQvdi2TMe1klyNHdk0/kajgAn0UG++x3Hh6r3y6M0OL
G8TGeCDNGGGoNYryBU1C/QAlwep2bPi3nKRbROTL946K5gRm1ruoqIEGuvCrVzC5VzNwSLQ8f1dr
FBOSvvcwic5DPno0ICwQm/o/rCUew1B7AAjJudCWzImmODTrGWDHti8GoK/TwGWjF9d/3X8BnxYF
3j/6r7i5Fs7RQTS1Q3B0QKnnxilZ6tkaFIEMPJP+PjpOhR8WhtxR5YPI4dEIFQuqvw7uk1GEtNnC
/K7dXGcKE4tLUsYpAHglDMUTC/J88g0RtSS0R5/bNxoKKDz1ayVoMVeyn26psRGcK8eXq2OuHz4d
WH7WsozB3GrWBYXAhYtJQ5qSh/pohppebWRRK8nNqZnlTKPY7LVCKWAmSYHFir8Jo34x1SrodG1f
8a0oWbU235CzzCk0vhaHJZW1VIQzwSl8L5VXt6r5SemvZGiDFNTM65GycmOiQI46PMSjwLv+84FP
Em1NaVVo8cI1g7JHpTTuSP39uoXVb3RiYXGA1OrYJKULCyQbfAbYxKR1z2ZeRNfNrDpiWSAUGi4i
wlysWkfZWA6qwMHhJE8qkS8G3XjWrQc7yE6QuAd51F3W+iuK/7msLAS7jJ/jWbW4eiVQGDC557ww
lPaHJ2IeyS8V70pWdrvrDq4dxOhCogA65x4ojZ/fbcxs69gaR+ZnzkNm42UkftA+jNVp4zRcO4EN
6AnNbjo6aArndhqrFJpOIfibGeSI6RWBrGwvHgGJc4vdgF4ZLbfumBXoH/BRYEejL4QBMag5nNss
JsGYmMuOYIp+mIk82LTsv5HCuOWddWR9a/uTmb7aDXmmQgrPylPt0JhCvYnL+mCZjRHxroZKkGa8
XV/12fJ5URhdKhwvMzEKgk7L+lvDLU3QEa2wRqBL2PqoziZ1xMtfMSgpo/vapxtxvPaZ5+c2kDh4
EuArnC8F+OIWtZuE+VAX8eL+kxCUtSbwDTY+86pjJ3YWmZ9Tk1RxKgViKcNbJx8HdlAtiWbnnrtH
jUdc/MPdB9ADqknz7kHl+dwviuBVYpEiNXcyFJOgZAGoWNtoG26tnTanZublPTnPzK7LWs3B8tnu
oyCV12FOieO+Xg+KtS2CigE+0xyvwFOcG3FoWwKZS5mvyfs4PZaN6TlkD0xPx8J0/JeFOzG2+FCp
2lRtWWQ4dUzVq+tbne7agm8s26UwPbQZgLbCs2xWcTKX9Wxop0E9x8DZVtetZ6WGJ2zII6Dy4wmZ
HfQqjixhAtCOComV5b4GYVWLHXOM/RowRWeohVdbv616a7TjWpQinQQFHfgfMHYXUYNjPhZZigcd
60gAQX7s8N85b3eV9sYmcEmOvAyuf9u1AELZ04ScFFpN2Pfn35YTpYN+Y4FvW5fZvlYLE/iSVB4r
o7D/xRTWHdm7q6K9tTj1TMRRzFw4VzXT0R0hjSjVV5uIl+serSDJQSyEFQwWgdj4JTcG8mAlAO14
sTJrR/L0bejosR1+jfFPQ4iDk3ZojfeqDx3AF43K0NIbHii66g1Wv0XfWktuTrfOwue8TVpMb8DW
GSGLR8CcxZi9tLrr6Js+/MtJ+t/GWWL4B4DrRJHAVKJ95c5e5k+N/lrzw/XVXT2vT6wsrmXbFbls
LVhxnYPLP0b+gJkgg9i4/Nf2wcwymbFwKmRLF1FpJuhr0RKvsMRIArf/paIoCmukxZxnhUboAfvO
uJWIrm0FF+UHF9AnlMGWW4FmlV42BCcPsvjQBT4nQ43eIU/XF/APZ2V5xZ6amTO7kyO70+qsV1yY
UdCtfOtzawDQqqVdFg4WGV9MDKqLIzDQmeUB/tCXAdfc4TvOKgFUh5ZgppwzFIqPlECrnh1d6d5l
r9FZaxQwKQwkAOwnGlMIkbpNRT7LcXKfB7spOCoBmvOSxZn7JG1w44cybr/W+CsQ/QN+7ktRO3LX
pcA3RoliDh0UnjBi20s7iEw9NQKVrgCbtpV+ltWV4+uGmkcilQYLBdA7bUTawvbENBlB2xD+yON6
KgHgL4BU7nlHfCItHtUQmSuTDlMgW7NiIHmnPXchfCTqe7fptMmzbcl+Kj2hX0Y1h1APJdA39jA6
Ha8qaUJFh7V10vtmxnX7Jh+IEegkUV9EPcjs2Juj/ailpStDzGUW6LBIvXjIddoH0P1ObC81MS/M
LCAMikmUavyecleSY1pCKBB4MoM8oCfcHNKkIZHMBmQHo8kzdWcyt7N9d8zIm8hqDD/t+6HYaU1X
RaXpcBZlbtdC4oua4haixfJ7rKZZ7wup8DC1dF5snKRrm/A0hBbXRDOJqRkybI8SUlVtfN/HzwRF
Hyd/vR6rK8059MMgLu7OIyKgMLYw1GaqmWpzgXGUD6zapyTM1Gis3xxMo+TZbUwOhrK/bnN1F56Y
XGQ0EiQFwhRURBpotHO9BgQ25U8Jn75et7O6hlD6gM4cJDKw58+3odvW08AK2EGDeC8wYqGqs7fM
sJ95LzY+1/oy/mfrzz8/2fJyZIJqcyl4svea86mOT51J/dH5bvJwmsI2f8qarVESK4+MGVwH5Q9I
zSCTcBYnNcRMkwbq4SjSucekfqzEsZE/kvT7COSKFY3YsPQV+9zD9EHQLr1KD2j+pSs+ry/z5Ul+
/iv082XGtCgn7lL8iiEHgyB+acY8YKr045nd9ZFSn261Iy8DCBZnzPn8wkf5feE3szB/kKYd83NQ
+3mtRCZ1DiLeMrNSfIUdZGqQurIhubRUDYrFYPNiqnATCvvFdIcnOqTNvkvdG9uglVfqufBTA4+8
jjYHWtV16ABTtxFal/mFBtk/UIoAo8QMl6WI1QRkKqdzJZa27RG5bLqLS6cPulHpPHcaUY21Uv3v
T4XZcxuLqyFzxg84/6axBtlyLYfRsgYY9leejp7R4EsqX5Xy+zDeY8TkOG31bVY/64lR89yoWsZF
0pgIJGlN+0yzv3RpH1Xg3V+P15W9CufmFgQkjTGPbFn1UDE4JK7MFvUASLOV5X3jvpbINkowMQDH
Csv2WMZb+uGXZ9Fsc0bWYElx9y5CtgRcw+0bhGxb/mra3M8wViAGHWwL87W6hid2FpsxhvbOiF4s
ztb2pio+uzLUxEZ6M3+G8+zm3JVFbDSZ20OPEq50zdOkVp4ctwZ4bC3WIhAcvSVWyuBEDoF13BSH
nDpPpLh1MAvDux4Mq4fXyXrN63lybpfcydBigTPMeVDIT6W1vUkeDDxdYu1OaLHXdvqGyTXvsKNm
wX4AGaFFdW7SNepeCgcVZr0zg7R8GOk9A4rc2Br3vhYKJ3aWk4ZE2hqjmsJOqrFbW2NhB0r3VCTB
9RXcMrOMbFkMZq/CTI9x3y5GhKRlE/Byc9DcHLnLsMNJRKBAD5EppA/nyyZqwSlw1sznVIAElIjY
jPSupyMwjZ1RHjEoBTUzp1bugRAbQgMiNN8cUQ63egs5Z080EPr8e8+hKwiSvIFzGXfR+S/ig8td
qkKTN7HBQGjKovWTWsRhz7Vff2/p1Pd5bU6ilBiNiWcCfHfi4aWKtZ8tMQNSbTyr1/bCqZXFxtZY
O/Exxpck4sPtuKdVGF5XPwHtkKoTUs8vaNv/g18OCk6ohMzJ08JiwmnOUx0lbkqdOMpq1bqpIOGJ
3mZhbXystVNr5t+Bjo+LFMnu+RJ2bdEBtg5TfW9A6ad6pMz2r3uzerGgG4anFNJpsO0X7qRxnkH3
AX2OWvZeMpOS9rq674bI6ELNfdTt1Ov6vwbfgJGrGZAqR7kLKeDCpqK46sglittgCACQBbmQaTyU
phnarNv4WpdFQphCmR4QOrTxAfc+X0KSu3UzUZ2ho1h6kxJMQ+Jp9tdGPzJxw5q366u5dkyeWltU
CUkpuqksYS1F2dhhO0PtUFdpvYpurOAKK2omNeM/kLwGindJpVGmpmjZ7NdoqYFjdZHhlgGFmHPX
Kn5GtECMH5ij54+1PMYFieJs3IicNV/xA1BGhiLmHD3nK1uWwKBJDHnAHLg2issfvZMGJYTLVZdu
fMO1PT5rh4J45c4UC+vckgLUm+0qkPd2M2OAUskkGi8WGgFZpjUhVWaP7YNFEwFZG7Qn8RxEjvgP
PwFsOmRC6E7PsXv+E6Cs7zBois6QlofBEdGsw9w9Ws6dkR2EpB4hzcbeXwtctH8wZh709bkrc27R
sROptQWtfOl8nzRksY8lxNRbLfWIDJL275keOEVVvEvmmEL7bvE19brimMgB+oDeO/VtPZrODcZo
AKAmzYyGBqogu65z2k2c7XwDLm9IkHExbgL4U4yqWdyQFh3gaE5QfWWxZxgCAxJeateT7Js1PtAc
rOMH295NdRdd36nz8l3aRTXNxrB7CL8tlldzSG8mULHyO+W7Yuq3DNURlmz1KtcOcCTsqFEAoG6A
AXX+EW1IaesWBIR9oqdeM+6q6lFmT3aJmtoutfdqe6fr0URNXyCX0r6W6kaes9JQ+NPJw4Tp+cUN
Ntf5D6gmTc1dRQXYdtc+O74Ih1vt1j4wz9zHdxgQCEEN9ZYc9Oe/Xd3ZLKAjKAgC1LZ8OYgkHkph
mODY1M4HkIJ7rbKPTmptuTev3/lXPLezyDE0q3LqpoCdFPPu2/oNGpsHG+TPVh9xkQEwr+z0oX9p
KVTrROvxjqJAW7xdd/byeDr/EYuPbJJSo0IFedgajYc+Tn1qtmFWmHeKnWAwuhOiZxNUMH/d7GUE
n5udY+8kvxpyHZq6NczmjYGM3/C4RsJyS4Foy7nFPkHJoEsGF1aawnfghnwD8N8wvozx9yK/jeXW
2+byVjn3ahGwamXndYrc0W/MMIVOd+oz90PdEpBbtWJhhNmsAQge7+KTsSJVcdqBeIMBBarcYa6O
6CG88uX6F/pD7boIzxMzi080Tg7BoxNmzOP0hfSe8QkYP3L9m+7DPnRP/NlGMvJL2doVl2cq1nB+
tQOiMANzFzkPTUhLMCIGuw88aRMg0pvmN7EDoj8MlUeKQA6otu2v+zr/zQtXT2wuMp+kaw0yctjU
ZJRnv6XVe3MGkt136VbJ5fJmBEZ3hnCBFw6w8xJ4XKUdKZsWm95yjg079umxMR86/m5MT4O5sZZr
gXJqa+FWryvT2FewZYK4mtohjwOz4p4iDteXb8unxfVLNZNWNljAYMoWoESjD1D9pLYeZazzbGb4
du+E1y1ueGYtQJqTSPq6SeZV5A9V8osMb3TKPHfrBlqLC6Rn4LCgeAUW/yIWG1aoQiHQh7FI7jnF
vS1uoLfpQT4PLKfrHq0diKemFt9KmoWsehum8uwQV99VcrCSX/+bicVnYhUH09KCCaFJ9FUeFf6j
xhPmupHVL/Pfki1rIG6LuZaxNscc7U10NlgDyLEFxE/s2A+aG28NhluNPQM0GWgOA1uzrO3YHXca
THKBPam/T1mWoB8gg0aMt2rBvLE1Pmz378Ge2MOo0uLpgqzoIkFw0b9JGhFDd6NqgFjERQLd1zQo
zJd/WEswuJBhAu95AXlOKq0BEZiAfMvEoUAJE20GV0l8viXGsnZP4jTH8wAICXBIF/ckFWbWthMW
sR6+t/wWCA/PqHYSIyaaAL1ITW4E++q+OrE3B9HJ7V9ylghdwp4+7SvhGXqQdF+JdmT82/UVXFF+
mikRaCaAgWHjub7cwToVONmxhOLo3qMWoX3ke76nx+ameNP8VvEgcPWIMem/3H6ffyrRhvm1y+zU
/GJXG23aqu5sfoiq+x6iGaiufha3yo4G7T6t/OvmLvceKi1gO4HxDkARJvqdL6teKlBHpVnrQ1sC
CFrRHeMpGPWN037VCrSHwejCspJlLwiDay19nFB6q7O9tO7s5K2RgeK+X/flD/r8/E42IPOJoZKo
2QK+s3yhj0KbZAkCF6T8FI+GOv673Wm3xr1+AxXOxKt2reGpKGF56Q050AAjfG5pUG88gi4jFb8C
U3LxvgNuEsSkxZKaboa5yvjbBVQLp0DRvJJHafXIm41Inf/QhbsnhuZVP9kSwklSNBzhrjR+QJmo
HDCf5XNjSbdsLDaDPahOp+RwRn3q7mrfPjiRsRuwrNTv9n2U7FKfh/mOecgRgiy0DurOCc3j1vtq
JbM0UHgBNH9mpswP53NfzXGKhQrpGD95b35gZjVE2R7sXeIpv0jI9pBMOWo34wbMewV5e250sRWp
5Uqqz0a7H0CWB8Sb9s0d9cxDGynfmvtxf32x19b61MfFZas5uZoqA8xl4x30GezhR7WFWNhax2UW
1HNdr9sJNt75wTkSr3xSPE314rsPF0OfuqN2fPqfnLIW9Q7p9nmnzwb18ZBZB0PdKVuZ3eVVdPaZ
rMWjeCwrEscFTJAX4wPpY8A9+sp2ZCMc1mRKT2PwQjpSBae8H+fvc2gqT4Munq9FRWS+Yi+E1WGM
+v2bEzIv2RVeTDclQ/XLvOXcz8XrKrGT2GzncBRh7Kd35n0XZV/LEK+rW/k87DvsQYK9qB7o4f63
fNQfMH85pJ8xAnVr8vrmWiwOuUplmRGjPob92IdGkN5lEYNYfuSGkAv/xKjjd2WX3b+kR+Fnu623
10qV53wlFiefa42Wlc9fYryxw3jnoDh5O4YatAN/3QF/8wN0+Sdn7268jeb1XZ63aCXNtwsIUOD5
nZ9BXKlHtdOcxidU3RVdedsk1YYU7toRcGpiceJABk6Vs2SUDyLynvNkT7Fb6p5tgHvXrihcTiCJ
O2TmsSzKAcQoOvRTkY1WwvqepyXqKSUB2DS1noXonIhZ+sZFsrZHIbxB0NOBsjAu5/O1M8fYgTzE
/N5DQbdI7ifX3g1DmE6HFKhfMJHLfOPgWcs5TiwuxzzFtaWO/TC/jqr3pKpDWdNvA5tnuA5bteS1
jYnxgTP13oFQ2vJyQgU5p/H8oABj6DZPume7zDHbrrZfpYife+hAoWT/dv1cXd0Dp0YXoQICTd2U
KvJEkkyPQNkFdun8cLLJd8m3EdMd8oRGY4OtUY3Kk12196BJ7lTyphbQszaHG2aRiOfJ8/WftRJZ
qN6DDKnPnLaL529lJY0zZRQCogqAOMcM6p2EBzYe9M5Wl2QF+YPaPfpcKPlomPa+fIJgrp7qVhy5
a5phcAhEWrkSaAP3OB0jioc9MSoNDNkRZaHpmVlZeN3V1b168tUXIV0z4KjjEh9A66Yo7pt7Kbhf
pfXGh14NLnhioy+Kx+PyOQK4NpTpJI6EUn6zOyCJxsRXM99WHye5b4niXfdq5QNCC2h+p850Zsg3
nW/UTm0mNXPgVVF+7QwWOVr9VE6/2QBSjLWlgr3q24mxxc1dQwSQ1AOMxS3UXVi+z1u003w7vW27
g4b+2nXfVr/YibnFsdcAiGc1DZZyioF6H0SYQTpYUmXjAbDl1eKe7iHjoAwxjgOJASuK8R0jvhT1
u5Z9DM4tUX5e92n1mDvxafb55BEwSLdxaYslrArdQ7oa1N3PRLJDAV7S/2Zpcem2CmuoOr/4bfa7
gviqont5+8qgT3XdzvpXAgkRkg7ofy4b9JAMMEmmuagsGKYH2N99B+BG2ub762ZWb3Oc1f/fzOIr
1dhtFuG4A3mXq0FcUW0/isQIr1tZj4X/rCw+D6MQ3nV6OGO3dxDhigzyZRAH3u0gCFk7X68bW48F
MMYcwGlR6V/sXUwentxYQXx3joIpc3gPgjdmQHwpZfpGorLqFxrE6NYCHYVH/XnY1bbUjBhDpFAU
hDCQ/WzUH0Qq3lRBDUbztS2w2dqphLI0cJ7QJEDzdLmMBvrRVoqjnjWWlzf3DaTrKv40Dl8a869l
PmYRaNToALcGD24JSGYmUnzoL6EikmjWfmgS5NF6RneMW48FRKRer3+ztTCErAia/DO25mIo6cCq
yiy7BDrjTRaWenI/JjK6bgKFP3yNReYKYSCMJcXkOqjuL6Uas8opRyvPW99BcevGyrL0K0kwDlbr
BEBDhZ7nryxWRKgaSXVQqFH+6CrH9gcjrl4G7qSvMZCsT8nI2jBnCuYIZtRCIcdR7oTRDPd9pwnm
oTmJZeJGXv+QTtl+yQtp+Far8S/QkXdSX2pc8WOnkp+qoljPLTjp903hxoCvluleGxL5i/Z2adzL
2EwPCZnztGJS7d+27Ko2MIpUP/BJKqFIpuIwqSkpg87NrfjWzNPszuLoJ3ilLC3Mxxg6fQxGOdqY
oKCYmDGW25WrY5KbDtZsPJVmGmL0lsG8ViUtnhEiFWGh2kOIl+Twe+il22IecAZctJv1ruHHYmKH
UTPkbaYp5V1blOLVySf+3ir1G1RVH2Fq2MuKgVM/qtM0eB1xofSV6iVAZ7FuRGDhF9960jn+pPHi
uUd/dJ+0rgb8uQ6dPSbRMYZELG14aNq5GPyxVG3IiBVGaGdqdtAKpoeFNrPcDUluEElKyIamPSjN
UN9YkK06jODMD+g5yBS0C+hX/8jjXktuzGIqfPxq7tw0nU2rsDYbAt3ZVOp+OWHJPaRsMc4LpmLq
QdHksyL0yF/MhmZIXnPcXuDbv5e8Gb1Ocd1IDjGkPmti955jtuo3CUIGFIyKarQD8/9R913LkeRI
tr/S1u/RG1qs7exDiFTMJJOarJcwqgqtEfLr7wGnuhkJYjNu977cazZmY9WsoocDDofDxTlWMICH
BuMtK/QHxKVTlV1w204NMW/TdGhHp9Ny+THvSbYp1aGUHB1gkateksZ30QiAFlRLZellQIa7Hy3s
mSvlvl6gIUKFTLnWwkcV0MLmTg0q6w6Rd7YZSdvIvg2SZ+UwYRDNsoHvq5ubXGrJfpDBkLprUF4A
nQXF/c0rERR+hWX6mg20oLGzi9wyJruNSmR4lL7oVm2eqw9RFiQggEjzfCdkorgp/aTeDBVwccx6
QscrJnlUPJsS2cjtJPDvtA48Ft0gkkOrgIkshCfbNWFebXyBWHulTyMZsoMkdg2RBBsCDoUb9ORP
W6VHQRX9rJHkFT6J1uowATCptDrgcWtaH7hlanTbrk7QjDNEAwgXgD3wU4m6ILabLkJ40ckDeDCD
wd8rgpDeikbRf4D1LfJGawKrW1+QjYmmtI9QGIDiN8TmdJHksQ9gJk25rhpJcKIMeXBbgc4rrepA
MDMJQf0D8/ORbBtZGTzLcYxaVhmVZn/08zzb1X4KpB5TJOm12jfWLZGr4Jgp+fjcj81orMREsdZT
L/v5ZjKEZh9KqYELEF1LXkYS/RqgaGLr9qaQSnsipuWNJpD8Qhb0+GehIXjCBJOFMqAK3GMPc7Wg
EtUTs+tvSZ+D0gLAszt9MkYXaNwxyDElY1y4tzljG3gYY6AfqOVIOGKS4fSC6y0j08wGbNegQxRd
YUJf0gCaeMNyLd3wcOvda9WHmtaYI4T3bO1k9zoGhZsXB8Acv5534Jzmt9OPYWKVRhTLJkjonZQC
Crq7A1SOGxs/hkFxpzb4WVRvVaDtQx/hGCF2tNgsxX1qzVeDuX9TSUjNfKAJ/D7exXnrthU4GhrZ
qTMVE2/SRgUCjZ6iIQ7lXIxjPy4sAI1c2AsMm4FshUXba751/wlVDNh8XGB6/ZqE6MhuwpWSNz/a
9LEQMZlfdwU6p4vATcvQtsph4ZLmBFYYYaVNBhiPx/A1oz74y5UhNSqIJ9WVhvF4HJVdl+9yVKwX
NKVl6G+azkTRT5nF84XQTgZpa/AClZUbWZ4YVx7ym3YtOmP3oEfrIdy18kIszInmKFU5XpfobVQR
dJ8KTTBu7KOch/AK96A29Q8YidxMkwhCw9xwyjq5EcaX84pyIjoMfAP7AziweNmqTKwaBoIwpS1E
Rk3k9GplB3KI4fytnwL7cX1eFifGAjSridy6hKgePHqn6nV52KilMiJRoLyhJ902iHteAM8+5gLo
+s42DW4Q/YQmBLSkisBdpmaXee8/pXEy4rWUVgviqLmxNoLJKoDAIu+Bmh2zXaoW4wrXJmxXd1v3
D2H8GOgLGULukn2JYIkTw1EYS6GHiEEZXH0AatYS+++CEjpjALk/qb0uQ0Jbv5rdpjXu/0GNGuiR
qIChdR3OA7PEp9uiTII2JomE2DoKM9tscdcDZkCQpKdcLvddSK6nMLTLql/qaOCdJ/R5o94JyEDM
/jEblCgpoJBEuXG6RrL97FXMPMRsQogZw/RuEBfyDdzrAfcUIL5p4k1nj6+QDaOAORW4px+5i1GY
9Kp+lC4RRW2L94rY44I8nrVjQgp4NwbGKnCiTpc1b6u2UejVmEh3VQH83lfBuBiWPCFPCoYN0DUP
PH24fUZKG+LBJyqwjzi/ampn9Ae7UhBC/P0GPAUdzl9ymLOrlRbpo0SENmBbEAtj00zpvkCgmubi
QsGWd6iA6QJKDaDRIZnHmMUg1L0WhzALhBv71Jz2Y7LkyXmnCqhU8Ar0uYwH5enejJ2oIlSAKWB2
O7A7Pcco+hD5gHVB6f280+OxW6APHWcLaWhAh1vMyuG5UQlaZiEq8YYnPHzQ5ntB1pWnOtNFCS41
/dZfGZ5xj/q7PRZ2vcsXkhBcZWcfwKxnb9VJmhr0A1JATg+7PP9IlhC3eXn2mZaYHDldUQv4JEMy
QYiwQdhfeYfMI68gcFunK31bvPl3zbF/BIX4QmMGr/gMuYDNwNwSclRs3lcz1LbOBdS4mtr+MW3A
sRL9CCUn2N5Woi1vssRZbD2hxsHeK3ORzIYqIJbpEx+qik63lTZB6+rHDgOsnuQIz/pGvYl38qVw
FDdLFVxutE0hH5DbszC1whakZK0cQ4X4GO1cD3v5Himk2I3W/gZ9BWsgiFeg/qrX/cXDeQvmnseZ
VPrz2bU9SmlbWTFlfR+OiajZvrwwtUIN8PuCfqlFDXgmYDI7vI0DCKj3QN3rLuKf+UO0sjC19X5e
E+4VMF9A6k1nkvJcb5JIxQJmYEy9JE/5PvIENFautLW1I+vk8bw8/sn7UoxxM0EYRB0BCgX492pX
lzRbBRRP2t+dl8KBkFFwBr7EMAaJ93FpSB3EEDe71GzRqbwnjDWJW/9WXL00m2hBLc5w2KlAxqOo
+hB1HXiwHeUNDb3ZYRIdubfbp+YO3FjKknq8WB8JRrwr1E8WWuaNqWqFFBsVzAMd/OSpWcvPaGc5
mFfaTluyD95tClg/rCYN8PGIObWPJm4qawLih4PM2o1y27nodCT7+MnchjeYQ2svzBV5iddL/NXc
gz2Xy9gl5veUJEBJ1JHeEi98yN1oADKkPdygP1tz5Ev1RyzYIihllyhCuLZjAD9cBVIWWt7Zm1CP
oiosQPvgtLFYbZo8QbJaI+PoCmEsbMOih/pThUJQqWgZ/KqpxrdTJTb3RY9pMj+Thk2hTPmhrEux
8M4btsrxC/NvY+yaTGadAzcBfiHvHBnAc4XQr86L4Joykr1gncLLjnY0nu54JcZgVjQNxDWTihyg
citVz70cbpKsc8oc3QXZR1mK150WLmQr+Mr9JZgli4a5m000YuH9WFr1RrjKpXS9oBzXnL+UY5lZ
Qh2ZPzpC7/S7co9JW6RfcE2K9yBrDD72wmF6SX+KtrJUHOX589maWjTPPvOyZCpCqdQ18DPn4gMp
5U3gN+vJQA+coYIatAocs9KPTak+n9eX527nchlHkSo1On9ELGkGOvb0tRJ2Rnl/XgR3RVWMwkmg
F5EABHiqWl6Ng2n4WNEMHQXIX2pXOvrJxafzUri2MZPCGH4bCSpI3+m+Re9muW2XWuK5URMdq8Pj
BLOE3+b28xjUxlGAqEkBpzFAYCvbuBSPlau/VStr226GpcoUVyM8MRHX05mzz8zZzCQmPUcYXuDG
6OQHod8n4sI55m49IDExXEanetlqaI1ZAqAnQaG2LtB8PACk6bqb/j4gNx5z6MzFHCTedEilne5+
34fwhABnccbmpui9ajzWycKrkasImjTwLkHmQmQNLJBM0pEel101fr7FL33MBsV980/seCaGsTBz
yvB76Q1exUDoTOzM36j6g5gtPD24x2UmhlkwKxWRmqf36ThusnKfGNtWcJOlRwD9WDZ+pI0tv9ZM
Zd4evRXlwIKAFNlwpngv1j9Sw7XAQDp40hJxNP/CxLMRqFsAmVXYAVwh1Tq1r0LitC9m61WdN+zM
3FbW6S5yASke22bnAt1AWfBt/CM7k0uXenaCpLwGjExN5e76tXEl3OA9dyhahxyIRxzy3G7O+yDu
1lFORkxTYY6bBTpWxVYfFAC9ObG0jybNAbDkNq7fE6FcqCRzg3IKg/FLErt9Gso7Ju5hbN/otOXK
1C+08lEaH8N8m+QFkg1bEl9npd0ES50u/LhrJprJrim11BtiCyUt0HTa1mN4K90AfiOw880AaAAn
EZzwIF6Aksmwzy8v12Znkpk7EpQOOBZ5QoCMh/bCm4zslRbQeJdZvB+qpWkrXj8zKGXhu0S0FqIH
gHqdmfGIcQiekQp6NobbHADMiyLZbvLGo7EuNyg5HpTSzq7km/M6cushBuAJUetBJyiANE/FKkVe
JdoEmyVu9wjfb/u3wfY5PFib6bggirueX6JYI4p70wr8CRqWT62nr6tL7TX5KA7j1VDb40pdacdk
Jf4InkN7MR9Aw4pv7mcmmjWisVeKlmrZuZJt2dk6vTAu883zve8AHnzJcPg2OxPHWI7UAQC1/lzU
lWVLm2PnRIfONhzlJrUDx9inh+x1qZGZhjXnVGQjKwqwlWPCElO3V7VwkYjHurcFHf1A3vl95F5/
NJOJQVQAnLC8Lngfx1kM9gQnsjCurUp2b7124fa8EG4wMhPCuNJEr0lrxXA4gubb0nCDKuV5Abzl
ol0/IPwS6egcYxGAoMwyM8DhnlCtIWPoTEF6KAbLCYCOmxv1QhWC56rn4hiLCIiCUb0S4trYt1M1
WLX1QShX2dJ4NDfJNxfEmIFcD3EQyVi4YaVs48KuNpo9uMMF0LfrCzTXaT/aC2HT2/n1sHS+l5aU
7unMg5WgfkdGHaLVtfaGHoHCntzEszz1qi4d61pdpetgO3m+ly+9ZpYks77TrInSZlhdy3zJwl1q
3I0pmh827RIBPc/256vLmKXV9lpPCARpaE+scrsI1zJIcs6bJvcqsCQTs3O0v+P7FHiTtSahMWyV
e4FQoBHmIkgfa3UL2pc2vhBD0EKBGQJoBftYvgNqpx8upPt4Czr/AurKZ1spAmjc6GkWk2RX6XiL
DgIbvSwoutpWvMQtzVtT9PPAndDCj8lmTA0xySZzQGgYjVey8F5lK2WpbLokgrFMoW46WaAixkK6
zmMkwHR/BUBXZ2HjqNNgffBcFcYOkw4Ev6AnxmUKhtP0pRW8WvaC4qeiHdCB7Iajk1lXQ7cQBnLu
VZgJQBuBGYkQgh1MmoY+RdwNqVJd2ZL02gFLKMtsVbodfLSMt6vzWnJc2Yk4xpV1RZSm6B3DwzSo
j1WeuyqJVx2GZfG4W1hQzi1wIopxZhNei2av05dWl3k1SXZBo3v/O20Y06g7wVBGAhFddjVJj6N0
a063+T94MkIRXVfAqY2JZnZopOqBBVXQgGDob9GEo0XbfAkWh5cmm8tgx0Qkgfg5KXEvj2bqYlLa
tYLMxmzpMwGMvxxUHiVxnaJhU0Xj9flF5L24TmQzt+koy4Ol9ZAtqk9x6fXJLi03RfQwVV4T3gfa
hii3Y7XtS1cVrxV9wWFyvNWJdMYiAS+vqhX4RgEErTqh+F5boZ2EYH8oxIei7BYsZkkaa5QgQk8T
+upqraOkfKhd7Jg5oGizC3R0Lqwr/XLGoSDnidBNxZC/irTGqR9WAErdmT4000aEy5WwF1Ha7Ulw
rOIQZV7/ucjRcEqkG1S7rkw1orB55z+BuqxzX8DcBEVmCpaUQNt4QGeSafYSGtxqyTGkagkTiLuw
M2WZp4iuAB1czKFsG2kXoRCsSlXbKVZnJ3IKmKD3f6IYmk9ww4IWhk1HicEUprkExbRqqw6gIEbT
4vq8CL5CXyIY35JGXeULA0RI6AsdDLsEv9OU75NuHScP50XxTyDg7f9Uh+7j7MaW5BCgAhKCr3GH
wpl/kFbNwXxHJeYIUHRtp27S66VbVea6Z9qLrYOLGg2GzKm3pCGRuggyyV3rxS7IQjZogxUCO3JQ
5vWUdeYOXrYq7XCnX+IHe9juhXJslppUOEAHuP1mH8I4gCqBWfYpPkS7Sp2H5AKIL5nuyMQ19xii
csbNS+KWlS3c5ffKNlwI7bnX70w44w9EdPxGtYZdHtNN3TuickF8R5W9KL8p9WrB1fFiwxNVGZsq
hjqx+oKu+ap0AXCwfgKAfreJXetGuiEeMObGtb9wDfONywRqj4zefkqFcWpcWN2ql8UU15eu2w3G
jQqd9kNPNniTD6kGwhNM5cl64OlR4KSSDOzvxG21N0zWLbwLuUdq9iXMToehNDRTR99RmCHrD6oF
kFIVk9K12y8RCfGtaiaL2djILJNSGqG1usv3B1RlumN8JBv9Dg+pxNZtxYlW7bvgXseY3T1/nJfU
ZHZZlHvwA4QQLRjoWtAxh0IStwake9x9hL26ZFSc8i2AA7/2l3EeZZxHplZC3Cg8DqFmt9W2NjaZ
D4wr9c7Sj4DVsKNqQUduHGmCFgoIeyg3sEOPwiTrbVFDqA+Y5RHpelMvr4EuIRVLaNj087/dYTNJ
9EtmvlHTKmBOqZAUoPAUAcICDCOiseAG+EKAtAKKLROTKcztFZkNSTQxI05PEAqD4DluzFUoNu55
y/guBqAgmKFE8xXGopTPAZmZLn7px4GfooHXAAMVGjQn06tB6WWHnbZQGOCkBiEKYwaUCBFZbZ2x
/0zqhchQahTSiH6IgncrbXey2K7FMPHi5KehxY4A9mVDbreFuMQI+v1u+QQ/AXoR4Bcx101PyExP
U4oBKVlBeDnGqyjWbpJu+tt1nFMRTGgjx0MsFhMad1s9WRlo/RbT1C3CcsHOOYH5qRzGMpQcu/TZ
IByneyW879GpOejXjewm1U4PYycVn4RgCWrt++miQmmtTQfOCOiRTtcvryz0szUEnZQt+tcyf5XH
7dooZFswl5IFS6IYn9xq+jgGKkSFpu4Nw4hbgfaxW1foQl/IMX2/a6lWGJwzdTisb3TqGMSyukDD
lgmpk8UPJF/lXWP7xn2dvWrmUlzBV+xLGuM36iBpVEQVqP9LB92sQVCytcLITrQF1/Hd259qxdg6
MgqikY7QagwydMX3dlT+tMRmN4SPnbBE8LakFGP1RVhUclpAKYF4EZg8EuOV+P1Vs2T21KpPne6p
UozVy3lEKE8OHtZjZLlV4CfoHybXxOifArm/bMce/eWjOl2keoyWg/NekisciL+oONLolO0r75Bu
EqUMwjUw9QigYBzehGZrZZFdNLdp+TNYSgxy4jKo+yWRdZaTJqFe1PZoUnkBGPZO9lSgh96U3rjK
bypEwPDQa/Fi6cnEqTScimUChQA1Fc0sqdgH9C+HrrDxAVrUP6gf2TrfjECRbp36J65vbeEkcu8h
uBYKWSChbsT4FzRTRwUK7XQQ82BJBFy/7mjUC5cdp+4I9WZSGNeCXvBIkRpIieu1BqjoABk0w0E3
vysC9T8ovGBcV7Flw4ta3d15G+IelJls5vrLM6OLMDmAzkCiXowphIjVHmRh6zrSN+dFcR3ATBSz
ixkatOMygKhc6NdCNq3lEQ26mekUemrDxu/Pi1vaO/rz2d06lH7ZpjnESdZzKV0X4CZdHBxYWj3G
d2qpNdbhSFevBudWeZ2RTWDszGnhoHNVAakK4KAxCfktQQLwXBICbQquM79IBbcu38KlMWr+/U2n
H2Qa3H3DraiQKM5MGaGIRh4lE7X9vsRzY3qehOagWbLXTeVTLiEPv8SQwL3tZoIZVx2h1S8v6G0X
KavGqpxigiMhAHxAYK4jzRbr2gIyFNcQZxIZp41BQfS7mfR+FUvUjWRjFZvPg99dS5XgZKq40FdA
7frbHfEl7ttsTi6GYUcv2JgITtkG4PqZlmirlmQwjiqvMZmdYSTMUbFrCGd9WxzFpZYTrrXPFGH8
FB6JmtrSsbO2Ld2oEzXHl01vMiTEDKC1OH98OX0m8IpoEjBMCoOMvsjT81s1lTTKI5YNkxDFtI6K
Y+w/+81eDe6IooJr+FHWtm18LMNtEz4vCKfr9X3PvoQzBxuoSkUetRCupphXvVDlQ6A/avEGfCdp
ehtWe0lDf83CbcO9z+l8hIoqB8IhRuOpKsHUGEEo6HnwQpXWmNt3e1n2Sg3I+mDRKY3YEbPFvgGu
sjO5jLJDE5qDToOlKdpPY4RXP3CffXP0huLBaDJHGh/ysHUK80ED9MY/WemZcCYsbJtUMSYawhMw
nQnqocgvDe1tjDFQYOxaY135blBvfOP6vFyuLc/EMl5HCKbACjuIFWSvic3rCnP1ml+tJOPhvCCu
754JYpwNZn76GhjTeDcY4XbEC8gU8pWaWAtXxII+n+59dtvFRIuHUqNiBsu3q354DJUJo76olbVL
TRj8N/OXTp8/nwkLEzUokwrCYvmnVHoDABeCrY8B90qwAM6wEtvV0Ngdzsj5teQHgnTIRqQtRCD7
PfUJRYZeJSNAxEvQ9hF0vpMMgavGwtpUMpCpFRs5xRh+V29VMfZULLQwGbcpQOBT62FUPsqs3S58
Ef/sfH0R4xPLOgMCd93hAYC0DgBZu6sudfIq3Glg8DKUtdCAIJl4VrAQTH0Wur55qNlSMIEbyJ1V
LTexFFP1XAfKmuho0x/0K31UnSIzvBIZaim+Jtm468wBEFTiVgszADreApkDsP/+XaW/9uYznQoX
WxlmEu46I4ltNJ2vSSF9NGntBQGAIwoJHL9NHtsgkXL6yrg5v4Tc23imCBMWYj4yAT4gFEk7TC9t
g/itkiVbFd1gGBd2i+9gvzaLcbC1D3opnz6YKvmCyLeNP6zF8loiVyreFIJhy8bded34h/9LIONZ
g1pMdbWHdZSqb+PQbxoRCBrD4J0X8z8cyC85rBPNVVA8oSJOOxlMw6tMJyjAcy86fb1NEidrW7eb
bJQP1guCqZWdWiGYhgEHQ1teDYqyeHogSwsUULKIALiM9o2PETB1p8Pi8Xxp49cEuZghdrp8P2Ru
jXFev19wrpwHKeTTORkgn3FwZgUd8MEKfRkGFVLIDZIyq0S8UIGr5VcmeOpHxyiOmMWvQdU9NSjq
KW4aXoljvjq/EN+N+PQ7mOsEdMKAOKrwHSGZyhUyAr0dD6Hoqnl95QNnx85lY1yQ+d24IBPUW0gw
AdYblanTte8nGaM6FE+4tS5TdRNUd8kScif97G/bS5tDNcz5UWbHUxHd1EgmoHKQG0IpZOyCNXrn
vdYEKI8Uyq7l75sQ3eHnl5KnFhCuMfgP+GngBzMmJaD/Q+xVqDWMlzrwOrJxBaih8zK+h8u4QWYy
mHM56FYgB3TsFi1xpgCzidP/pRbMykVjlfoD3ZwsdDoklsfLKn06rwT9SHZz5kowNtciM2AJAkQY
OWgWWzv1PT3Yk2ahS2pJDBPA9LQfhx4zZ6gOyvBe9I9+dm0qC3l4/o5YgJgAxxsud0ZKNup9MKbY
kVbubRKsErKw5Xw1/hLAshb40WiCGhsCyvG2rteZ8RD6t3K3RBj1/YqBZck6hqwxlwNcN+ZQBkYE
QgG6Wn4XKIUNjjk43qn0tXc9bvPHQBOS90ktyd3kx6hBNWniL7wiOAVrfAIg/kXkClTj20z5FOuy
OU7olKqBSF+t/W3wQwvsRnOyrZc+aE7u6JcX07tya7j9k2kjk415V4DBnbdOTjmVfoZqgrmB3g8s
iLxSAQQOZIQoLKauvBvc6If+3K5A2m5n+6Swc8+6E/7+dM+pTPnUX5lCp4aVheYKXEd6dycv0UJw
fdNMJ2Z3ayLEwMrC7w+VfV1udOveit3z67Ykgh6UWWydRVYvqCZE6OaloG0DM7HVJRJm7lkAmyLY
dxSa8GEOW2dGwGmLISOraowEv+B5ORSApzJX53XhyQGIC8aUQO1FD8WpLmLSDrByWsfuQCBvTkl3
m/pm2Dut2cqvQxIWxYLV8e5hpGrBmgTGSOA+M6uHdEKikBqNblYKyO/2Z6BjaKmA1RudranD43n9
eE5Llf+Nca/pGC841Q9FnKpXKHWAOhTrzNTx6lmq6nIVknEFA9sQhseOhRpAd1UyHTewJA9urnvA
BbRrUBQobyq5Pa/N57azF4qOQTyA9AIN5ft2NWWcpg2hQ8fWhjzJB8UdQEX81F8maL615TcQgq+m
S92+zw/61Xgcr54B9LGxNoYNTGjASpz/Ht7qzj+HOcxVD9rPsMTn0E0cfAzgjA/nJXAgMYC8OdOY
Oc9RkSmyTyBCWWmX/qFYi0fiGhvjMtu1z4Lb7cqDbqdroPttsj3Ifv3N+Q/gHZC5fMZcidxUqOFA
PkXLS9O9GV36heAWeGj9fUEA4oSx4lgAkJOx1DxWe7GgE8xyEDpofMhEu0F7R6Zuz8vhei8NAlSL
NgkYzIkfjCobm8lAFjn8YXZAN/RTe9SvzwvhnQkUy/8SwhiGHhpCRagQFU4lOk79bdo94CVit+gJ
Pi+KZ4NzUYyBFIEvpZMKUaa/163Uy9tsYWfoyrOHbi6BMQEfJDml0EFCrz5l0WaIrhArSuV9AwCP
+KnoF9oBeBE9HDIdc0OYJbOMj2Ro6iLWgBmSFne5ktiCrNh1+B6Wb6rxI8oXzIG7fDNprHK+lfbI
CaE+P24wCC2UC5l87uKBphfOEcURjNaeOuAEYAV90MHda90jCfaKeJmUyLdYzwY6dEen6t/OmwPX
vGehFf357HLOO3HMTBpaxZ3qVUh8w2V6gFFcuDeXxFC3MRNTG5mV9SXEpNoWCJ3gHUWkuPTO4u3N
/HJmTtFUKYEQZOixy/vHrtyJ1v35teL5tvnvZ47OlEhl1tEZHanZlN3PHnzh1rjusqXSB88bYLwJ
1xbyABSb7nSxRkmKRSB4AwVncKU+tDV504lbs2/wIFpw17x9mYtizFkIcwDvVdiXUkF6c0pcJXys
zMg9v3BLUujPZ7svdDoBbjGkmOIuk8D/njzqmI/5J0KAtgZkK+B2s7zTUytbOrGoKvK7XzmGKjsk
XJrx4ZoApuf+FMK8UOsAnVXAnsHQC0ntSYlcXUZjSSLZYXt3Xh2uJINyZNASqW4xjkAuke2OJUSa
BvokVf8qHja+6GH8+bwYTpWUYo9hfAfvO91AoHm6N0MyRnKEeoXTGapTacZDrBq2qkw1+hcbe0KW
acy0NUqXK70Rns4L5x3YuWzG+syRKEXvowos55PTavVxsqSFVzjPnwK/CjNZKnLsBhttBuEU5rAX
2qMTwOW0eeeqTSC7AFVGG1yhGVtS+4krm/VjrvbtQqGUZ/h4LcJgFMTUeJucLm5nyL4xRbgtjBiR
Q1A4fWnufZMsPJB5tkLR3FQMYwE4nAVPaFMBoKUDQmrd9+QUs6pd4RJQ7lnV6vyGcfX5EmSKp/pU
Y9GHJY3dFbGReluqfXKL2aleRJIjw4k4L41vmzNxTOyFFH1BuZWgF0B7kki00xjQXwMueWCh2nEE
LmkrdI3hqi2npTiJF1YgEUk5KCSkCg1m65Rc8qUB3aGOjzysat2UJQBf22ofJrKrSu8EaIDnteV5
/flDjxFoWO2gkpx6fa0HkgwJAyfQonwjV/Ix7lA9rRZOH6dLh74VAPpvUERbXLmnuxmn6D9s+g7T
PwpaGXHSkzEH1Ka6i3SAy2UI11oS23IkelX6gZ4QVyzapX5H7h4DdB7fgCwZ8iqMn0t9aarUTzCE
pN35mLDKdNOO63bVyqM9AG24G49xmLlS+H5+vXm2PBfMuHIU4yukeJDNGYIc4NubXKhsMiyEi7yT
CSxETQIZJkZkvqEDlEAI1HWEDIKxnvy1GK9N/VWblnaS2gYbcqOrAPS84LzRMUt4upNJ26tqS3Ee
pOCoY1qlGEUnStJNJzVbdN1vIm281cvnRALzSABCyUrayfnSQAVXVzS1Y6bDFNG/Sl3x/JYXZJlC
6tJOajBX615cBHZWe8AsPL9xvJMJTOw/5bB5zyEXGzC15AhZ8/hGiWKvksofky+6nRwAS/V9jJba
9XiXCNrsQVeFWU105TKaqVOWdtJQouU9UmIXl2O2qQu8A+PBPypKcRh6MAXIheA7AFIs/naXKXrG
MeyE7KeIZxXriMYha+J6LPCi117j/thlH1PvDM0KoNN/f11NBQiuGOiljZaMlpE0CEEi4+mum49l
s43j5yZ6S8rnVnzzb86L4pT3oJSqyiA3BQ4p/v/UVuI+b0e4OawoUspttxpR0+pXUnglaSD8WZkY
7i/lR3npacpN4c7lMhHHkCSKIHYNHXhcvQ/OtbBp6pX540Z4MGsvarz6YcHL8Ly6qRkYvqF8nCjo
nSqqTymqMXKL0DedHFPbqwAFk17E+D4cFuyEd/zmkhh/lmp9YUZUEuI825LtUnzpE0f1FwIqThcT
tm6mEWMmwWAog0nl5ASdstKms1M73ynXBBl5tzpWvqPdnbeWBc0+r5CZY/H7+NcaRsiIEP+qLh4L
UARY2ZJVcjcLTy5J00wZSMZMvDE1RtGpxUCREHQHZH53q8JRFdu8kn4Et5MTr6tjicelPT2fV5B3
FSE7+Zdc+dRISAqKhsLsYZXNawCqheAQWKvzImT6O9grYi6DOXGdmCpFIkBGtwJPk/xQ7Xx32Jrb
xvVvizupdwGs5IC4xA1eUucCTfPOP3nWzr+AOXtpbAiKkGJ1J1k+JpO4KrPJ0dHQMZnHrqq3nwr/
x9vwn8FHcfy3as1//xf+/FaUYx0FaDk6/eN/X5Uf+W/H9OXto/kv+g//+ovM31t/FJcv2fe/dPJv
8Mt/CXdfyMvJH7ycRGS8bj/q8eajaVPy+fvxmfRv/t/+8LePz99yN5Yf//r9rWhzQn9bEBX5779+
tH3/1++gpJptPP39v35IFfjX7w8vJHp7yX/D+3P89s8+Xhryr98l+Q/geaET0aIeGAUTHLf+48+f
oE0Wlo/3LWCFcDzyAq1c//pdlf6gvQjAZjMwM4qbF86lQbD3549EpKtQg5MAbY8f/an9ySZ9bdpv
SCkeiygnDX4xfUF8mSkKr2j8lw0N/OSA9QamEvUFs7NOSkEO+kEB2o8Y2nV7HanXPnnx0fUFzPwG
rfEiOjBuRd2Orc3VKitvrOhKVgLPR/Veo9k/UB0rgW4LVmWb9V1ePSjlgzbeh/29OF2G1REA+S5g
RgECEg9r3cfUPbgJ38AEFAx7w7/RpNu/b4d3RYb/nTXBQ/RWF03xk7B/6/9BG5Q01IPPWeG2ST9+
K37+dng5sd1f/+7fZiiofygSULsB90fZ/hBZwbD/bYf4EYbkAGmI7nBFp8lJSPtliZr6B7K8lkmj
XZoam1kifoRxcFxNGB/BgAOe/H/HEuk19mWISPQj3KJ0mpQv9LMidmqIddEX8kQoq7UR+xvivwx1
CZZX3I02KSLt2ggQyw9W6BUlWq5nq/XrVMxPgXZ6Cj6Fow8CPcIAooYqbN+sKAtWJveKD4ox0Dm0
yCJ0m3wSayeP9WDbVHDmdt3rZJeFQXcttGoCvJBIWqdoXNo1pkKRz7IEja5ob7acRk/SC9LjP6J3
86kbs8ANw7ASL7C6sltibqt1DFTtIykb3vpeKAbXR23FzhrR94Ia7fO1KEejbcaYBsiQL3qPpK4f
nKJRuhC8Uh0oYYRIBsxAOpYYj6vHve+H1nU2ZtEPMqmgOwqEBLwoDY72A6g4Vjqw/l4EMY8QQysE
k26pkmH426rUyallo/g5Ekk7mFpv/ZqZ/eWZTzzOX96evRb+x7N2ckXQy+OW1B8f5PBS/v9wKk1c
+f/xp+/9djNc4l6oX4L2ZX4tAKgIf/y8FgRT/gOIwDg8tO8MFCz0/fbrPJrGH7pp4Izqn51xoKb7
6zxK2h84uaCrs3AeRfRT4V/9uhkk8Q9awVDQCUlxDsHt8nfO42mMhEZADaiQSFf8H+q+YzlyJMv2
i9AGDfgWIjS1TG5gJDPpcMAlpMO/fg6ru+dV1cxUW9vbzNQirZKWZAQRgN97zz2CkIREiHX9UyOd
cT8kMQS0u0E6U4wmSR6y2E27qJH9v9jB/LEN/O2lYJkaBzGkPZDO/1mDqdJIJx0jA7yD1dFA/Nbp
ft/m4WM8NOcp8w6/+xz+m6f9v74cLjlOQEiyfOgD/kwP67WfQ1SXDLt0jh7jJq+jwPGCBWBwyY1f
uY7T3V+/4n+9lnhFfMKgMMAUAKaFfzzbENqWDBvw1l2LeLdyHZFNvJi64fJfcbj/lNL9fSmhZMUJ
mga4E/Dnn7rORKuhk/k27CAkHA/R0Pc1C6YIqI6m20kFbX9OsnF6TLZO76RcjtAePeAnvS2xfgWF
ai9VOiICbCUOW9fhxo8bXadhc5SJ6e+TWZh/sU38Ex71fZulOHBhiP59j+EKfdeF3zUgHYQMASeU
7zpvukqVuWxivM0o2S4IqC6WFlnKCw7tQiyBrN2KdLC//mz+xAj/xxv41o5+b4OR/PXdyP/uDVja
zqHieb/rgqHrS2lVf1ZxE+6InaAg8JD3ReiRIDQtn73SiewSNuRkafLu++tZUeuVk+8+QwWA9q/f
2p9K4velQeUNv7mZWEwAE/3jO2N5C4JXJsSuCftkrh1i8WhBAa4fJ0SUlanSDqtDDanOGiZrXAkd
R/8K6c6/G8Df1WWcAqBRht/samAV31SfP76JzmUqZoywnVgRPOZ1W/Lmti1pSyIy/+iFDjSZdnD9
LYqL+OE1wyOiE13VeBIwnwzXpV60w3WDSPke34Y1YYJRBK1vvIuy5XFu5gbkHsrKHE9IRbR6VE4d
t4T2r7bZhUuUP8Zj03o1TdeY1VaEy7rnXpeFdbd1TNegMLr5EioTxHUTL/5HqqdsuacRDz5yybtr
2SjDi2DzyI9v49CXEf+9eKrxPzanVn09usFllYSIBFSVzdhb2DwIzPOk2XbYzpL9Mg9iw+uPYxUo
X56RQQeJybrBQKZV4/KLuQjppGs6f6/BxqF/H+Ex9Tz0cjviGOqj2ljr9nLioBZL4+19lin7Ms5b
0O23xt/SU5IuZG9j+NJm6RAhr0qn8hphdKpe4FL7S+DFHqOEw1VE5jm/tCYY4ZLjT1/hZpGV0Qd5
cw3ejXrZ6DhcdB/6iI3Wm0kKvhk8z2xxi9rzWUFZP2TTVxuu2wErQfIiSdOwAkmu4lVmaXONQNn1
KsimpFwCHh75xHoYwuh4qaSOugQam3zqywF2l6cWA6IoMMBvBwlYOdyNaE28IhFzYktOTOMXJiXr
vg3tMu/HFenhSPbT8L8He/NC3NijG+Hh+KFZ693QGZEgx1ZLvdUdhY1OnY+ZH9eDTZ0DbAWyGUQv
iGusoK/r0IkZfzgSyjR+ySTvl7Sa18lsRzMkQX/UKCcVzDfbBAHdLIO7edKXi9EGTZHpRX4TMrbR
Q7iFflMtUR+d3QznMaTNpsGAddz0FNOkQ0pwNNr3MDbdDCmERu5mP8AiFlLGaaNXbqReV/ldB/Jb
33d3TR9rUs6b8B6pyqEZGcwEypXBQqye+8VjQKLzicEdhqduJzIdql0zZMmd9bamPeZ0Xq/VyPjX
kG3xrxxyc0A8JsCeoMnYwfm9vDJJPl3hwnVfw7LoOtny22ZDaxhx+oREgKu+FdlPBCk+aKTCPmVS
9GePk/nAIrAAGx8tdSnyIb5ptBWF5HIrmDN8ty5RW6m5Se82Ao/SwG1hnfQEypi4jQ5O+xauPXF3
Rsgl4Kc5TiCXgZNdG8+q6MKO160j6mk0VL03nXyBhyAtwwhGP1ynrBRbk1Xzkn34NKe7EJmWFU+3
BrmoKi9GUCLvaJOPtujyVRe2ZbjWW3ynFthRRzo7r7EJDl7bzhVnwwCzzhT6lGSAe04UXCsPCc5e
ON9swXwBGKxPAoGltBP22PlDUMNMzh1ckD94WZ8X4TiqYvHETknu3fgqmookoG1txyk4rnMmjsCF
9BW3TO6iFbrSIiTza5guQSGxFoKH5VcX+OExYJRXSeMlj54f6GPnCDvbrv8w1K1Xvozcl+0C9gQq
JnsFF6M9DmwU1TLJO9pyOOJk4jesnkAZx3JZjrgmlc6m4RSJLt2v3TzsR7BS8ODGeMTkMrs7eBQO
utJwaIWiT/CXGGvmXUoxjdtWV6NWhBRJ2uasgFEkurZwUpD5BvcrYyD8wZAM4amZiSu5IsWwDybQ
HCjluKvEcM0Hr73vRYfdN/sR9yEGhlnJc5r0mYTuxyUvpg96+LfP/ZmlYqmDJDMnxKnNlWKhKLxV
ZcdoWy96RZaxVJxdS8HuVkDcXZE6dJC1jocBT7Rerxe+zV+tl0cnO7Fx74crJjxIz17mIYLwLKSu
26c64NVA+VFMKy0TMmU7qsefXawzCOkHcxP0g4ajovK9vVHt/DVRXGtotDpklEJNxQ/Zirai0HZg
pYqfrWxp7efWXWIw9++kINspSIFMSBJ3p6zLoucWh8WeUhXuvUGHl2CyWZkZ+Ql9RHqzBrnYK+Xc
dTy6e5gG0kPuzcBLFCJxw8i6qHQkZhcj0alQ5OC+Cae3Vx5N8sSlJR/w6bVvHAlgNVagHZKdPBVd
pkkKFE+GupJrvu21iJJbo9AVdh2bHqE3d7tghulEzrHlMVnU1YsxQU1juh3XliQlC31ly7BRC1Tj
JNmBnKXqoHNR0UTtj6GFqqsfZ0eKeNjGa5Tk+NMyooqkHww88vhYA8JmRWob/Py2hUaWIWYqjszH
It1pUe6911lSyKbjCIWcwOXMm48Rx1OdC3lPxsjtMRrfRnNY8rYd3sW8dntqQr/stBqPeqA1nM/A
M2jTG93C03G04dno8JNG+YD9EXwPW9klld/0dkeDAHkHG2LSF50VScchO/LMx8bX4WZoLDk2Pq8c
WU4xyz5ZsDV7iUUcvLRQt3m6YjktxZvY2vbWbXIttZ68X2HW3VOZFJQ4EFXyltc6QG2DXQH7lRod
gI3AMFITTM/zwG0Rs9zOJZ9JXlE1AYsmqsdyWOOg4nE677ptLtKGBB9baOb3NmxHWEcko712vSa7
1uJeR67lEL+i20ivEaj5Ld4I8cgc7NzxJ+ZNBqaT+fKo156WQz5GjwvPZ1PmZL5tpnTWNbSRQ8VV
CntqyhBTjDf9wBVb3sjgsRsZDP1cLkoxdnYqDC7r1pIfrndpXARNzH0kNof+M54EduRtNAwF96T5
1Sc5biHSJtOr24L2LvBWu2e6oVmlhMShqOc+QGhcFMNPnS1R4hWBm6Yckdq5QS/BIvR0TPtMF2Gb
Iy4HE2qPLPieGgE9xBDeJG2ibj1nZ7+QYlDPTepZv9KJDc3BWSINciwYe1Ssc0sBr4oO4RY67Z4j
IWNEb+fD+DXOM9I6Vs8qRBP3OUOCXDLqR24cer124G/KIIg2cRynkPaCi4hMfM2MU/Gpj2jWnJTo
7LhPxQAsI2fdz5TnnNaQ6UbHMZ2iixja/KDhwXNPwMLDU4j6/NLhDChHUAEe7KzqSMT2rGGUORSp
P0kcWX7zY+ttvBeiWc9jx9cDiHUaepwpRjLtd4dZJKMkb5te8y8ujN3jLnd3a0aRZkajLqj0aKI9
+CIg++G5D3ZLs2ykQJTdt+RGOpaUM3e0zrceq/eQpss9I/nWVjPzBUpgih1BNkX4sWO3lHbOiC5T
Imjt0OVgbRDikFFT1yOTIgfG6mtpX4NVkCvfzElLKtCTfcBXWOqHRRvJVjzxjNvPDKPVL41UnYeg
X0ZSTVwPxzwwJKkSS3tdhYPvf7DR4gxHm6QeDJW8vV2G78NAEewToUNsUIU3heDzsdnUvUGwPN1v
RnnXk7GbLI2wvO7CVdZh0I6vXhuSV+Qa67YGfiGqdOKwTMCMcGJwZL+XzHl7DpOAS7aa8WWEXTVD
Q+1MV/j+Yp/1tsEYYzBzA503dTYpjU+UOsaRojH6The5UjR2SZ85S9CIDS65CrFm5kDvu7TOyQgH
D3y0HfzEu6C5XlS7NUXWJoP+hRN+mFwBGxWR7yMNHv2jP8LB9HlKvO64LS06AmKJxwtuk+m57wTS
r7NcdEWW2v7ehMPqF/HWTQfEBy6l8JXEhUCAukeXpXLdBF8fyyCMhcMyauCgWVdEnCRnKkf8lhjF
zYML1vFHN03im4bIsq+Q9Ouh3+aD8TdMIdYfn6xAwclI514mptkhXLmYy5RPsELJZVstlKhjuo5N
ra0ND60HWhmah/YKGCHEk0CAC+S3mV2jGleSJjM/Q5gNzQWkRhKPzOw/ujab/062/rcgwP8fRP4P
KOH/odURBoEAwN1fQITfyx6A9p+/fsIL4o9A4d+/9+9QYRj9zQfY921m8U0V+B1SGPrYLUUpAEQf
ZskJcvP+EyiMw7+Bu4ANEtKrY6AaEdZ//1wh+X/79uCAVx2iCWJAkP8OTpj9Rvj+fwgBYErER/+m
LgFlAtutPxNBMb+asJ0sB+dGLfnB39rg0m3hL6avW7q9dlD1t924lS7J34JRv7atd0zTNX13nrft
ZTv8TCgyUZZ8voVFWyKKMU3UIRJZsSXANmbyAzzjcCd62Fk0wV2wjVWUmFug+q860fENgt3arwT5
HMUwmGPfDgVL9M6347XiX1FkC6E5ngjuE/YwweT5xrUnvz/iMBAPfZv0yAvpkqJzAvxEWpB46++V
Ger223nuu+1LuxsKKIgEdioCq8LdlnvuqoVd1xUTkvAiXgbYKcuxmOQTV8OzEe5q6vsrcInp3m1p
waS361JZCpZtBTrrqEYiVg9pjEpvkqQNrzL4M/myPwqCo2NqjuhFniYakf0IVi1j8Wc04QI2A3Q7
yCDqbkZlfhFCM6wMXLkg584LJn2ZzAzQTP1sWfDT5EgvTTisR33xki1+LXIWPBrjot1Mc1RZGT9E
AcCtefYKIBnejtv1ZTARiJvu0fT6V9R6ywUsNWiCsx+AvU6JsBSe8+FPaQWidDAxIoX4TrLmjJZ1
KexAt0Jq3pWN4OSasiiuYLXd7WaNiUX/agYfY8qX8ocdm7Lxlwg8vzINHL/caK4cvjngon2EBAUD
EsLP6mxOwmIaDMpRKH9mYoCtyNpl923IH9vhnof4QsOh6pmYsQ8MaWZAHcZHEN/eUVfQr3U7i5g9
kNvwVkUwuR2aIlFG3/ZASQ5zBY8N1yMGpRsA23G1bNOyZ4AZ6yZIvycqCmvcmR7QeKR12/V1pCZM
Hwa0NQ16fcl8Huzt6oE1BzsWSAYyU4e+lxeehDMnam9U2LV9AzsKxhLegmFkzW4Tj9aWLvnZy728
nrAVpfiF6yB04AhAx4OnQADIUx0tlRYfrFXHNXDjoddwMGH5dba5mzlHrEEQLqgvCP2gc3NYkWWB
Jj4rOwau6CCwAJp1X/ih+lCZzOE8v+hicDKHe/vQ4NdamvQHTON/ZK2ngP4Q2oF3SId531hYi2Z3
8AF6WbEjKpogLqJxPm9NtMdtXg2+Ccs46x7TONrwfHADjhRLi0y5tII0Nf7htR5qoopra7wHuFN+
x8l6s0UiQj8tlQ7xCXieuE3UDW/hy40c34Zo5E7tUNNmcD1J29awWDgG3RxWo5e110nr7kYeb4cm
D8DLHg7Ym8iSzO64SVb7ZBDFINQvD9alCbrHrc5GXYJ39UYzH5T+qQoSD70e+5EsDIcUVVuBD2Uo
U4h5aywEqx5h7mUXW0Bi2aYPwNjX20gk2V5ZTSsxGr6PluCBQzw3EwjJ2vYgberX/pB9xS66IqGi
133n3hMAHdetRu/RqOu8R1MiOH50SocqXunOduTULBdGw+gANw1Zd0IE97MzXmE7KFmlivvL2K8N
+l48Ymg3qp5GRxUvcbGs86cB1XiOvX6nh2SfEqMQ8ozPR4kgx//pzy1sowqGHlPB/V/LwE4zZqEW
bwNNhFJlaN/J1MqaCV7ScPFv8uibWuudG+gpJyYKQmY4FA94ZKiccM8Ge4/YN5AXeZGHzrZFlE8H
YGi4V+BJC+wuwqw4ri955y7dakQxO18Wm8tOtjGvkYWTn/Mocsy2+6Xf8LH23iGVXVDgq+wsMWrn
KVh1G4eymPfeBSMKRMZmrTySuTe/905TlL1tAo7xPmXXg5BdnSVirUHG+BGwrEome6Hcg7gutp+E
+kUfqx0lQZHH7gqIkagSDsRgUMmBTuMtPBUY7mYc9HpeHn10katxpU7fqA6A8gNJvMrSfea8V9tm
EXxw3MEgf6/1x/fc5PvJLI82AJayWcDHZKl9Y39s83LVMVMhnLJQjJrKtR65ohmo7TyW3snLJ4QJ
dLawCyIgJrOyOpFSfqol8OBmsWAIFOs7cxDV5cTdZeO4VVkAhMUEX8ESTefGyLBSWfiJRjwqUvoM
lXt3Ffm9fWNAMndpl75IKEsLBXIkFMteQuPTHHIDq8GNnRqdZlAVmOk2X9uHWLTpzmcA9jZC5dGi
H+x4OxZA0UgtY5TCNDU3MQyUlf3gCfCdjoofGbGgg2Q/pNTLPmZzugOOgaFiIWWIFC7PZ9cs0LfI
ujgzlX5RbbbS/w0zI+A2d7ifiSEMYXlLXGZ6+dRsS+B1R8DS9ZF6kE3B3qTp5zZOw44kW/zg+9bc
0RgVdQ42tAbBlNNjPwG9ihrtPQGUHutZBog71jqpuiRj9fB9p5G41c+glwMibfr5NvG9pXBMmOu0
6Yd723beNXCi5KiW0b+DJ2T71YQTv0zpJpGy2cj2205/3BPgTa9tYFtRpLOLL8E4Aq5tt/ZFhxAw
EDh6l8a56IOMTXPhKCNoKZCvNm4Wd2vUgqe/wo8wk/MLAE/1PhgvPhmAW2DOpvNpbK1f26Tv7/NF
TRWV/gR3HcnFYQSUet87pFLnnsdOfMmrLpRbmfAhOSDbTe8IA4ZbRFg7fJFcEfjudLKM86Z/T+PO
ViYc4WEvxHgziSE8u2h790gz/ewJguBsJ8wjmce5wkGBY9cOpy7d1srIbr379vmvV180n7NdGwcl
dxwczTZlVTcZn0ITNcorH2qEc9QPYx0nxr/xHXyAKJ5qnOvDMN0mgpkrf0xtKTnfJfN7AtughgKk
ByQw8RpI3Y0I2/nGdnnS14NJDauSYRjuVkxWp1FjALNzmOwD165L0cH45pp0GvuHHhE7xDF68oB9
AR4Dul+orgEe1bBvPxHO0tfJUnvT9uZ9IgRpx9u0fqxJ6IEKEar9RLdkQR8WrR2wZ5newxfQncKs
MfdsRksHtkbyozch8DiciqA9Ms/taavYGWNyWkp13WT9GSg19t9VihpGxvclsP5+nsQnB/vb29Jq
7dNztg0lkSFHcMkyPTFurzkucZKvb53gZ2+Dhi3l6xHjYnczzyKpsonGaMk0DqXktwsLj1Dh75uQ
h9U0+BfVZkhdaMOTnlZZrEN/yccOGoxJ3WVKzWfNXR3z8X6OpjJakgCIBe5bjirh2nkFlsx/pjYI
YQSf8aetWZ7Hxs0lNh60mFwr6lm0h0hKulOKYJsZyB3wOXXjEUQyivyQp/GT6XuwWrDRebDrWmPV
ckfa8xriIXRY85UJxP+jlD6w0TYtBEFcV25vjQG9crgKVI8+dG0qw/AgM48DKog89ZR4PhyGAgQA
bMcZiL/2s53mGv4/Hrtf6RhjnwYsma5QsLHm2TnA2RkQPfjzpOKUWZitLbMid5bO4ntBvY97v86T
9jlKAW1moLQVug2Azcxye8VQ8Yoife5Sbat5Sg5h/mXghnuTAa84WjXi1se/ffdknhZWokowqC8G
u1VDOn1SE7jTTB5tTy9q9XYiSsea2HE9TB7YxSyp29n6Cr+5gEStK/rxBXhXWzL0ghzACua629A6
WfkYaYQyN02+njIY/BaJadgvgtAb9EDdlZm+i8v0HLQIMMG+5komzNXz2uiio1fJ+BSNuSoIW678
qb/AEvgUuRmmRIDbi5D3DyTxsJWdTpvBlJEpWcmAnDj2nkvpT1uw/OLwFApWa9+A/rJ97LtzwL0C
3ZguV9Cl63kish6Gtt8hMhrm24k8xQt6b9QuDxQ/g4e41hCpsXGwKAz4EZ7l6Pvhu484+mvAJTiB
3c3oAK1lEm+TTDuaxOylZx3cLjbT/cOt49+CFv6SN/QH7OB/5CH9L+T8wVEeZBgwAv5n+OAM/uKi
fk8v+s9v+gduEPwNAjwSwQPTB6nMJ4AA/s4wAm7gYyjBlwOY8MElHNSCf1JPo78BFUDSC6h4MWLj
Uyz8/4kbBMANMlCC4HcAyl8A87x/0p/+QAT776mnMLT5Iy/mtxQurKkgioL+GpLLP9tP867phEsR
zBb6ZrhPvo9kbx4pdrhI/2uwIK4Ur1oJTT7dlL9bcDA/Z4n+SRV/W7boBFb8O/pogj2owIpp0xPu
+yUqVJKipXZZdGcXtC7zbwUhHN8ps+sO9suFChALDzYhLTyz3kAr63aRbJ7XbKlgFQHewijuvCBi
hzbHPmLFzLNpimpLg5twtrfC31i5LGr9bpKv8oGFD8N6Unlwst1AT9imPSHO5lf4W+1iaAVluMFK
US5N1cxjVqQBVnJoG7BLaJuPgKyHNjXX0iYXm/Wv0BziuRP0TGMTVRMcB6GDpvVC+ksTJjNs+PU9
WDMwru74XGWz5YfV8WtM0eGx8ZDYmalLvqFyAVK6wvbvbkZLJV2Tw/4iVeUGyHRn+u6m8zZeL9Hc
1GDK3gqQxU8xCvY8bIdu8ZJ9HERyTzpR5/0IS/wsKEMzLoWmGGzD9Hka/cINpBwwHxZdpsuOoJm3
UfRAqb022POTWN37ZKvNrA8Y0dGjDUdm0R3o6IggtsviR9g/zZcVxc+aHHVvpLCrB4uyA+rfN/iX
Jnsio8BKoometww4M0ADXoRpsCdieAptuMPM5R0mF8qrLYbVaud7tTcOrG5Ao7Ar/ewHC+NMt9ff
vUwv2/DYGo2+anRHCf8mAUhFisTBWw9LPNr2lRwjjEHxgJUDxg2RCXiD8woEoaMHNCCU5mAS2HHx
fMf6DhGYRlU07lkFF/yzNvS86iYqvS4ihYdJHG2geg0CTCFQUE2Ft5hyCNId+uZfLG9GsDSaGkEt
aLgNxu2ZZXtsWT+XGBDad88WjHC47hEGrUW/j02Ofxdw7Eynvshce+gMUrV8dHnc397ICuw9B2Nv
m+XFcfHsjf0t8OIbdJ1VPy6PjYDpLbyUeiuBOKDZgvgI1qUBFkEdoO8OxXGN8w/D4a6f91gCy9Ar
/UDKEjM+K7pZndbMPzTBdG+X8OhH6SVS9ph6/QrVIOaZfsaiASQk5Nx5yXMjkcSO0QMjaXof5LB/
7Fd18ZihNTDoQ28jXTaYgjeHVRj7rc+dSSWwnnNdKLAxpg9a9lj8qjrbmpcVjlS4FNMHctkK7drP
OPSeNynNKaJxtS3xp8uy92GczjRsPzN/bEvPJo/hkPHPOWUPwBKPNgsuUbJdIjjc95s5hHTOEOht
qjVh+y4Nbgap91lv74iXwGd1IxfF7VNrujssNWumogcT0jsdePdoJUuKLjQ0W1+SVD6GHUj0TQ8t
FTa5qe+6MubkJVKmmtsIrVHz7gxubxeZuyFXlW6Qdq31wXUg/vodKdEQHYIOhieSJIdGq5/ZxI9d
/jPkKL3+qB7WAC1yAx0OGkb6HXKz7HKJQ6KHNCiZ0umAPSmMuUQMcv2wHLM4Q6SUfY58em6oqkYh
MEgMuKdCGT7iL33Zz1m9jTN84sMfuEUbDOHhtchiUXcGrBps+C7G87Aon3dNFPIb0wXymA7JLlXz
o3HjU7iKmyWguhywdutVYMCEm0TVBD4U7AQdptPtU+6t6JhZaXrygj6gykN1tWQ5VogLO4jz2lck
fSbyqc2f0De6covUTgftVnlrdLewCYe/Qy+BaV3Y8LmH89pEmmrMt0+FXnuK6QhXCBPv2Ei6wzjZ
sA54Wn4zyRPLrv3OIuYrlmh5WXqO0uxKAJ1TiE4rIzy6yKN3EKOHT0kmbzOwIoFhgM7TwA6g2LCP
BWMkOibz/INlyX0MSZkMxQE2ObdhPL/MCWapJgKU1NABackDjjURX7db1JXaLT9HFel9REVURKq7
m+3yBtoH6B0j5u9hyJ+GVd4RDfHx1igs0xLxvrYsKmIx3Cnj74QDJhQmOHKzbXlZZ/xtjClMjKRi
aD0Jxhtkls02Oq2+vMVRYOEMvL6kfeAeFts+j7H8SCmYVtIgEjy8pYK/4jg/Do1/5AsInnzuiy6Y
n/1hPoTz6CNhaDiiccTTzHC5geHvuMbCG7UDvWoqweeKFlX6mz1hcvvwUq9FAQM3xmVrhVikqy3M
P/liZQW0CnDPED3LVGRViwVV3XT6xq4xKhMfIJslX9i4pbstxP5KmmBG281o3WXpclGGvtnVf807
fnKx2A8K1A4Utx5b/OzT2eWsZn3DkFVXOIlwYL1ga0xwMhQZlS8y6Mw3L+aWRduz8L1fC4wmC7JO
x3gL7qctZcWQZoeGZFjR9lexmm4FN+8Ahe9DF2RgyizXEI6VU4RIjGm0Z1BnvvMCs4NaIfTzMBnU
wsLdKgMqPEOjCpYLGvQo/Jl14S0+ziccXMOl7/UB2kds/5tcg4sw32erhieB5zs87jgyYFdYqtn+
sjR4mBpswydvOU9EX6N0QG+vJ/jqwYBi6DpsBODcbUAWY952xweASeuYmx0cn24hTz4Jnd8x1SOO
ys3Q8SxACV0MGQNb6cdoc14sxLuJ4v5zDPNTSxpabNJ1V+hoehw2AT5Dkr2sMWKKJjeKwqxbrVqk
EWim7pkWr0GEUa4jUDcvEh4OpNe1S0HmCZZr8d12TWBfco7Nx/jlkQhO62BbtjL6EsrW3pCfl7x1
R6GxKp1Xfx/H2IdGNABEHc7BFdM/UvgMY0dZ/gdzZ7YcN9Jk6SdCG5YILLe5MpkkJa6S6gZGSlVY
AjsCCABPPx9EjnWRmpHs76u+YqlEZWKJ8HA/fs7xzGc2hhpPWmLCw2TYVJt2F+ll2gTOQnjoDwYn
z2IOgm0a6ZNMgB8dtfyV+eHL7DBRCl/ncDNI+9McoDhqlm91zHvynZyPrifw95xXAjvTFenZm6cz
XSlkxNF457nNAgeppPEbuqz7nuVceVdwtsRWWA0skGFotlNdjkeMmTOor/LZ85ZipzNzTQcfnxAf
eEF5/erhhqvUCHOvXfJHGZanGRJRO1IjdVF23SYTQ8pKZIH0ti98r0KEq1MBhqUerMy+cmWcHwlk
wz4eRbhJJsaJJZA96C91oCxJkR86QcspLHqCrRRXbYkdztwTNXLncqY5v03j5IuZ2uGwzNAOPKkZ
weyO+abUdgIPkopPJoa2fdpulYDhovNwi/HDTRW4zw70S8zhnObQz/qGOHcevfGKSD4TErPrIKye
g2IdXGihqzVhbzGMmHxL57vBTuKNpTXlscqqjconuW/7AjNpT+yZu/uo3fmOGUvfzDJfuyVev33+
HAyB3sBH5WqkGvduSg8PB3IPdDIDNm8bUoG4AEysgnzvJMHfjTf4e+JitsvV/Mlw4kLNvBhEe902
MYZko/mEHVW+owd/qycCswMsYbppA5VHn8NJB/vBsu5LyC/zpM+l613SDgBFGrwfTSCcczCZ+6UJ
H3vG0nRW+I9ZRLT1JwlA3Rx0HR9Sv1G7RZb1AWMQtpYV7IuSI9wLa29rKjXBzQmY924zQiqazbcZ
X5BBBDEkcnM1d3a8IZh2G92MuwwO5Ckv4jszj4BjQw6q0OXPaoLI6ADi4+RidotrbnxUXdsemunW
S1ckMqkulI0ESbXDLauPSj12f+i2fozj6gRDaZeX3r4BPN6KeXlAcRWD8rYPVZ80ezV7596dv1oB
Y6AsD7duYI4HN8a/M/ceytj/FKrlrq+GM2u45LWaB0QttEcc+dJH47W2c7NNrOnSy4sLJOVnCKKn
BEXXZtTMWrUCuZ9zEipRD5/HIkBTWMLCqtvrsiIZXqC5bcY8+pRIXW7o0p1NVautu7Ag577Y2cMi
d2iV9Fap+EJaACdNdNJ98g98tuGIa8i+4FTJLfD6uK/lZVuaLypEGlYk5V+Dpfayi06WqMIrO9Tl
sdSYXKjUvxERJFWe3oZYdEhUfg3YTw8m2ntN+rUOJqKO3Qwnu0BxJcJgRDFlw7toIuYY2Kk8pZJw
HdXZcDEPdAEbwurlnGobQ7/CXHpddbnI6TFumYDjgV21WfQ8DiSumFuT4Eb9DtOKy2agD1UVvXXI
BqsgTWG+hsxoVeqIpdprVAXg+odQ2NnONvNXHNpdSmP5GZ7tZpj7nGaXSxUKwOTpEsp79hS21TmL
Q28f1x6O7b569hp2o6iDcBusLacuMmuLjDRwlJvOqzp0FnQ3LTiI0FOKz+OSMTclhfXlmDa77dL8
hRmpy1kM8rKUXrIdW0Li5FlHUScdhhrQ9WOfcjRI7BsvLT+nqXzWsvM2WZDfaEsUm7arD5ZsN/X6
jQblHt4xaglvBFnsJtd8iGBZWC2EzPorAtWMwi+hCZ+CnWEsV5E9z3/5o7cty+yR7fodwcsnetrU
Fx0UJtQtP6Ima7bWkt771ffZK774XlceOq88CHJrKtgW9cqkzF5bRXlQanH+ShmXuA1TmEe+g9HJ
0lh0ulVTXDH5+dlJG3I4h39VZr4N7pLe67UjA30D690i3CHos3f+bFFARID4ubMtBYxd/woqwNc8
vS1JBHXhnGXlYHqUVQ+LLumxMQTN77C2pFHvuMkWfvyPsN4vMy3ykRTEO8VCf25GXBQ1TY6YRl06
qjvf+xRVebttwW82LsOiMEQ8Nc18KWoG4dmA3lYoD1ncLzsA13Nk07Bz3O5rlaSgJi6tIDH48963
3IwTXdxq++tk2vjkNuJQrUzV0jv51YDLTth+mUaZYbmzPLUBGl9vvo6J3rGZIaJ73SEOvE9uCYc+
Co5RVQKVmttKxZKZsdnNUtfnrLevbelda1Kw1K8e+7p7KBt5H6n6yTHORZ+mK8W6v6CPsk/T+QEY
QSCt6D8HTeaQmbhkQbCY9oX7La61sxlQY1DsDl/z/IbOKwPrJD7+aa8uXH/+0S00UnpKU0EGFpu1
jAfsVs0wbGyZOtt48d2tbJAfdIxNs73qcoxy/AP6iEY7+3jjxdmlxh/air977hdDQByX9jYbZ4hZ
SfH1XPrRNY3363F0Lu0JLoM9xp/SbixOMowvK74HKYi3hWj9dx8w5soOaSOXR2ttXdgS4Bl3RxHA
qPCzr0v53NKEap7R5G4nrapdYI0H3ZCT0P3dDn3GQerEcJxhIQwwXuP6bhqGZYP8hM7llN7PXmCd
bTPonZazOrTjSK4f2DdzIB5qFQIIA86W/MJmhhpyoZY1pdxjPPBDLnizBNVy02UB2hsaAQNuw7bv
3DR9tHXi8cLv+gfoBd2hmp9lLp+DNghOavonL2DOgySUlf2pbYblRi4BnBXrh8MVfRH2ysULv1aw
Li8GrX7UMXcRjvN4gygIXaqAXeCnZhegVICYkbv7YlWWI6ZxDoEqdwl9YMosWBI+NH5TD9bRAefz
QN23dc1GiarM/adLoX1PeuXWuDo+uqLOr0cZWpeyD/IzVE5nPznAAMZVaidia9n2g/wfCMn/v4jx
O1z5twj0/0Js2fstrLx9rp5/vCOjrb//iihb0v0v38PCKsTDLXqTg7+JVlc4+P+CyKH3X6jIAZCR
j4ITo3v8N4iM1wH4Muq29S/+I/LZB/sCxuGGjL3D/ciGGodG7aeT+b/Ee2Gz2FbNQXePfm5Z5hfi
TUU6jZPZ2GrwBDlwgAftZJS1KeqB/PZznqRRq3dFjqLAHEY8pOZqo8mQc6z2l7I34iTwtQxsBqLQ
znkutEKUc1wyo5v6UzSKLnEvPLtxov5kugw2/7XH1EZkHOESWIV767tLmN3bsyP4GqmsuVnu42oQ
PWKfwe2cm9xEIV1i+tYOf0rGdFLZ9u2y+pkJZvmBbL7zQB0tK+q6e0Bo11VgpEMLIO5UfU7m0FVR
L9Y8yInDPNjnS7gQWq2ssrs/edD4vMl/iQBhCoL1Bo4DTu9BTEQQ+F4EWGIH0lQiTL44flKZCPit
H1cCjBuEKEQQtSWI/SxaVe0LmNsyCVIKF+HDQVH5Zk9j5hvyYUC2kEeiSyeuSC21G1dMJuTl5PNp
tPQKp3UeubWgCzaEUbdVYezxsH2k9bwBhPttAI2qKA3IYZIEtc0srWRoARTz1BRcV2LTaLD3icUI
GshzSe75dMzaMnbHy3KKG4VmnuEQwa1nygS+mKItFvzoauXUj4LnyNVVlr1+oN/VNl89pclYrgbE
uuDXpWR6kHsBrhoH9yTPsDUIdLG2HVrtSzUERxVbtVgtlSLJKZJUTd786OjCDNhea1NPtNPFEFPB
tnE48vltm1njeBVORcVDUFrH/Enkdc63tRIGRHZsGwelBrTndhLQoycSIWoj6i1+JRuGjNtOc1e2
L//qJf0/VNLvxafrKw8cH+YoniWOhCT64ZV3Sku/yE33tHjdlCDvkSJezCXpP7Xurk1rX6d7xDpq
Nqd6AD5Z7i2tjM4vnDKWvvqDaBsi6/sViM0ErpkYWIX4pIfRh8vJZKrdaJrix96GH9ttmUmcTOnO
8c1sgRX70/qoRpOWTXprucjOxqspGyp0pb9/LM579TjPZZ1igncQNESPp7P6YfxbLryABuVD0weP
Qa1qWULlJtbkx65TzG24BSjIYh9SHusR8qWrlrbuaDKNDkuLARLCzAf67+uP0cyRgZg4NFI7nzCs
nD3rE3z5MXxBlzYk6nqqY09dhxBf/dvf38V7US834dsRHs5sZ5tYDBH4/U3gQ09sQm/5iDpjHSLh
j4vHYxSDqXHYTT0EC+NlZCEMIdv8/VfjFv7xVeKZiWrBZWlhuYum+P2X03ERQ7p4yaNPc2KOH4ax
VEF7AORqeYexV6xfHmTjugdE3ZU546Wsfoza62pBaeHdNJDR2BEpdCt2KqlauhgSx9pZ10VipZ3e
dakTUGbWQ+nCJ/GHag0nuMatvugQBOYAuqVDgzClSlnG6Ftcglg0d00F9BIcBZzPCj6cHBjcffA4
AdhkSIFjvwWxrOW6cfu+4DLnia4UjA+vGYg74C8DV1T24borrSxbY1JsTT4v345YTt22GyelqbiC
MO2oI9th3dvYjM78HWrH9VPG1l8/2tZ5xn1NgmI8OE5NWvI/Q5ga6+0haOPv4MGw7+EvtPwzUcN8
Sr/HGW3++dx7U4yasga1bV8IovSpDlW/EKn3C60Rt9nFBW20ndNkdsoB2DH8EdxROyGJOVPmwDqh
gTaZ4pVUTcCktNtGDZVvPdevAbIIkpaXN7W6mJpvo6MLPtqbK573FxuRcO5cFblbK3WRx269ovCL
xW4gwC6j5ldNU6xXHWIwwH1FOXLHezHqNapBal6vswVrte6rpl/PUZxjE6bXItjtSueAJszunQ1U
tEJGm8qmq2rvOc4RrmH+aPGa3j4qWY2kIFm/RtRJJ/V0V5Y2LgIt/TrGEVF/T9p9GOp2fbmZBC0s
vujRhOhlVWCY1QF+UK3rzOgh8oeza889MaaK3YRH+vu98bPh/d9UevYl3jfsPY4gjlo2x4etkfqY
8y5ohJ/qQWQLMxOWJWrRh77GPKtFDG3v/VFhkAiDO3f4UVet4erefsXLsr5tdx7OMdYtjmvrYe3V
DGXNjtoEnbkHIbTLfjcUHd2fY5S66y5rOuZjHWWZJ32LlNnrpLjPnUlmMLfsCG2pvNe1pGN4Z095
n9yZKZeTf9UGy2w7C9ywpg2Gs/d6gLpeL9V1bYPGBsfXPzgeApZuW7+udode4ZoFhfkas6UYLeag
S5jXrINulm1vfW6curAb1O49DLn0y9tp50zuzB1bSYOb8BZXeNu0W6uZK94HxyNpFWBilqBlTESe
2Daz3PF2CK6Ahbv+uy0tw8Z1tHQ5Y/H8GBoLrEm3Pfp75hHG0R467lJNx1I6lecfEMSt21E21uL+
yVPzg+0FKevqHhzYxD8sl4jEH950UwqPmCTVfeAvyFgPJZowskC3YnG627fUMBaizCnip6iAdBs6
eepIkGvPEJUXWkSZ+A9PtxBDFA41LDdxd3F/TfSWDIZjNmfdI7Cx4eaxDVh/gDbHfUTDcpTNHcE3
rInX2u4n8z0qoqCZj5MLv9T6PtvUtiWTrqfB84+uqYGPtlVcoLmma1Kh8wUeirG8vrZC+H2nLslJ
rv/gKfLhiA4dV+LjEYQQX6IAC50Pz3aSxhoat3XvnblrEzDqcVoS9FaK3JbcGjWrbL0TOixtmmM3
2yhcHn6/kT9kK1wB+9jxJQvbXjfzxySBalyapTX3SV2pQH4x9jTJ+WBFTsmSV4Gnxhm8pNO8a1o4
69sNgpKexB/MTX69jp/eclyAkKuh6YcnAaFRlH7bNvevsZFm4hqQ2fkc+wcd29g+7E1BC4QNwa4n
HdFpuea9v38cH9INikX0S6ErfInTnXA/LvacFnWX+l7PC+mtGtsMjmoLlsWEKx9UPJ/WS6/OMPCD
IPmDfeYvT4AvXqdVYPUTrE/hQ964zHWnarU096mV+VR/BIuA42SMIyaA7N6Cj1dBeqlPXjqO81Mc
O7L40xg8Uuf3WU+I0Z4j2VWwnoDgyKrfZz2mCOteQY68R64+Ef681w2W5hVv76JACw4RI1R1x3Z7
S2Jo0ldmvErrOEdcqCpJOXpwVLqGbGXZ5IaYkHHkpVquB4Jo5M97ev1gj0QypUIt5hjagUnphoQb
qC+Wnh4yy6qH/JNG+1dbeztQfuSeQpEKCKxuNa6JhomF375IK1wTBwTftYUo2RVJ1t0lUbiu4oa2
cT5fUiEVI81CKybpPOSp7XIp2Ws5ptFmrImQb3AsgOHyM9nJcWlvEZEva5LTR6bN+6tRTl4WH5Vj
r4eG42aoYjYRQVRGWMD0S/1YIa3mjHEqWpsvbycgUiJIPYh5WqX5OwWFmosVtaTUOi/LWiYebCe2
YueLJWWhVicY7UzXcSFdjiOdJ9zjQXqamoZhXOVC01PPcWxnhziM4zHaGCjxI82MsJpymrcFuCp2
mrlvNY8r8YeTFvUuLxuzCHLY4byg5uIS6tecxQBXI6TOFh2kM6r6KuPvFowZeHqmFut51YwL6Dx1
3CK4sCKUiCVOftihwjzLaU75FUgWa1Jksbv4zbd/4LCtWSgVZy7FJDnb+oBjD/uX7Ej2n5EjlqlD
SjVqsQIJNtz7qbzgoF8zK2bar9/aNVPED/d1RfWVvyZaGncSztOi4YS3MXqICaF7EoL1rMax2OLr
xJS6XXdYMp4VJu1lNSfw2apSqGL8OsGpnZPzMDCHeti6uJDG7R6ONfmITZ9jUYd+rLT5p0V9yieT
OM48Iyuva4DaMFexDbGmGjXFlJUwX+bax3IaW/jgdWssgDLEJ70oGh32Jk7LMbSuyiXpMh+CQD+3
GEZlVg63v6QewK4EPaUX9bcCkewUXHarbK495JVYguSiRL5d9yiUxozY8URXcxnbSwsSHyqVosL6
wtAf6z3GEcd9mSxnHJhU1tyU8TxF8z07ZqHdvStjEUeoXQo/W9NXV7RLtrNiSll0TK/7yQ605nnS
6CjluMtHr+Y+SdM819/NmQd0C3uhWwuFt+rm7X07frqmR9VrOiVksH7K26lsDdYauaNgtngkryn0
7wP3L9EzhEhoOx6nqe1KRh++D1pt0TpGVHV693p+gBiQ2nnc0XQrzTRyegnfrJUIqiQaQZs6GNnb
v7+GXw6PMFiPDfxTMYXysVz/cA2YJeVjZ423tjsUyNPs2lfXc0Ux8WRVHrXOoYrSgmPt91/7897+
lYsD0axztQL8Ub2I//5ptfYvaDH3S/CqSHd3aRZHYXJ0yiiLciAPt5msvRGI+/prp037yN46cLaD
es9eVLM8RyrWy/IYpVYHY9BABfLqfdkWQdgcnGQdZ3TR4zvLu07XkSMZXeol1lArnKLFuGqWHaBl
m9tpbo40bTpIZUkaNAPlD6Ue/D/k7EnDHFqPrqj9hxrkp/3dv+/bBUz1wQcgDQMNiI8HleO3xiR+
MdxF1YIZ0nM+iY48L+v6gfft1Q5fuqE1Tf/iWGWzu2KXtVicbocqww0f0GFAh6RFItdK1bF7XlRD
zcUv1M1kAhyTZmY84KAZDCvokL9+sLDSPO8u9eBMwuwjTFicaOMrm/11Xk31ymyf6oT85YT/BlTy
Qzn2LQ+bEQ7raeR4lsrE321g0a0/O0vGlSRNM6Xdrs+AWMzl1JhZFXvbUh3MCsdwCsXbJnUxmof0
EtvRkN1ODTZszQUVfjRah4DT13E3bR8NDt1yyXkzKNjwM0YN8tzoePl57zpz7AN7t/T/s9F9ZEz2
aogoyGBsfBF/gV3zHrOWeB6iW09grdV8paKHm7ikjMTBlIWcheid5qPkaUyuWFHk3++Bj1sPJBTi
OFAXrG8w9o/pY90Sa1FJh7cAzMXyRA983es0XAOWgJsWI99IAk9M+I+/lxkyeFwidxeSpvb7LS8b
42cGTe6tLSy+VzT9iuMat17jYz+hDj4EBTMg/ohNfYCmQrjwgFPrHUdrk+Nj3l7g8jB12NfdjkyK
6rhH3ZYeDkKv6SoBKmXcALPRg8Da0z6fGvx6Cmo2OGU5c4x7SlyRB92pTqfWmSEPkgd9BWIIjRn+
kNo7a+x9t09dB7m9bVNr2Fzsx/gUTXY5ZMJLcYYKB6rEEC07C0F0fh/+RQ6QJ9HOzcu4e8zHHsxm
WyWYxX2n/hvIdd9KkbjB6bHZpoxXyqud5zXw4XddE6wP+vfv9AOeHLqrwyKeVDzdELPgj4l439p5
OMG0/izneSKQ+BkaS6gr6Ij5U/Pz4MhMyzRU6Q5uiR4eC3JWm3K9mLrk9xfzy8J2XeQNSA7WVW0z
C+X9AlvTBF2Dtd9WUJLYSzaWZuwlrBUDvqsPFw64Hh3Q8vT77/05z/P9S8OCmWoIugdb65eyP0qm
ZOk6QaQJWkufqm5c4deqmtoYGoyWK3xIX30YwzX3TGt1+5ZzJb23HhgaySHpgAnnNbGWTrZw2W+I
XNm0PmzN0JlWINQd52TIbnA3W/SCXqysSRxEjc4t++f3N/VzJOq7m/LQxDEmmHNyzRc+blccE9JF
jvl4+4bIYuIY+Z8Gp53DdM+sKx+e8wiYiQSqUn6rkouscnuNi42NqAwFZG9a7kZ3kEGszUjdUtSs
Y+Cqu6WBO2VtQWV9Dy667ildcQeYIpd2uD/ZsNmwV5NqOAVaMLn1KDS6Cv04eo6NEuA1WXCNXEHa
TKRr56AD1Pn5g2K4/5YuoS/BJoM+TyZ45nZTeEffyoSE8lb59ljtC5Vifn05tKO27pdaF0K/vL2O
ZcbdGbrlMK8vrodG51G+CKeGE+0nhVN0h/EVlwZhK1nNb1hyMaUcgbuBJhHOUo3VcKZc0bdfr6+N
fDmbI3VeWC4am8cQHfEpKe0GuRzcdLLhbTA6Wdptfv8eP8Imq9+wR7fHJ9/Ca+Djwe/LNFlEoPTt
WHnrDl1qkNcXVPoR+xQoeH2GgVPE+tRnSv4x+P769eumwMpErqUytfr7PUmuleXA/M3tG5Qp3Mrm
fFFD6PP9MAmAuoVUHldRJDkv/Q+3/9On5N0yZkS95/tybX1Fzi/3n2qR5wxHGj8nfrJWVXlB/gZG
6iVDPmzRMGJjteNyFmqzFsiBF+gugjWyx/y+pqh4q80s16y44UBA5n8iWF5h/Oq1J/CWzmOZxFqK
e9nZAa4hyTjkG4Tb67e+raxSFGuPo0sQmMqLORircsSjXw+5v9POHEAGp0YlamSbIsPTyfpDhPwl
XPtggZ73U5glqAA+RMip8JXb07z9/BaiKEcEr/ytWe1RrrYvaPqJYb5fwUPZzn5aTbcG2fGfCoD3
KjGmjPqoAQjX4KSMMXY/dtwYC1ZIJrtPD2WlrURuiGV8h1FDQaiOQtbj7/fBL9isCNYMIJBi7ZJF
QHjvV6KxpJ/U8ZA8pIIBRN7WsenOeZhSgl6RMtZpND4b5BXxRvc6bmlCE+uKaatsMAo8YRsaNn/a
nL8wHWgO8AjWfJDewK9HVj8VGhMHDFLQU6+RZEbCy3Gv6KGR/r4maIYm0XTbWAPPpJzsNUFafp4z
HGtCXUvMnteTF4yCx+gvzG+4xpFsfXuvgbJMvHJ5CnJ06M1xCXgXd61BzVFu+6Jc262vCWhL7swu
7H180W7f+lqZ16/L3C9LlkSB6hCCYdqPcGuj0qdRt2kCOw6u2qjS9gyBNEC432NtxNZug2ygfq0G
vAfVxWjanzhHF635rCNKh8vDeXktNqdX8O73r/tjLsCmp6lMQ94hI1jnCbx/24N2MjuiT3D/VlmW
EJLHQ53B/DpQms5Yo2Crve72338veDCf/N8Bh5mZhDkybMemwU7Y8z9EPNvUBat9RH2OxQli4SBP
8GDYxsg8W/owmtKnBSrNIp8xYiaa4mQPKSetsfz82QjxPWot9yILOsd6cQaQBpDVJAT1eevrvLUs
R3xM0NOXAaYA6Y7uH9t2i9tj3V13SWBQr5dBmgrIbtpeO7GVKQY4bAVwTXFTQD9L6bFRNM0Yrby2
WQrclTmxxdiMBKIoVR1EtGFtdL68AVt10VQt0skqWpzx2IAJ9ZDY814217UDdQLOXOT27jMd8qKu
97MsveAJ6wPJYRwIa+gVDHjMHsW5deMltY/LQC10Y2zuPNlhPNAwHaKSKqvh/s5RFV876wlBeSAj
y3Q7FY9NNN/MXU9XlbQpW1g/wJlLoi7mkY79fLJ79si080ycQRxWWOixgGXfh5P1ZZ7Bv1apege1
AK58UVsPwti2pO9WR91cHBQAjhscsxBbZntv5lBjswnyOOM4mI19b90zYIg4VebDemTFNqYm38GL
Ugwyi9i0wSbFINpTu67VZgo3y2snOfOBEvkSOVmoRFxrJoXdjRNkwwRJypwyTY6UPs29EybU89A9
JNRkuXdptxFF7+1SYx3aAvfVAWM+pcQG6HlIUdO8RK3lhqehgd2fbNUUF8M68itcj5y39rP+GSRw
HR94IZ2Kh1ldjWGz4n+vsOtbTz56bWhbvFIij27j1S50YXIkw6JUsyJZ48BBhUO1ZeRQbgCWuvHH
aycwySuWZxr4hkPUh8dodzvj1SN9mDy08j+l25SL7/cYJzlEB0GbDRwHofHHw4OtXfm+08gTZn+Z
hytUEyV1/uAEcUBjt0QCevHTe91P4YdVRdThQDwz/+PCFPTydxMzKbGD10TBXQO+d2WMbsByByd5
KAoo+4hcy8Rcu0HZ9zjGCB9rMRrlbGZXikRdhu1UF1Dci0j39m7o+Lv0WLrKqj/lCsrZpYVcdD4O
ADrZDr+J8Tnu1ZwfPJmZElas091RLmX1vgXuLLbdEpKYNrXvmpPfwFA91B7+SfhoJcE6JHcK0EI6
Wk3OOYoqxEQBqQPM1IT1htOD2ZkwQexapWHDTBJZR5eJHPsQvlkVXFFcoKWGFIs+tiES4HiEQmfo
kLNs6T24fzl+hCvJJJEjZQN0766Mhl0H/vE04Q22Ubp79hl08mQ5rsL+xpqQhmmxSvjcxI7xDa68
lM76Vctx5Ya7SYoli7Y55O3evgKDs35EI5a1NOjKHY7YaIsaFmsge1w77ckBu6HI3tT0Ax58wJdN
H4kBpDlarvQSC7zbimB+tAuxHHQrRL1amPefxqxtPsde010nKlkOatbyToeWd4wju97XebO24qSs
ziRT1cpNn3cOOoUVggquYeUlFw0d+Qe7kfIbArf0Mcan5na2uvgqAT8/FX2HGndoe4EZcu0A3Jll
70+54Ohb8gmZrB7OdZ5Nn2q3x5DadPle5fi6uYqhDBtoWPOPJjTqvoUW9LkUtr4EZU9vIPqWqMS7
vEVh0i1ney6ie2Dj4tJJYvkZR6ZZYL4NE1AlRXjGCUY8FnLoHiP6Mtj+ZtZ2RPN6IbsBC5UJJR7i
6RLrMLh14kKMPibhWIrUyKY6GhjzaD0nblZfRXWTbSHJa3xBfXdnms47mqB2rxn7ZO3MMi5/qy6u
XxI/A8NDfb2rRzxy+yV2XhxaABcBxsUX2GLMnxZ3nemQ9M3RobV2Sk2OqiVe5jNGHyGqrK4Wn6Ha
hNMeok7Ftzjx3gIfODeNmLEDD7sAOa2K/wnV9BShOn1xON6OuHdGG0VBuOm1XF31lP0gCMB7a1Lh
J5kEwYW3INbdej03kJS+fAipO0mxje/Yuzqsq+cBzz/MoNq8vmJpouZHucc+cfEsBZ9ly4TKuUoA
op6nTFiXrduF25j68SQJJ7cosnBEgmv6BBa1bOplzJ/TSmEvZtwK7xOJG3HcxKjxEOtgM2VGxDil
KaoXAip6UJcf+YaDR2HeCekNg1Wr/TpbwXCQS5Of1IAfL5bKi7qlx6ZvDYfNZoEJdByggG4YyVvd
+yZrXaQTtaPU1srGdEAJOzUT8+aSsv/mBLq6SekP7i1TjsEOxYGdbRJlMJpdyieT09DC8PZLSkPq
BCXz+9h7T35RTpDXMGO2hkDhae22B+UHjXVyNPrdq0jEJeLkuPC2tGuaGzKKNDowCjEed23rciTj
/oa1eBg3hNdKQPp0ndx+7ixr2ppIQiUWjfXNgkUJJ7zLRLXhqnCoWSp5kaeWONeo1v6Kytq6VLke
2Vxiuk6EZy6HrMc+BKerckcF3H4znB1nZ5b+I32W9raMWxtz81TpA55G/pPr9CUTAGKrw2pFBtBN
SQL/tlJsnEBOGw0O4EKy3aeyR5U3eQPgV9xjsK5QAm+iIIrT8KsoTbh1+w7b2IonfAlTzWUoL1rS
dPH7u5ouxH5w8zQ7jDKy7xIFtYQJDWXMDeH/asMCuCNtt24xK6v/rr2Z8BNl3hV8iDzb8ODtSwNX
eB96Q/kA0C8307SEz8zoTB5VYrcYc0F6RajLU7t3olwe8smBVpjFXXFMGD/5F57U/UVgzemL6L3+
JGKc0kVn0u3gLy7eLHEVszULgzImjtpLzL6rHWA87QWh4h3jM7IfYYMSsJjC8LZz6gjqtEguMCpH
QzH2eg9Om5zLZWzOyO5vuPDvee+X39uFsQR+QpurVh6xu/X0vguXjH8lm+hSCR3dZMEk9qvT3sFr
0ZJtpMkahI4WQzmbCcvAxv4LDE6cJzVhtY5XOppxhymvFnt3l3VN8XURbgp5Tdb9plQ6umAMRffg
g1XScVEqu7HwdtpyCNd3VTchaWASyMkmmh3NPMcXgu/GKWkU1l0ajoiR6gr/Xlz4ECgeVcJ0lb8x
rgdfbnvMqsv9koVUlIiFVmyBsQgr0OYrn8KpWUjUENRCkSOLdDG0SoZPbaqgvLxVoE07UhC/wRNv
tVBvKt14d0PYrz0eRUCBGfNaojFDI6XWSUuHDv9e074qou1UJGbJnoKCtazx17EMvyJfsW+Sq7VU
wqme613AlQYsJpuhVLhmanqQT/iNJO2XWEbl9H84O68luY1lXT8RIuDNbbvxtNJIizcIUuKC9x5P
f75ElXaIoxPUjn3FmOF0NxqoykrzGyQ6DiRctNdz6JD2h13+ENVe7f7B3pR+42qMzLLPQwUs44KC
3by/gBNJ+vs+NoyWLnaClgouGAsuJHk1jfME9dob8+sE0D0VfQ2nvxhGLSO4uN7C7yaYgfgRzKVV
PeF4QopnANBdbl3gtvVHF/ZR/vvooaiO6CZtt+wT0+gYufe2LUrbRLHEXj3/jp5U0mWnCUwEaJ0F
BOh2HefYCGmNdQWE4YzxaXrDn5SD60SR7g2011BSw7DhKHYhKSOCPFlkOhfQavx3dExMEGtrUdym
BKnG7yBmCshPI7J+3p9/DavsFr2lxfPa5HEzfbZYGDTtXVzE+KShMYC8+lcSMnTmphwi/l3XWUX9
QcNKqx2iLLT8Nqn3V1UhQz7uQmqQlNsYwJAf/suwXzD/5rZIubB6lTTVCijWQEFUapyZhvRtNSqo
KhY3JpBKFPioR00aRxWh4eH7CJxw+PXvyKVYEguFFjW9VZbSTUePf8fNYQ+NYUvumAS0fGaGzcn6
0dgZNT6UB24EZUgGqqo3UJeOoJG3DmBBfmOdSzXPhIl+QNUhT74gHX78jomroJY0erlZbAHVpeYi
U0ETRYH1o6oj2rUWZLbgPNa/OopdVtMReKAKQpXwwVRt2SCtZE3CWrC5i+pqCmwHh1utWv8DJR1v
rsrzcUbQqrr2SRXXpQSfcLUe0mD2ZuOhdGcno0sWcGuaO6pv0aWP56bHBjLygz5/oi7usKiZFyYV
7eOegCGfYVhy+COEBpCSfapA1zVYwwFoSYr8PfcubIKWzUjTUC41pvnHk9piywDPBsagsS0ge4UF
drpyPbk9TRey2u46eEzTAyY13MZpcGU+45shN6RQJJTRrlLaKolNdTCihcOo9zsIxKShrR2HtRew
evx8fwV6Sluli5IxDR8o1pmVo9CIIDzw/GWnQXNnNf2E4Lq+V51rr4gM9hDObMZndNt5YgonPdv2
nrrfjaZIoWHWDjmRid7HuPFgUJA5lk+NRE2DHGnrH0/ElZXrqcekZ4CJu4RM3qsY3VfvMqeRPNCY
hKX0nnNscFDyrDImV80pcCpuQe7DfE8vVBYyM/RX1BXzu2oBhUTugzgjlMiM8TGXgjdkyT22cDHj
1csAk/QbTAlZjkitBPhBqEnntAdoOZ9NVi08ZbZd5/7KyFDmyyPDHBM9gZzK4QWjrhXZHISG5TtN
G2x7xte5K2MfH0YdNcrqRqnZnkrmL+vryvxg+IahO0SWpybKCP8l/g18y8EOgoyrWJg7D+fY26VP
FWVbtHEITGg/oppimb+YQFBaonOU5tVtgmAyf6Fqy77WApNZznkfWcUnMy0nMDOr01M8D32Xu6/p
nuTlc+aDToTjn9f+RxVLRh93LWaQxwmDz4mRfTW8GZfH0zyatFyN2aTNoDZdN2dyz6fOldnaXIKd
ss8Vsrd8WbscCRR6eIsWr7TX5qN4h8nFkqxb5GJh7EYRHTj8Fyqf5l2YeXbx0rNrvS9LwGDpjyYl
lf5WeKMU+nhHyihab9oDkqa6QENsepx2foe6KD2CFhrfp2pr4uprazPKwPdgm9bNPG0uiCDsKI94
pFuW+fEDGBy5nNKgq36HW0OE/nVQuy314NH/baOF6YS6RdjctVUHgTLcYtYC5eP6e4BCT/fNGrAG
SDnKDnDjfoyTVY9SndhFhKEi22B15bSHaCznvENDhV8uMaKYzNrqhKCmYrQ+5tGXoM0awaX/PniN
u1RnE7T++jGiXuf1tepTz27CbbW3QBCxJQgOe70kfVN6v6hQBrImZ0/oLmgZmowbB9VAkTGqMb5f
tl4CDfof8odTt9CwjWGddN8mG9owQhR1LJdorZvs1HZmCjW9jyEfcPk9OoX8Ej8E2b40fgRfrJYJ
bTP5iwaBBf5RWBogu3L87AvlOvGrtlEnf8hnu0JAWQdi3zQ29sHuWTJAsyDASfdxjjMuLoowXvH0
ehldqCMIKmXLQkh0YI/tr/68AcZ8wBUCpsw5KdC/q0TyuMh9JBS8aiOcdCIMGjzMfimRgNag5DxJ
aRL7thazSmISp0/Tcc7hf0JH0/dlgat57V94jC2Wmegcge3Lb0uIQAX8oGPzIOUpi14/bB94z/7a
CJi4OXV9IuHGX2I5nrNqEKBDAIueM1EQketHiBEH1ohhIEqzlMExkrbEL7KP/jjj3L2YJ1HpFgGx
awrpoSwfaX+GXQ/FFbpW/aGO/HVlsu1XLP47uvyFCf43oJszPxZVOoMqEaMJ4HeTC04zCpEUQdo0
v4cjJ2CaHfNertJxe9nlkO5ktfrYWKXtuazRjPljKK2GVrbTu0JQ98x5C1AYsTYZFZiMkLkzTgXO
71szRwI0h6IhE2+mOQ7/+CXp40f/OHKMcjjO76PJn1CAcnEVpH/ClYIH6AEEU0u5gWtXSwaA3RfH
VVzMHo9TT9XV4cXvfRShHDq4ZLd6uIfDUI1GhMGwtmnvafIzdMKlcnW5tL2MeT4u3oqG452qqkS5
bDYoKS8LWtOkTYC6KU0viZOimnfRwF5GdkKxjMIgMuxf8zHcywjDlWMn62WsNnSdzqMTvySZsaI9
0wHGabovgwVT/trAZpi3Swdjh2+hMx1HPf+sMgJn/AZk/1hex8AF1yhERB6KaEZo/OoHA/rGT6bb
S9RNAcaSmK2+O7MVWp8+0MdMZeFmFwviWt/Aos8FjOktpZxMzdTLDs3jFFTHKVsZonuXVqEFhjCU
qXlv5ADhmFgPiCX6RZ+yXNIDjDO50RIHH/ukluAAIVYOqp6jlHesSkpV0AG1K++Rzf7KG+vBkIEw
FVtZYyKo9WUTtCa0SPqRrknp8rEoum5w3jUkfbA769yQ9xSfA16XNBU+J+cCVUJa9CugWt56NuME
nO9YUUM1D7W/JT0I/JHsiKnOaoNEPu9FiRXhFZewpYIndaTRekhf9wDpwofZcLJguPw1+YLNxXOx
FD+qI2nhwpojDVYn4hzNcngbHv0f7zKGgHmwvBrg9pO0QWZpwZpv2Jz1X4vCEzCMTndpwvQ8QGZb
6fTQ9NvAQtJrpm9tGfSis+jwyzHugX/ehVHMjOEuY55YvKSzU5OOkZXJtlntmH0QlqZsMn1fgQjK
TokgcHAhWG7J7jUXwol3iobAn8wLntdLhRLwcbbRShcg3UYzcrkGjrnXzSX3nRz8hF4zuvIArXoU
IAPT4gcd9jM1NvcULhNgtMlV6TJpA+4zWJcaOz3mH6oiTRrgfZzUeTpyz9Qhr/c0hEb13amJ81un
BnObFcCfOM3Qt+bi1pgZt0wHbKNcBKTKl8/AVWv6W9XmKetgyukxbEjsHVilcHMk6uqRn7vBS2Gs
qI42NWKux0aOHB2ycxXbJzOd+GU+L0fukOMI6F3U/BklE7e9m5bdWawHHMe4IWHu7nyI0TpQf57Q
ESHyXacOOE1+UzdaLbmIzJB7pH5lz6iGcAJwCzgATNTyAFjppznZcrgl/SAP38RQjswBKDln/Y5f
ATvamUjvyaRqjuqNLt5k+KjiRyEyiaaDSkaLol1E17ml5YS0tl7r6jk4YygP3fQGTvk+TOTSg2Oo
qlNufZBHQFr4qKhY5SzWP9E+kEekIQcUhHJAW4OXhmCGQxwtgSqoTdENrXz/v6CE6Shnf7HOslzr
FZV7hnVWL+GjB3UpGTO9Fj5PU0f0JY/tSgugr9FTp+hM+3R/TWNgfYKkYshHCnWkQMB0Zamrc8BX
DQ16lAcpbd8hANwGp5N7j7Jc0QlD3xVuAKWdLFpTlaSC0OV+J1g8UolpFuZsBdJHQWipJeTuPYRl
YBi0N4AazdMqD2NTxMmGDjYfpEGLVRgIwkUXvbtXSmWmMbnT1Mr+nEDK855Srsm1HDmMzhbnaAEJ
eRHwD05lYtM5LNhCHS0IalWycRgREvyR+ydjU02bxAnpYJ5RBIuD5BRw3PBsKEaP3pBayZXBsqVI
Oub3y2rLPFIlu/rohlxOlun261ENpRCgSMMUElchJTu6GiwY/2iN2Af0ljGBJHkqixrchbBUqUw/
QXuUj8tVpCjyaW7pjZLexGg+Kh6aXQ3UP1MCZU+Ct8LKOd7RLVNrXd87I3VWPli1W/SOU7nmmh3g
9k2BVjVx1UGPmker0qc4hhf6rS46Sv6AQCaPV7W7sJs72mTqDNV4YbMt5poErxiMfQCYkE7Fu2Aq
zX3BDmyNLLIeKWeavBeUg0q1mSkMLB5P3TlnD9vtBp7a7JsTQA85CYNlkTTWsksZFOv+nOfkx76I
kZl75e/J9TjIN8F/JZCKXh38JvkMDYGAziXxXZUCoYry+lYDtzpaGHSxeOqBPwiWJljj1F5fQtqJ
SKH4ioJt2eTyqMIzN+SMc1Ulvttmw1rUAQhItOQlqv+lCiBjBTjwAknD8ugRT87ShPoQqQYbmwhm
W0f5+wMoGyuWY9OZzIZMEtZRbtHgFG5Q1sz3ymirr8ANpRzQHU1d0lOLSa6vfzLBevIn+skWivPL
NqVKVMtBtzDhI299/wqcGPguZj6sZN1yaRFgDmwgzKuJvpoht5Qp3AFVORayAp3BRBy5ebWKVfQr
yWLJE1HOyhxjQKH4KAv7NVyGl4rw3XykbK+292UHAjQ8uavDKgN8KRwpYPQBm0KfjorQoIHUAxxQ
gkHWUaZYVx/BtX5+RICZXOUGRLufoXRgEsEi1XEvWBo5D9awklOvc01Je3q/lQynPXI0VPzkoNL9
FFRLwVzc5n6WrapLJcdfJG1oFJNBB6ugjoWg12NyxBFTq8ytwaebX6YV/Z7mwQYSyU8Qy5xw4CCF
1taSZR5qCIWNcQPx3wtTDCY8PDDoMemrHeAyUGD6qyGMSCbL8oUSf1vN/g4McGhtF3p0gr8rrcBh
X4KM4wdfin9uH5tEFunRHKc3xqN2dsPiW7GJBZu/HI1D1RbQoNri2ERBTuuforRzJc3oTV+SY8E5
yxasUJEnX1uMln+6jlDGQT0skiTDuhEcEP3Sna/r7b0sBZ2YzKrBvqtMSgPDyRyP9zSBDtGFVGlN
XQUSUw2o7wETsTEH23R2mNrQSNh9ukz3izcGpI66lnQYC3MpKj+wjhJ/mqzKTq44cLtj8ZnusiTm
YLNkCYQmCMsGnBiDEZqhsOBR3kvpWaFtrVZnWhoop96F44FpdIGZ8r1Vj6Vx3aNDhvsu75GBsCG4
a6SV3hRBUjFkiOjpsvtcyJ3cGDCqkvsNbielbV+nW8DORImSfrluQKgDQBN18C1IJszA8D3F/FUF
Kd1yNlXz2AejySNMVdYXrgFy3Z8gQkgxgFml1KEoYUpPYZlQXjbPzVIP2/xqoPm5UlGGtWWtj7sF
/YOcya/KaX9pYb2s3rsxSqIhkl7pHrdl+n3tTXIodKFqO/80FqBrfNzC/dkLoVRZyYQETwD0ity9
36fpnPvj1n2Hf4M19MWA9Fi8o9TGKdhHHduafhtgULjhBcJciim6h0MLkngxzaG7fQ5a/yLdKOtl
yIO6e5o7QFHpXVRSiX/Y0nlyHuoN5+LXmmX0X4yshv219KcIJUCkwplr5hVGbmECdOqxWbrpd7NF
5+5dYDlxdRfPXB8oKge17uausENj867Dbrt39PzS6cPas7ZulR1v5l3bmMv+ZO/5fCma3AYZ1GBS
e/YSwi9wEzfCnmrEXn1CAnAF/+UM6fLYe7Pf0KmhvrOe672uESgF3OXfRsZ60ylCQLF5CrNyx1zN
HaJxpAcYQuDLbm65GLBAs8aYXrDAXlHTDEsbwWHMT91iRQy0jpfCgahn1k7AtNZofKaHe79gaLSE
+YA6HSPs3l3PyPCiG4txzw5j9ZQSH/yLyTZwLh2Shd5zTIZvk2inxRxEj1afZegnY5xlrvtlZma1
vMfVtuq/Nqjk9Z+iOUU9EtOAqblt7mbXUClL8z7L0X9n7fXz+xbaY/vQ0fF0X6JyaIwnr0FU8Y+Q
oNz+0Zq+n9PjNNxxw20ZvFOBHu86u/NpmCAH0hk2w+AbZivMnAAq/pbyJNAo1X3sFl1mUrjdkdGG
x8GNTh2bc89Y1YHTfPF20iuaaNNKHq7JNapxGFhJYjyDjLH9D4BkuDOn3o22xgHHXpAhAAmmZsi2
ynPvE0YveKxXk0kXtVFh2QDEwlZt1UGhE2WV4ttHKMoatIF+C+m0UxyoFKlJYumk5UeH1VYULIXf
RBCSHvDqAIh/YRJICqXeJFfzS6Kf5ObqXSzrUDyBe8U4Qs8yYCAuITuMfRBvl/Wg1ekDR7U81YgU
/e/uiM0OaLMzEGrZ+FNDKxuH1io3IJTY++79Gs9db4bvV3ev8bcrRryoX7MskBJpt0D6fR9gk6HE
OB6J6P/UbJIcrVZHdMPipGl+Gdswrr9lY+HHfy5IHE0Pqzmb1cexHN3mv2q8qb7tpvtOg2h/LEZE
wZdtS0aH2StNhGWjQDwjOMkQNaa7OIU3+KLJ6lycNJaDulBzr+zIShK+pA2GA3GVrH72prwNRScW
aGZs2lBGUdKfEuTdEawZYc3gT5jiXwclDrcY6ue6eI+ib7z/PpF4oNflA6ScUTIt6BdcnbFAEesr
tj65Zdw1Q5klzfwpGHj7oLsH6mNF81NK98qfjTMHftpEpnPJMJq33XPXzjUGTpXptdep7/oOqcYe
cf6OirN5165RB/hpW3DanBcvLG4ZadHNG5e0vIvGDXgSWmxBdEPqxf5cmEZnYtaCjSbMsZWRUVn+
pxgz73UM2+K+scMJe+5obC/Bbm7XOPLi8QLykA9Fz3V8ookIMraf2+X7nNGDu6euaz6ldDHfVcCk
H0NE7K/TErERR/rL7p8t8hv1ZYBZ3d+lM87DvQuk7BQibZudl2Fqv3VJa/fPGxigS0Az5XPvhf3T
YubuM4QVpz7tC+yqm+2Jk5e35t82mNfviW4lTzl38e+uKufXtO2N+wC/M1j9zTbf26WF0G5OkW1+
gfNFVCvbZvyNNCR5HHj4JbrwzeQESBICD7Tpfv9JDxph2yRJQX30ET4gjCC4eUU72N8YQRTYCVPm
1WCZFyRAUwba3anvM7EY9Gf/LgnI9E4ZYy3/wfP2rIAPizYtYDB7+LbXFQikxPYd84QjELN4Spfl
vNmZe7Jzs3sBYs20uA7wUL7kFEjM7brmIagy55JbzvKcx4n1e2g2wZdpsbI/shRpW5CPzvtltVhl
kR/fohbn9a4r3Ud7GYrwPDJAXU+2GfePlmU3/+Fs42SYMVb5j2G59Q1/eCr7uvp1qvz095h6CDmV
Jf9Qm1F1G200uD3PXG+Os5pfbJy7XnHb8s9eVGS3xdjjT2kOdidYUP+mE26vZ6MWGxPXIaRmRjpf
QNhV3R1OrtmfOHFanwe8qVYMpMz+D7CviKGBbKQB6OI02p7aIiGyxK21nrsezzg4WhuTaqNo34Xj
ijWWOdnoYs5Rje7yaGbzXeAHy9c8oha71Any9bYbzwBDVvcpjz3jxeOMf9qTCdxgunmfrborb1Me
o3yEfvuDV1eoTU7jsqDAOQxTciUuNZ/DacPlqYOucW3J4D4uSbb8abdjwgB6DpnIO3k79Be+iPPZ
Edr+B4xm0SlnjhGa5zZZ4xc+tjwNSbwj2CnuYIazeb/kIW55Ha/AtIGk5b8ZZ+ZXtObq+B6XOn/6
NdoAM+FbvqxBkF4pv/fI/8ULeUJrgf7VDIj+rnRRnC9QemCAajRnY0rtiS5GE1sOqrK0gmGU4x79
HkONYnyxF2D4D8BzWgs3MjTuvm3bGK05RoNL6L0mM4gOzKQtdhuxxaZlTGaH/kv13jTtquDgZ0Oa
a3UpNsOPdlxfUqi2+fus2AuQRIdr9Z49AlfmfC97bM6qOp6Cl1W8Lc9DA/MOd3rcCs/1jEjKnb1l
+4dm7JfgZBYedow5BjHlGZGwFOU/BEBB2ucmA/b7Da5ac0YruuZOOxzwd8TdznxgGZTOh3wqvf1f
ac8/4oRFdMn1QP/BNQFmAuDkRxaA3W7YsQTN+mEzzGhtvzNYw/fzFamiqkAs839cmv4/ynqon/z4
YTY4ZJvF6cBqsaEAvKWZuutuhw0Etw8pDsA26sjokBAWUq9tiZRe6s5rc1/Zow0drvBMABsJFpW5
x9B5kn9aXG/5Qz3oc8x+BfJ/KGjNlrPJ3x0/eDHSit6ZcR0qknAuXN//4tuTw+9yOD/URYiDyNRm
Gl3wbk8u1FCg5OPCfrcvEwML/hKi2s5lhHQ38HNlWUvPKZ+m+ZUolO/rdc5BLIJuNNzeiU+ZulCD
Di1fLFhteXGcmEH5Li0h0tsP1dJ7vH2776Z8PcqKFU/V1RkiPlPJcNXIDPXxzeuTKCp/rdWNWDjF
1+039m4YuGfbGifTeY+O2pxtjxWgNFxKWN2e2z3564CE2McE8RG+QO0ysnCvfo8zdH3JhkoK7TTi
6K5PVof+9Xq/mdj10FKCTetX9946tC4qtQxrUE5xmU2VGTg4mqP2JbXjbiqek27peGA7NNvMfEgh
5e3xh9L1Myu/NbNb4q7O5El0VNJyQaLjY0x+4n+Jy1AuJXNqDzWlAtEC2Bb6GbCpBnnL1iWj+aRb
SpFZ+EiU1MUypO2VnvXuOO8A14dIHEfUoUiQOth9kBoafSLXhwsmWxbrFiB/8YMUwTxyY5WvjIjG
Qlk0mEiOOBcUlaVBG8IG5Js3XoPUmlpCBrxFHoyNe9xkXOOR5Ly6NEhV9em1bdyOm+ha7cAKHabS
qYz7Imaog7epkhOiprPM+DHDsTxY75HVQ1/pkkxGMCQv5myjX3fq4wTQ612xZfMUvGuxUV3TXxiY
VsxPbL/w+PQW0RTuRhtMDBIf0PRiZT5kLSM5cPohNYd5mp0tcvGtbUfreVACaejvQWB8WcccdXcD
P6rkmtju4Gfvc9B6XCO2Ly0v/Zf9fBDC/kbkgSYPgYhd7bhwDXzEcn4MHnw6opFr2XyY4eW5PRNy
2zEcJvDg7mt885oVIqcz+rS6sWgWzT56CdLDDZWM55ZOllehHNLYIj9o+y14/VcDEcMw+X2JWTp0
FRzfiOBmK/2SggGOf9eBCa9ijCWQhG0u8I2NOsD3OiUxeljbweTuzp7nM7FC0VE+T8ukgo5hdLh6
MU1DkACisborYVePt+DvUjgBPibTjPat7pq64HerU2vPCOYli1GgqUVLloQTAHbrQKUJ403qqMqY
RVylHAdRmdE6b11el2iynUC6RazlnPl2HFzRMlva8am0LKfCOke9cMO21gBnPbJiKxKZOcBJAGKN
yz9kkiO+grsVLPVvesKROO1ctbfV8aoZlo7BqkdvUREuU6wduSTFXNH6jNBdRIOR9lGMZWtboGkK
VLlo0TGs86ijBQru5ZBXaoY0a6on8tS1Sc+bvwmVUzM6hz3BpBLz2mqSZgixE1uf974Pu4rV2Ubz
iJSPZnNq7cDcG9y9+8AkyrNwvmKyCP3F7jbpRUI5dvr44s3oS4CZQFqGl2sJxNg+qKRdDVDIeqd1
njSry24hLzIuY4yM+RrlDBqu5EWdn/9nsKTuvGIGS8n1UBfQCUHYIlHBx0UsuQ2XLvp18fT4853w
I4UXxQbTceyQz0HcLrBsRwhvf5NM6YWnWSTR/i6B00VDsT1Y/QoVqIcCWrVCQzF+/vE/clb5eJsG
D8uVpkvk0cF7sw1npr5NhYXdOz3d1jAoTV1Vs/ckq6RHBytINpVuCP5vqP62fNrfgwIbEhE4z3Jc
B1K885ZXiDBKIGPAnMfmThsIoJFFSqaYEQ1M4zxVg5Mv17lt8Du64k9EEzLNGPWKb9yBYdCrFUGm
OMg/pKQTlX9KeR3bNWJmwr5TDQE4fMIZmxjcZF+nJkyq+VNR1HKkaSGujAPYr64JgZuc+ud3HTmS
N9+UwwiFEuI54maIx7zly7qMjKG/jsn7OsFVpr2SjoQ1BinkvZx2A4IQ7AtaEHLSgAb1IRWqEB41
aVvhczRwglUPdtgVXg7gYJqm55EMvr7FvpfzWrbLisC1M6f1SY0ZdZdezWSw/5VSXqOlFOI0EJ9q
tDKjSj5VYxmsOJf+L2Ugo4/zYEDk3a60lOROhVMvb+JPLToBeLimFuMFe6RTUrlVIZ19Dg8arrUa
HeZIDyAnh+CwxaYCHCQTzm7JZeRoLKagNjTgEsgOXaHcJMS/Jzza3nCqkSrYnm0gKvSasXruOcDL
uTzkb9fE2YBmU0hk04mJLCznm0Z7qaGwueBEvX90gCUVn+F1Ao5STNy1ouPP5ELEK2VpF06/3yaQ
sk11jZRseTEesL9tMoaFpIvH0D4p6rBuR0E7lIFAWPV+1jzOC+ddc2HmQY+pMYowXdaTiTPGPj0l
eyWwiiHH1rM/K5y8a7YHiqoEUQs8Qg35NeKw75jJFPeDhZ9d8BceFLc2GfGqMXve4Jh3X+MUEG2P
uZo+6wsOOktAKGMfikT3sIUSxinPZGJV2kMcuKcKz+lexkPNFrtnj+rYwFYop5qf3ntmjY73XUhL
obRvdpe6TNOWwpVBCiyFhOva1M2bapobwcciKzAWPoPJ2DLjZmc0SxA7agIByY5gnNmBeUKPI8E6
YmmT/sEGg5A+pKiWk9i1NKv5AA2uMQ0359Wc+B354BYxAfg2t+xlSpzMTAxmYnpapLOY0JlrRnZb
ENdcmNVwNtr3+mbaBro4eG9NVruPN0J6SIDH+1xSQP1y25wG5poO/+lmZxgCSfM+Dnpk/yIFT3QC
XwYsemA1riLzg9kCWKpPW1atdHUVFEGPnzgkWWL6Bz35QXFAnvrorsCZNCxda1kVlgFo/d6yw31c
wdtaLZB9IIih+blFz6Qgh/bsHrXw2LdF3bAxqLadJw/n6RTwkMJF681oZnUwBydcNS2jvWhMbqIe
GINYWWRqroIfTJQzkZtKegQbZnHHWptAyT4sWz5UIawEGfBs1OnJkY3oLKFUk3fVS5xLk4B0Q2sn
87rzAMk2/gwZ0lrMx86u6f9fmUwtC90GeDAsHW/p23qERbWijPyuaWoZHMLHL0Y6rv401d/KI4ws
bEviAWd/u0IOy/CpnEowyAmerFDhyFrWuyBNUPk/ZWaVFo+tbbhdeykbM5mjdyNFKGtypF4nDOWh
34F3WpRGh7EBIWB7e6xFlBHU1Fi1bM1xh8CXnrVc1jybB9QJCQ5SCY0K4OCSnMAioKD0VUedROpt
mWS6p3FvRT8J0tQosFlgPs535CL03dtHY+ArJ21nTg97O4QfUGn08AzSbASFsl6OPLOKW3klAJnJ
IsFkBmObV8xMARCh3R3PYAMro89qWJ0YF+ftZ5isOy8oyDMYRBfTlATTI4N8AW6IQAvXHTNoYUcW
cS/wD60PpUfdTo31NZ1Bf42+uvDTsfqzC0Chp9HfugR3w2GAA/zRWtPZx0RVb7PFWGKBG2ZLv8Nq
O+Hnm1nlB5pSKaoAoGCOvTyHgDKrF0z3ZAVjBy6o1UxRBZDWNhHE7m1KN/MvWeZgR18PA0Og7YJs
bedIoFFNbnIS3YIMxYEkOikQVedNYCwhPAqup4CPQShI+LaEEDV/6DPoCsWTTx4OViaOQKIGHzvs
O7milYKZ/9PpuKugNgbd77k6N7OdlyEuukEIf01BKvT1aDiMAoysseG2zif9vCaFIbdgl1IX0wYw
JGCniMKJpUKOlP2ILR9E6vFFC8kyuewkTKpycG5TWaBLzajP+dREsCvxLuoQtv6eCBT0W5yJfhjo
OUDW66EekirkNyhPiTGDQmESno+bTOhnzBzmNM+XZ7zv9j6/b1fqXHTTAx8WxdkbQAEtd77iK7QK
EZ+IG8e3kn4ABIJob0LhmR3kL/0FNUrQUVAvOvUy7lZgHh1iFOBKQz70cYn5l3yyZ0cud19H7Gpa
BCBjHnKFUHwkAcFyWHYReEdTZv8+4tP1h1kBwGc1TWVgJgVLqQYSmj4zqQNSQw0gPkv+ooFKWQ/z
HvUk1BHYErpj0BW40xKa8JqmPEu88cDZ+KDJ2OZ5JUNiTUhjviQj3UJFwP2Qb+kPtK/G6uwupGZW
XRBsqLd3E6Of8GYboUzuPcUC0tl8bicC86fzCnzYXg5hyEqhyDSzpESwgWM/8EsBOWuSjEJgZ2s8
xN7DQNQ010cbBVA0LfX31otI34y/QCxggOXhKBiyHlDrr6+DcBSwDbE2JBHz80uyIKVEGoPVWIJ3
pI3I7IM9g36Mb4tK/urJ2zm4N8/Oq+ZpHVsjKJ+9HhIWw1Wvi5fvCOIQLC9lDB7GpbLCLuuLyy/J
ZVUPrZtjxxmuRc+0JzjVI77nxikh8+dV9JqllRaGlvQvWBchL4sneTR2EtIYGpyQAdtpr3qwCKc5
DBY+hFXd06xwm7geoxfYvrn0r8DS8Y69V8o/kZshcIsMjRuvX52ZIcCXBdlpvpgGz9Hb5RIRC+Ny
R2eiwAY3TKZpn/zcLtpfIV5In87pQ+nTDfsqK1e1jUggBn7QjaJEtQHbvpVNOWVMmAzAK7Eg9H9e
T7ytJkB7IIeC5A9FE9XcUW38rYhMy76HQNE475aMY6ZhQwRrzgTqmI26at0N9rJjiskQPXfyJ7Xu
fn4V/6glEV2M0Kzz6X/xVN5qswRmaviuMdgv4cFf0lunSFkNwEaPujZfZ8lANIiwUmS1VGVGP7+Y
N0IxtoVkHso/4F0svDrQhPmxrs7jZuwGL55fUm8VutY6k2URYQ6QqGZsgAmA83/38w/+x7PwmKJb
Dlk+bXGLHtePH2yPIU4mkTu9eOrADSBNo9StBdUmt0NdUOcCczZF8MoSlbf//DLefn8aCxLdA4ub
QCH9VjuQedc8JNDnXzCpUF3LVND3tLAF20bZLzQNXcv//JOtH52PEEITeUXTdhFGYyoQvK1tIVQl
SD/HxnOqOCFlEFP3XMO8a3tIpAd/SoOTVsXWmcJO4rHGyLigPeNfrBZYw79JQr1dorYVcC88GhWR
hYTR23aHD8AEQbXYfNYVtkazjQdXUC1RRXX4C72n2DKeYsH8y3162+2wEW5DOtKG9QP7h2v6caX0
PvR6z2WKy9zIxWRQ3xPwbLP5aUvGzp0g5o6B+bUsMFKsrhammdbXbkIgPzlHHX4JtKGTIILt4s0l
SJJ/0ct8IwSDm4breE7gAF8KLET534gtdX63WR5U/XvHQnr3m0YAjkAY/k2v7I1FkEf3C7iFjbmO
D9aZacSbe2HGJuVBt7vPSxWGe/qb4/VjWzygL+KiCsTJQegMcBirfrd5FnR/VixRSafGZAXB8G4N
0B1YrjVtnAC/we4wtlhKaF+4lolK2BeyQsj+mg3EN4+N8fbz5/l246Pv4Xqh7dvosHjuP8RFic8z
KvhR8KJhnbocb1E9IeArskV4cANxfgLPae2Vx0P9+UV4P8qxciNth2UVBgQ+1Fz/IcfKGTpL73t7
yaHNcajN3dCE/Us0R2X8mqyrgWrPaGwAuT7unCSsoEI5hmVKRalAvcx9Nwbe1hZ3ULJNsCPxmBRf
U8PCIsQ5+YM1IxMZTuS22Z27McCmKElEQmvBsZNeHI1g5l5AYuXY02lvV9HHw+zGDETJXfeWm2Sd
Qatx8oOs/xb5XkTPtacHJa9TfT2WRMNbTgv2R6AQQ0hSBUkB6kINEKrOBg6Ary+CD+yeMCR906HV
hyxpfE7CyMvQbHLmoJ+vdOSdIcT9schTmtBzsQHNvzPnzmgTvkE6TdVdoahZSTgIBqi00zQ1r4FH
EtheTHgA4/jYY2e9uFfaB6n5+vOnZ/1jDeG/QYQyPdBqsPnenlpByHkALj970T31Vn19ciYqyUca
kjCLMFdayoiZp0Jme0rfXDcvO+XzBDJdGnTmXogc/s44mJ8UOEl/7YohXvOruaIytAAcDf3430a2
bye2PuNaJOJkwmMhcPpWbNfBx412udk/U0W1HobegESc+qZQyNrYSO9UkE+Q/cHKCFdOHRDpDDrG
/Lfd8abrGqBQ6eMz4ke+FdBqfhPQZmDifcBQ7znYDYbqdFHjykkuxnrwPf9PeUhggnD2HObWgfiH
HYJ2f0vNmM4AgMq96lmPLnXa2KmkEGO7jAyVSIu02780md9OFggBkPyjkNhMk/8fSWExdyLYuLTP
WZoHBJqKis//8tfnlwEC0R+CaJAZX2yhd/dv/h3/+HyHhhVYPGnnuxwkb0J6XWL2vIVW+qS1+hcC
ghRyP9iIVJYnPIlOkaJ/vpv+cQE8ZkDBPhq7FBqE5x/PV5+epY/H3vCIgu4RPdyjstPHbAIaVuKy
R7sgu/PA9ga//fzz5Qv+fZoRgsQkAxI9UIrZfxwIxbq4eCMl21NOcNkxFZ9QDUsHP6azwEX3xnDz
bdyr/mWR22/zL3JO4miEAik5KGvuzfcuPGd29qrpn7C6SLvpXeC2zfYaVX2+P+ixfV1YjfPbaPUy
P2cuJDWWPt6z2M6l6drlE9XSECDQu5/xbqDPdOvtSmKzxgUwSfl/1J3ZctxGloZfpcP38GBfJsZ9
USt3ilooSzcIyqYAJHYgsT79fFmAPFLJQbYvJ6KjHRRZBSCRefLkOf+iIjxd0Jw5BANJkY16i60F
DBlg4PID/VuFvXh5WM9zOGSxmdg2mwE1ArXX/fhaQ/BOI+oR4loGPVIjG0DdSept8Klr0hpJirR3
4HMtZiTORG3+S4erS4+0AxC5zn3lJTvnL5mx5jX76q5oop0feoYMgDbIM3G9wFGTE6ltySGX2tPL
D//z5YhctIwA33k62/PZuxUJeitBPztXkdL1/PKNi5z1pMpyAbS/csGfUjM2XY5RBDG8JHXMY88u
2bbhqFQ06quVzLRoDYwR9FQEOgbV4FHGbn12HU9AIg0Q9S7iS3dmB+AzO+DaFerNNYoaKfW7tUS2
Onw4ka7oNAt7dDyRlxfyEbIHgHexMsRq5I0zdzKDr8u30j3B1dkjq6Pnq/om1ULRZZf3mMKr6kQc
0jDAFeQEcF2oZCvVzOl6xRjwkly17GUcNRRm/G4B/BaDKjsJlIKpB5Yhul4PyXI0g2iFXlDb58pX
JO8hPD16RqLSum/ZStMnsw4GtaavtMXXA/xRsnR7+kJT7L7ZK9QxDEcLxdVpMGvhIuvxo4wKh1pY
X3XqkVg/XHkZh1a4qkgNOlOVb1b9DLDOinC1Qo6Xs0umDptfJoTb2oPfaHYkN0OjNZN7bHOcOIJL
Uc84oC0VAV0fUHOBGDtA+jw4EZ5vb5bBWo9FazgWKIdzZlyrNWuFukRIbX5cu9UU0050/1OhYSlI
UtFRxcmT9rReOPokjiF2NRP+75GSyl3PnL4ZqMH06l4RbtYGHLoQynQyOVU2lxFYPrSm1HZhJ/ZD
Biu0R+eEsppNVkPtrPpKdumLDaofYnxagNKgCbJEbiKGG0ORHBVQQUEuOU3XwlD0K21hpYJEaIpD
xbIK3KvcrIbgGqXGtnsvMC3Em4aitjMHuyUtCZR0c3FAmbHNacLhVxdZ6JPYNtUp9BPzJyBW2IdL
qvxuve/1SrG+VjGbRUcFVpkWIaKPIHO/cQ3kRq19maVYcWz4J8pmMhW6c1yZ6AXFCyy9Qa6Mzu/z
UkqH+i2t+yh1h2zarZXfFSoAhVpVO9faZ9ghR/wFFQBI9jib0727a3QUe+Duz106f1goR1YNDek5
h9SHf2Ms5th5XKjYNHS77g/KJob9SCe27+7xa80r84DglTY9evYMa/QecSNFT3YgXtN6S51hbpEx
FrPRZrt2aT6uZWns7hRfGlVcRddfZSY8iqRMVk7lrsHJrRIlLQSPZtd8WDvQREMF5J9zNH37B89P
pUbDYynrrqTIZokCawIXTK6dfASdboiHZVp37siSTU8Lt0fDqkYOt/fNttzDflfTcOmQhxpF9otK
MxFV2PYLhmgpCqS4FDExF+agME3h6GgwY7Q47yokCShMr1pMqziWKxANbPbwcJ2OumEGkQKcaRP2
d15qRQOQslXHuRhjNtv1SZcp5k8uPMmVWbRQ8FYBqWWpp37gax/RqeytfbCErrXhtHKvloUjT9K0
+qmivg7TNyayQEwXXvJCGV5K9dQXlVrSQnlcdFVWIpWNajixB3/VSH8cJdkFxEeQjSwgWB21fFfl
Jujb0nL6nLrxUllf2iKuP6rZCLUcYuRxFdqZR/wVaIkzMkG0W1o3K1nTXsrrq3hWQNWccKgAifWX
1Xl2Jbo1IKoI8IjOwpVYVGv02FCV/dqInfjWSUp3hnO3BMqkCH2CaD6WDvMuLWM9BV8baHhBbgLN
hoFdL7IPw/J9J5GTxpom/wOm1bzdTQiLHtoyHl4GeO/1iLm8mm9z+xT1WkaBIL8y/5ZIiUGDEtXx
GwV8YpNVu8CqKbf0jL/xHk9c2ZW9GqGAOz/2nav+et0l1gbvokWyhoelnLkqBKz0tpWg2ICdYV4W
KPVlWYRsXJLMj0GtoZgNvI4DcLcttEbpvhgLcX8hwSCMZ5OlY72njl/xcg7+5rl0Isv8NdngKsa7
YQIajwQ5xH3+3loO/WsvqKDkz/0vPOr1BekLddZEjnpO3grYXwBU1m3O9iQ5zeDPqg+z1k3S8qQx
3S7yTNNCPoKlR9fh1iLNoEOy8mflElcqWFNsWp1qe2p70I+OXtJal6rBRp5OF+n3auEvw2icVJqw
/GQs8h7jcvUldwPEog4OKwAqxamQeZQSUNVm3BVMPryoFIrFW1w5OHHmxq3Q/Em/qaFc0d+p4OV8
bnBViT9GdDSR/KbEoD1nAj7YYv2VLSTVtRNWAXhjQ1yL54sYwKKmUwjUSjHsNntmrLXYrgS0hTTs
XzDgoSQYRkGRWgfNBW1YQhE48YFb+yQsZFeDapVRnbYzf4sFRxgVO5dSY9fuO13HHXYvF8H6ZdoG
1skYb80E1u0eB18iwGVSmx2YQ4zL5yLYRjUkgJg+XW5p8yGDEsBEWHiUa0BeE8d1oi+MIyOdVG6x
NgUROILbvJ4QV2WjFb4RaLjsoXG2KLKtOW63JFUrsMg0LYVxQdVEEYjxGlJRZ9HHcgrTIdHCVF7F
WaD+HRNmbt14fCdpekpUMxezjmaBw4Ymp7lyIwwk6fBrPDHeVsDDquFtr99Ifsg3ooymqrD5wrBe
AUmLdBKcQUX10tkKuKuWxihrYdmPFgaadlIhi5fotCRPzZIertpFa7sxWpq7izrj0m5cp+dCLV0k
E9wlIV2KPO2S2YJwdrFz72MIuOA6gcEwkgR5akaXAlkbFnqi+cqmdpnNq2qBWNacUFBqJRHWW6BI
mxbAknfpy6IuE2hRoWt/yZeXXZ4UjKTApg9rvRhg24Pl6qrLa/VR1Pbvw6gvnBIvAuVAl/mewiBx
BFBd7gVGookTV9lZ+qBUaPIM9BoKGyZKbzbZ9HZt/E6tgxDsIQnxfYFzuegD0klXSbVYkFoG6QXv
v25RqCjf6ENiGUCdFmU9d1HxWgZpXWMA9Oem2/l+Mmfu5Vqs0KJBpsY2gvkWu5ta9KdiM7tkChGv
JxhBQ9LpHtIaXpB0VuYoABvXQbxh401Rhp7fetPfeP6jpuaiwZbMzFkHebUeYocua3urME7xeNcu
uBVU65H92XMIGctqZ0NwbsWnl4935zWKwDc9HBnojzk+BqvnRbrZcccyiYrsKs8qYOCrQOuqSjMt
PbNVa+YfXdgC9Ah5hB4dPQ7aZOeluCy1ZO2Xc3wlsrj2v0ycFDzoBBWWoFgj1tqYF/sClQXC/MsX
PpV9vivLUB7nQOvbdOjor2AicWZVomm+1fDt8UUxTJVvX1KUlG50FWB6Clicvnrn+UeIyI0BeGPu
4jYrtnYyWdiruuypjXmTntT2pJ770BcRLeiG6s3LN3mOhAX+iiKVwfEB7RP9Zw/eCYiF51W9dVwR
agsGblz9yxuhyqW6P1aZdoBQVcWeQLXO9/x3o+yrqjqW2QiCbmMieaC9a8pEK6MtSC1QzZucaWDl
e3sxjq/jPMugRyWZVoCHdRpkjTcxmaoV73MEqynaL6vFOVXUT4/5X3+M/x09lyuvp/33//DzH2WF
3ksUy7Mf/318Lu+e8uf2f9Sn/vqrHz/z7/dlzv9e/JPb5I+mbJElPf+rH76Xq693t3uSTz/8sC+U
sf1D99xMb5/hYcjTPfAc6i//01/+6/n0Le+n6vm3X/7Ai1mqb4uSsvhl/dXln7/9EtC1+Yv+pL5+
/Z0aiN9+OTbPz0X2VPx5/pHnp1b+9otmGL9C8LJNzHwRKdIps/7yL1TA1a8881dUrajScHD0VJ2M
9V6UjYx/+8W3fqUSjcwqvAqH2rfOr9oSI5LffnGCX8EO4OUSuFgHMed++fboP7zC/3ul/yq6/E2Z
FLLlWc4KYhTWWVPqe+BDQdU6q7GXCA5g3CIGFMK7uoOf5I+Kfie7BOE5s40stImnHHI9tIt28MPL
AdHF+hH+dl7dfTds6619fytnfn+g23ElApzHbej0wlAy+LFU6DmOwO/AM25rM3JNsQcAEtPAkcmg
fZA5+gb0Wco2SnakMuALjxHQQPExYQm8V+ZTmNzKPIWn7VOrOGJ4a/kPrVYk8yuV+p+GDEIeXQmK
xMC6HQLxj7fZj7oXjo6V3WqmnkUbRSIab0dIm8PH0sYvdJcbSSSOQ2NGzQZlNmXQydG6fKWU+Xe3
QaeXNwfthQE7Gy1rqstp9LPsNqdEXnxprL6PD4QKkW44dJTeASDJ6Da7poiq4FrofSavIrCw/pdX
Xtt554haucvG5ABwtR3u5Ww8QiEFohRDcJXTm4yNK7eUqST4dnmgX1dAvsz3MiGr2tCgBrGMdkBa
XQrTDVGIK/Tp5p/fDvQ4h2SD5qr1k7XmGOAyNgjLu1In3eKhiywE8cseWXyK5iMGIPaB1DqNRk6T
HiAieCnAYEA+4rSTPpStsKaLl29JDcB3WxjymuyYlkt7JcCUj4X244TJrCkZRsgrl53bZiUI3ahu
oqOQkYNMfRsJr+KAvUiTBJ2Ti6+OBMKUbl6+C/O810zwobsU0GSGSEH//mzCSPJ9MJvGfBlOAWns
Z69B77q5cfQWyA8sSC3BrMPUEc1IkJsScxluYzuoYnszgZyW4SbtOKp91e3R0bfFhA/PtB3wWS/N
ba9FcTTtzRG06nUksah9isfRb1HMp+M0begb1+kT4vKqTRsESDM/hb3N/8uuiqS/e/lJz+zNFAYC
iINtIZgGe5sG/9mTao6gfZIM4WE1mvJInjlPcgpLucu8NQot285R3aM+4nEKgIDf1ZJi78FOmqDQ
4MY3kgd++bbOpgHtHRA+QL7o4xHi2BN+nAaVYyVTV5r9IZdCpgeNQ251pRlzhP56HLl31CusfGNH
seYfa78rotdWxlk3ghvAb1bXT5AfXLfPkzjQvricsP8cDK025C1n58zc5NPk/Gmbg57dxpZo5Zsm
QcFhg5CKfIyjtNI3bZEJ51LmRjfcRG2eVEeaZ9kkdpk+zp/mNhvnV3pGZ2muhSElxCKbTZNGKEtG
hb7vurCejxYKLqAS3LXm+gejTTHTgNTQtrdFLrN3BbnW+Moi/WnS+LRoTN9g3/GYOT81QGVmjUrb
sDt05az7d70+JzhviFRz7u24HeYDA1BG73q/s+sLrwEhf1s3jt1ukDgPbfOVyXLmo0owBQ1H59vG
tc116AyqMfpuDGjrDelgZe0BiHhw72OYauw7+Mj55ZxjkXGkMdI/uNXcNBc5Wk1bFwfRh1xw7tvG
vjd/GvI0dJ8D5LluzRYqz952MwO/LSxE7Q3MRGvEPMjDXMaKEqn9s71J3TxsUZpsAdAal97fjzdv
TLU9BGXbHPDY8vuHdBiFF8JkHS0qz6M0H+fJncf7vsII4+vQN6VE7cl3nl9ecD+dHbgNVj8zHkih
T6Q5uw1b2iiBsM4PCdpmV2NqGQ/dAL9vC3kc1R2o3INn7DPc66obug8iunZsCn+7YAzH8ZjXWmh/
pULSgl555c7OlyJ3hkgfYANTd1Aqt85igUIcCjNwq0NsUqm/os4wYIyZ0cXdIfhY5TvNkZN1zOq4
6La4LGDUJR3AvYdM2Jn3HuuncIxo0UzVu4x2hHM/AqRL75nZefsK5fF0L99tX+plErAARJFuetTc
zu61wwtu8qTfHarWyz9Ir6N+PGUNVnyx0VbpVW4YHUQFQBzdZg4HZ2u5kxFdmFVXGx+9yULyNsdl
AroJoK8DJYH44A1GN+6j0Mi3tl3PBdo4OKOCqJ+9p3Ryk/FqzKv+LQZRdbCvE79DogmBqKuEJBfX
qR4BTHEbgEJom00zRvU7z0JEZ+NWNlfwipJPGcKa5SsgGTVfzkYCOCIgSfob/O8cuBuRvzSVjwLR
aMxT8qBjOyM2mWxq543Fy6tpIjrJjRKi/fDyfPnbC4MKdekzgFlTB5Lvg4H0S6ByvQX/H9LbsAuc
tj46gRvFBz0v6u4KkDRw/6w1pLx/+cpnWaZ6+T6gUB+EguNQAlAT+bsw5CFNEGKn0B1yHJDHd3hK
eR+DscmfZ8o4wSfM1yJzJ8cqNXY5W/GMZ0STpa8sl795fNIVKu8uzFedg9SPN1FaWWRrmA0eskSv
20PdjUa31RxDIKHhGNHwUAEt2VHajaJXdqK/uzL27OA6SSUZ+7NMwqjHavD9SkL1NDoXuZMwD7+2
rOlt0g54qFKhRYB/X9Fuem0/OsOFqJHngAf3jIKLDvf0bAOASNYV4xSgTOh0ub6L3HZU5x8juGoq
oG+BrgljNwPwLg8RZn/Zse01t9iyWYbtNdIkDM7LU+HvxgL95oCDGRIAxvlbwISoog4ztMSBsnBu
aGxVz5mfBze1SYvxuW9G92r2x7h75e2f502+OqEGgMJPSMmfwKZzVegVbID24CD15u+msfDfN5XZ
vh+qWqu36VBX2Aaixzlj7OVqYv/yY58fS3kRCpxDXsACMMkn1f19twSS2UgaE+7XAWO9DC26qKj7
fZ96ibezxZxuDT3VafoKs0ILufYd7b4cgZAj5jkPVxZx6L6XaC5vwrRuWrQT2949vHyLP78ZNTx0
hwG2+Pzn7A67xu9gO8XcYZJM4y5NXX/6nc6ddhnANW1/x2fJSiiZ9s0rr+bvxoajOmhjj/hABeNs
Zdp57HXBNDeHyhrq9x3uLdMO5z8r3OIG7ma7wi7Gj2kgrZY2W+Zed4Fb3LhGZD7oORShaDMZtPlu
HLxansyuD/1XNq+/yeqwbLfUnZHvcj4927zgZs10yML6IFEo/YMymWjApABu2U+go9wtCF/xKeHF
v7UmQ1xmmBj0W3joc/3KUP0cSHHepQpouFSACOFnN2JKvBCrKm8OUeDGGnM5xwwHR05TuyzQu0t2
04ASFZ4Hoh2qq8gM4z0SNpH19uWpYqit4sc9jIwSjCfnUDVbzsNKUInJqQMNrQe3nPNdnXbWvBd9
FuJHFeS9v/OgKn4p6yH3NhoOwZ9A02jhYcqy4jZFpV8cmfPFhyFH1/C1kKfG4OzeUBfRsT6i5Ov9
pK4Ql3lHC36uD2QjrrVHjiq70fQJCyhdj65JLdDxkqL4oJX+VO0cQKHmJhJOgTfQkD83ST0lr8S8
c4gvngfEHoM+MJm4TTnuLAqPel9iOMhwIbprNZuhLeGDBC1ODQApIxdTW98+dpmbfPGHbLxFZBU7
LdfVOb4XFGR9UjjJ8PUE53pbjkCZNnDipr2ksQ3MKM/1Q9eZQfjaff+0e7BRYnOv3rQLEeu8OmTS
5xXsB9nBHlwETJCeHfLkw2IcRiydvLdyxErxT2lFRfrUDMKP3xQWPMNPuDxJxHFoD9LWfWXy/XxX
5OFA4iDdsCit89IZXcFKs9w8ObR6WWLAPLZZxzlbM2s/uTcRD3Kvuq7VNHb3ibzwMStnr387Dx0y
CXsvL3FfOIy2jYrZyzd2apz8MPMoqLLTQszibaNNdxbHChrHvWfr4R5NhgZencWJjsqnFfXpgImR
1yN1WZqQiLH+BYKRPhW6OVA9WCBcXeXwT0KvqGiIVE/v+NzoXFTI8cubCo8Y+2qyOVpgrIVr3Hhh
B63Q/3Rdv+ZSdesrDeSXH+inHcE3LGoMwC3huqP4dbYjoMWfULzVA0Tx+Xq8vju9vNYkXol7PP2a
BIHiEOW8bedh43j98rVpfPy4jkGOAmMl3hqEGRKG855NaDajRTARx6nC8Ca4H9N2ZrCCQVN6r4Iz
VqltR8R++vEzlsW2119ixjTj+znNorh368GVn4ZTzQjjCmpO6IUNzBOji1XLuEuycvS3mj5GurjQ
ka4bu6Pu6J1WXZgpsftxLMZSfLW8SsveR6iJO59EzX4cbqiSuu/wf3SFzw3o9eRvjZyjWPgOB0iY
j9tFCdmauEKJ90CmAI/tLIIw2OeibDAodlPIk9k2tRuByTjcV8X1GfJSr6sDQjB1Fhz1TqR8fJqg
Svo74qW6NHDAhJ/8og5b1H+9QE0mg3MVvfwkwEH5SUAypj4FjE3VxEZhRxQLLWTa6G1HQquYLFTw
C3d8C2/GHUYgk3o/fUYvZZIfjRIGcHFluxSXCOJ9wc/7EQ+XEB/gXsPHbQu/wkRghUhu29sBozge
I0eaQB0uYy1tsYFPQ0Zu1/UgT7Jtlbqte9eA1lT/xvHOcC78PA/a+TK15exFB4/BHrN7DZuiwXrQ
AnSW9ONKiK1cG5+qeqPZTuWo95NwsrsegGsVzRvd6Mme79a7TWomknGY59GjBifGznHijcu5GwHQ
uXNBwoQTpRZvC9fI0Ggdoy7G6gyb0uCRmUYZ4sCoFFJjdJKgbzWwlyZH00ME1ibqrnAMsph4YI4C
hn60kCoJ9qtqBQL1c8eJH/G3jNY7IIlHSgYtKzx1K/E1iBZBlXXtlwPyyNsUNCFDEha1WsDrT+U0
9wyQhy7uCbtSB+WjGZmZ89Zv0eB9BN7TyDtELKOvLq2B9gMWpEP1lPTImd1Av8876KZN3YU6sCgM
7Doo+kHMu+xSTV10jAHHWIgdFN6TXTs1nqvIi/FYYz2pt9V0KZHcyArd+eCaFF4PVTL1w65DMbt7
RPVVcMvZcuexTf32yYN3OwHDFCkpx0NlwrcPjlLTjTbciG6mRbgzRs9nVchSV3HalhGFo43vR7V7
FwRYW1uX5oA3vUYWHsF1vdLtIpDZrVkGobVBS7Np0QamZVleTxIxlWQDlX9o34D5xp15nyS69HWc
N/t5vEHmQaImTuUPkQmsiRytP0YNaKySF0exF3Zxwc7yfpjAMTwi8YAgViJLItCmRUd3HDeeOZfW
57kEIyG3grVE0jsCLUvnraj6Ie+uOCzxjAevTvAz2umcvvq3eoZ2N7u1U4N2qABMMNZA4JgHpm6r
P7NrJg+VGtspjeqNbyQzUxBTT5d/NGzkAK194iLkq91lXoDz54wiN6OUFK5nX6BpKplsnpMq/XTA
Geo/aT8WDGerBan4uqwyS/bqQzaHZ9atOQeiT97N1mBoAfjKQpncYyLJfTpxMrFWCDHqpSd22Kiw
VgLF/CoauMK/G1rY1BfBbNv9Z9ynHIxMY3QAgguBlkn4tujpMqNad4JKZRVI+Wcddp7DPIoitS5G
pyJ2RjQSEIZNUun2qNLnvdrthsgHSNThymQ9oKDeJI+V2enp0agpGvsbqJDghLCiKyfxjgjYB2/x
5UIJkmoyjnNiE5PuljdhzRmo3q7vacaRlEC4OrPkY8+Gvzww+q8ePtVOYgzBLbaGNf2/zK66Pzxg
m93HJo0SDy8Ma6AxiNhvgciiX5fVXOyNoeqqvY2jq/Ynomy1dmtAuU6LA21Dv3mQbZCJCxed/hhJ
Sq0rkQjuZu06lV3Uxzs/E1Z+ARSmCu4ayq70sjDwwBu2yTRtQE+8SsLo0Y4ahUpGk4JC7bokLNCH
f/U0GL/C1JBnM6PxA4ooKINv5rhpynRnTo1aR4PscAqvgxpCHUq9ker5oAGitkq/943pWiKckT5Z
uLgzDceiq53LKG2dqT9g+5wHb+GctnyU1gu6EhdU6VVfA7nXlAHNHVk62TbEaDbvCCyzdCkle3V5
Y3V9ktwwYYv6shkbw9gYRkblBhn20vev0GzyWdDIV9P1xawVc3nE1Fppss1Z7EWatisCuwWWtm5s
JBdIRx7jymqjljJlY8RvshozjC/z3Kr9es2VbCNU4Xrdy9NMKNxggTunWlzTpKSKWPuqQ7RuvyIu
VaKwbhJm6EAC2jaGrdKlJfFCL0btVz1GiHzMk64K4nlHiz1ExclQe7HAkpUVVQyt2j8RPU14XZkM
hRoq21NLf931SstMwm5LfzdMzG+9OleDElnuPHdsAg0jwcH0tjqjPo8bZ2kSZcVw+mYMvxn2AA1u
vjJyJoPXWPi+xliKTCeJkfkAUBSphIz3tG1cwZJFlT1uo7eTHs5Z80FoYa25WzQdyvoQG2WKhXpj
twOrskbTm2hrL3kp/XElEgOwNijw5mQN+taVCPm5vJaybggQI0ZyfADig8oHdOnQ9NrqYatyilXk
JfVyNW/IaxSdO0GzS0Ps1ExPrbzlCvj3FTY+GBNFB32fJ5naQJ0oT1MdWuhYRZwM0e3nveS1A4vj
A55jWpU9Nk2nglUQIgciPqMpqka9nj0wJ6iKwx0pYcA48zSg1NPlpt8QG3upprlVGkpMqgVKz7wo
LdhKxt0KbdLxVOQpyKgzBhJ9KNe+qHToU8Ybs85gTD3NRW01xj0MjZShKJPewXMYyXD8RCUq21In
90PA2uhPI1XEnrp+nGEi/jnRXKWHu6YFRpIm8kuFEFf3YdIsi8WIW5xUheqMI+nWzqUKwxBZEnXT
la1yQkshJCQeIjYo07tExGz7SVcim3ghgYnzOtbcIzGbkr/HYkM9JA7zZMTvhqZ2+7eNXyOYcdUH
SA1jXZCpLwwbFFfKa6frShYRaAJtJLXCUq01XTrqBAy8NaaNaeF9YW7RAlPNywQtZm5t/QovJ9lF
SKtCJjm5c6DG8pdT3OYsEa2OS77GKBNEEnalJeqmvy2X+Yzspnp1EVrhal9aACFQXlxuy8ot8gAM
iU+XAw3BV6aUPmiXgOUrxNemRVPd3JHhA6ZVM0Q9pshAo8+7QXSpeQ3WuU0goOlJqud7zdK8CDYz
kMVHr9ea4vcgxpvv2Qu43rYzCt2Wx8Brq+J3DHjRvKZakqI/jhNJ3lT9hQHCiifOMwdSQ2OTee4E
rZ70o4j1usEGN09mMC5xfbKpS1pMbd/gcjRPH1EwtdBm7zD4ajC4b1KYfru+5s1YtzFW5lO7SQOn
RPB8Liet7/ZMaD/OPozRhMzuh3xu8trdYu6FywCuMeHoBdBXcNXc1yNNJpy5AYyg8ZlmTKg3fK9D
6SKWmVn8iVdiL9HPic05RGxdtqln3MjeL0X11geUo2eHALq9I+9tvND87lj1yGET7JLIeTAMClby
Ig1adX09Uhj+fa2V6ic7Myr7IoQ3nWv73DS7/L5q+0T3L0Z4QO185XuTLCz68ZikGfu5xQ8o3NZY
DNfGgd5gOLFHFqIUFyNS19xbXBcgE5JNMM4G3Z/cioGkf+PPD0xvFfEEMOm34ZI1ryG7SkxMhHfk
NlpGJF5FGnpEH3CG98Ukntq2cgCW52GLENpechzK32FHUunA6dMMsGjsAMj9iKALWNPN0GWeKzdd
gJH9dCtBkLug7gF151tU1JxK3/rYGEv/oz8bzBs3CZvWpLFuJMjbO51KV+FbqmObtWxyQvlRZ1tT
TBOPYC1/UuiRDcWmzSEfZztasepQxgGkJWQsZ1OnKdR32a0O6qEpHFavQMd0Ht+E4agsoBAmY0tn
opBMzqfjiQjEaV/I+Mw1XCK111sTZRELvwN10jXtSO3eLmGtS3YBnIlyPFD4DUVyt4YLQBgFO0KH
tTyBgsQvBPu4Lelixs0NutDolr/lnBj2xsZNsVlGM8BA9Q55IK9XoX1q0bedkFmDlAely4dq9ZV4
5RHZ48ExQ/k5nFw3kzuMyk45aZirYVnxEmiLcsyyIl8FPChCHnsGdE2eMKg6BRE2i0qBRUSOemR/
SDtbNOmF61bx5B8DUGUjpmh6UT9Y0qpN3nXHsBE1mDXogKcm+yoicnSq120cTOlIjJwcaDaMy3KM
wQ0rMmo4hm5b7JrW7+MtHSJJZENUnlm2neNg5lNWCYjrwlzCckLeygFpSZyRI6Nk02iWAuQUOO8S
z/Il5Mk4C8hn1s11pY+kiFhmyQbJCioqWKqdOH3VkvkkEihqiYOErlIFE3VSgqpc0vUozNVxsKRb
ow4UE/wS+vWWKjUYowJ9Hv0u6dgg/NZQiZaOJEBT7rNEC+LrAd3eyfw8acE4zEeHAR6HHTPED97p
di3LaFdALI6eYRrI8B1Sn3V6MSexhjh3L7Tewime+ZPbmI3V9rSFrl8ZzQUlutR/pkygv6/LsB4/
x4OlcFAISOriaGOmXSEeFYXTYxWm+bCd3dmaj1Elrfk9qdVca8cWtewxuUJyzKiTXZOWc/o41jCM
P5mIx6DL28cIgVFcBuTfbiIDvcZqA5WtK98meT27eOxkVuJfUPfWEjayeZrSvSxH+8kIs9G81ApZ
iy9CmgbdBJxvjmgBBnVxhb93717Ostf6dzkduRC90USty7bAWjw4Kj/P6Gs49yIKdojWFenOBrLi
cmbJ0krJ7hOxkNfMK7yAdmyTdpjcqqNZeNSNURYFNTJGjuQRCZMW6YZEN5DJiut2/rKeuNYsmzRA
ZT1LkWA5r2gWSm+EuS7mVBkFFQm8h1GmhuVH2QGg28ZV4TEpMe9RB/WI5y13y/zHMUx9G1JZalWN
00y5caB6xPRIAF+mT8uROw1nlWquee66JDynV2l1DUWLWasB1NY/UTbAc6SfEowYJ1u998Ns+dUw
YWzTwQnc4IUw9Dh/m/iJw0qU/ZqOqNQ6Ech/lLs2nRtxAxHHF/dYpsRdhXyhXuZXXj/DLdhN0ahC
xsr00DggcPnArkYWf1rmoTrMhDpHyapOjZoUtDPwEwcKwBsulSVJyJpJk86IvhKXMkLXXE1GsE9r
JDcB6pfjkL1nSWHWvAHq2OjIwjkgRS5D5NqHO15gNdxFaenPLqKS1qxTPnHrWd+DvhzbZysIuvaZ
XKITX2IfiZlH3Bh0pmHbTFJ8kQIaJS4bHtgeJEo8t7E7TKF0dZ7CXkfhnmZsqKbPFWRU7ndU3nbP
AghJAkO2hazFYR1ha16XHo0qfpdVrxvM8lPxyKOXXzZAp0A4ik2qVWo4inrUCaQNGQO5UZ04/NC3
fuPe4dOsdoLRMAte1RrDWHE+5QnI8BYZToJ5EB7QqRMGYmM4jZblbyDC1bwwd9mHOh2t+gzD61M6
3+iWOm2Ek6dk0QOsieZHRzNZFLuKJWHPu2+btCo6MexlquZAajiUQdzB7NzmOMEHTuCnMnXMGygh
avIlaMyQ5+UdGXW4MVs8gZNj7VYt+uwhnb2y3o6e1Xdih5FNyMQcV/AgReAsoOaB06y7K3HLCgKE
4oK0CnbTUgPI9YKKCfpLHKK1emT9hIUSDtsGBhY/cFn6Xv84VwmkaYCWlXvnJZXJsGGGGQ3vkX7u
+vfrnqoX1al4OgD0xOEH05zpS2hHtdHtLcBcatCiqWOsB/oiPDYptxqmMB41IrOms8rLDR9tqy1b
oNo1G8OcJLumZVMM3nqamTMYetIYrdy0uI51xX4MrFBr+UAHXf16hTbSjD2JQTVEyYlQudTyqMOS
OUjpqWW/HhajPmw5UuSdi8v0hmOlPzq7pO6xA2KBTi5SsOjr+qTJ0xQSTprWgZy1AQRDRewiMSHX
Q/KUluvIDaVRPzKRPhTqP4Vfck8U82oMNJlDcc6rawBw8AiR5qoEP0eXlMNKaakfMLqDr3qbeEmf
y3o7LRW1BNcz64ZxL6u7TFLve8bPLNLJvYxxvrNjc0BlFIUTfF0/njoK/4h48B9wCv4jbsL/K+IB
/bMXiQfF059PP9AO+MBKO3CNXy36PkC32KpQulC6IivtgF8BiKP9CzjOoy/i0R1aaQeG+Sv6IWDb
gcyB/EEQ7i/aATyGgDiotDwgCygmwz/hHSjc0HcNN3gyStUNPA/KAaYJq4jffweqmOjaK0kMsbOE
JratXSM9jAYe1iTSe6XzfoI/nF+L21XYDRsNd/3sWkaZx8aYtRSVnUC7zchS6X7Z7g6fyc9UO9qt
mWbxPh7Nw4TT+psssQAusEHt/GnsN7aDa1Mq6+PQzfG1mRY4reRze5girTvS9znkfSl2VdpwyDMR
cS78FCIS5detlVVkrKD5tllQzrdFJq2H7174m+UZvqdMqDbe2ZMBxUExCGkVy6cr/uMoekXkBmnI
5WfNyA6SSiFZJXgk02k4V2i2Da8yoEnd5c4rkJOzFp96f1wZLpqaYhSy1e+/e3/uOPcyCAuxI/eI
9pDJcTfUqUG8/HzmWR/zf6k7sy05kWzb/sr5AWpg9LyC9+7RSxGSXhhqQvQ9GBhffydSjnMkT1XG
qft070tmjcpMuTsYxra915pr/RgoJrbLGrH4Xx7r+9ePASYmoC76WD6YGOBlsPUGUDISI92v3Cgg
j6LbGBms25CTcPSVtl78UTXLC5x65ZKUpTlPrracXJUb+6YsB5pORW1+T8AZPMz+Qk+IFgx2wlTW
sc/QY8zOsyeyT1lHdhdePN7hZe2YZ7PNh+M42fP/xc72b3ek3xxWd/IVk3f3+l83n5v+v3Zj9e3z
gE/p/wP7lHAQTfz7bezmdU6/1r/uYj/+g7+2Mc/5l2uwfbEZGQjP0ID99zaGBYotzrbYqVbYDfO/
/97GTIxVAtPUqtTERsfx7X+2Metf8L1QVqMLFhh52OH+A/vU1QOou6gYMMeuDFF0V1j/fl+fjJNF
iqGlvQHchh6sRSMg7nKrzY2vgAQNhq0asnwa+Yat7aICptPzL9fqDzvANb4Tgxj6Yfbp1ZoJxfVa
z5NO5LAzkZaXum/ptRmyc/wnK+ZwdFS2nzSnWbEz3kddN/dakGVQ5U94oYe6DP8imTo98ty3GLfX
OiNeKqSkrOY1wGZ/+F6GbkJmngpxMaah6DceruM47FJvIskvy8GT0xSh8u1nk05JTuYVgxezVCkq
Vplm963K8wlxcKK5J5vkSfGGQEJcvYB0Hz3r6oTAwgVrjMXy+53LGSUZjYnwO2W+zH5S6/R4zUbz
7rVZL0HU5PSXz/ACOAdKAzdJMFtuhfU1T8Zuw2iJgFeI3fIcrxEau8KGeH4/VTK179+4w6v25JdN
HjIsildst4DREI/hTfj9m4qaY7Y2G+K8kMA0HyVlW3RsmR7PQdwipofvUVavdZ2MDzlwZgR4U9vb
h9aah/QNacf6Ub99FWJQVscb+z4L72/Wtwr3PURoMZ2NyJUD/euyL25WLBHs/5ww0Y8pM4AkfuNe
XUnnkKrhWALVo/PqxkV17XqumBQ6aKYGVK3ClhuI6K0f0A/SCSSGcdG+W+wu0wMN3NC8r5H16aHS
iCN8/OcbcfXK42twH7ArwTxFjOx7Vy9b2nRFQvhLeaZ5n+cqHNessDZo/SqZ9//8UVeLc/0oCNHQ
8NhcqLWuF2eJbFIS2dMiasgM7UTZ74xHq8zmJWibOq3fcAZdvWURVlvrM4D8gxu7bo2/r7A2om8c
W8Z8yjNNjZvm5yUUCS++0uXE9r6rODAeFRNF6/DPv/RvH23B3KNy4UfiIORvv380CGpo8IyDT44m
snnvOSUdrrwxnLs6XbiuGiyXbtvGo9a9saqur7GNihkEnLU6GiAOXktXGeLgHjCr5tRzLCRUdCh5
0n9uR4kzsZL++YcK+9qAh1AWlRn0YM7+KLPADf7+W/u0maNaayTtM03V21jr1XeaaiS5mjFV95bn
muBgvGsLgWeZs80KaZ1LeMw2cRStujNd6hfgw/5RNarYuC1ZD3SHvHPE+H07GdUUdlg+A7jN8lRY
pfnS+s50aHXNeZx8Jw1ngMRbcxxuCUZLnlYpRkOF6EfoQXctTZfcOuka/hztVRZFH/Y0Br77RPt+
acZe7mJqTOz3i33LcvhSIjne2zopnExdvLCxQe3QbRSHYvFKG7eW4Z07pIR7b/G9d8QAeXdp7Vd4
VmoLaBr+VJ3K+AIrgcAoTSdOnhS1nItiVBiT0vemIzoyd4mUUIQR7+rRzk4OoqZ9FZXvJ1LpH+Rk
zFtnqbuNpBO4H/zeOcR9nXxuxuG7O+CbCiYgO6E/5UsQEee6KZFp7H1/Jm6Y8y3tQhuVSpVAv6Nf
RhgcinqYH404DMzAgoli8zkSEy1tZ849aFdV97nLR2MlpLm7yo7qdzHqve2iRyQGEqCHBhSdUKDa
ji47+qsby87ve85mD7Y3MIR3BvHgYX99lLUuvyO6mEMvs30kTBhRg1zZU/VgrvwLl2+CIzVWeh/a
8FQIsETK+8kmMr4O8YO1F6NW9mluhoUgoGjY28rx96PTMDWpzFOdOHTZrZbuPnGTYZLwr1VjP7Rb
EvZM7Yz6aLnA6x7fRWBbPmayKiISnvzsLmdO+SRADN/h6JTPJUjMoE4k82camecWYHwwp57yQ5IJ
BZEJpSf2aJCSLe0ogne7le67oRGdfc0JfjJEX/TOBo1tnKG60VrIqk9trLG4bmdspOOpjtRX+v12
ODu9CIpM9fR+4/ksfcv9wNg2naEblNkhQRMaB0PqDodaJ0Mx1otvhG+JY+P10z6jPA8SkhduW1dL
AwJ+d7q7wj4IHR6Jt465qXb1XllLullBwIG0FndXGCl9LBQbO8h5eWAYvQw7AEk3Fj1z2uxCblFy
R8QC2skTg+ILkLwiVG79zaFvHpCKdBSNKp+Yu7wowaEv95Cn4qqFVCtm/aNIvb20SzMc4rG5qHjU
AVOMdxG5HnvMCvPWLHJma1CVt6mR4yPQIsWqw0rN9I0+Eu2UZZ00+XsIZigby6ZGoqv6J2eJytu0
TeN7hCjqksVmu+3w758J70E627sSndjCsaYNBljmXfgj13BruxBKAlcVjQyjJJlfTQZzdliPuc9E
fC5uBOo3olWSqSg+JHlUaB/TlTzEH+JNdhEo382Sm8ZnJviNnDHxveXOYeWrzO6xgghCqlLVDsOt
h7fbefGZ9UfP2KUMHaPdkmbpSTqExH/3ainR9xqqd55QMOvfSHhCDJBkY7fcS8uL572Rer2+QWzC
ofZnYVZpzgjwwqEHaB3nxOJbwaIytzNaCZ3sHuCtaQj9qkt363g2ocYkwgtlBFqDnZ/VRnKc+iLy
wlqV/AnS1Bg6ayoFfQgn20X00YzehWTRhdS0uUrzk624BFVYI+TsLhguLWBw7MSWtW1rb42CFB37
yvNINCrds4hGS1Ahn1o49Zdxv7XYR52wduvJutgNtJkb9IDtcm8xhh83hFwt0euieD5uyia3PhsQ
Ke0TcJLlfeWzxGLAlh3lsePEvJXQq0X2h7kVXBvi43VJshtu/sWoG3jIZuTQ+yfvEHd1XQZMD4qF
eAwxMFIryzbOT2OCUfR+qGbPeVc6Xl1shelP/hiyOqXNYMZrvIAbGyHVannTV68VwC/MASDU67OB
Szw56r5saISUmpdOKIl07lCydavU77pd6jrVjTNMhrkDImY+Iv7lfl9avVKWE2o44+DCiKJH24aI
oTR9lyC5WbJ3scszrVXmpHNzx6oFOA1Ntdqnei17nn1JWsK28hisMY3P84ZeRrL0Br1MIh+/ITH2
kjKoYYCCSZvloLStm/XS3RNLWqB6TmI321jSysc95OvJCwC0efXFRqcGQgYMvfXsE63QvZbQZcaN
5umN7DeUeRlvy4m/zHuOn5nXbmNyjLIL4a75+GmYpgrvRlvrsC15PUW19WqV+tpNNZfIHogz51TE
WEOYXfPAFEVfjmySVv/INNATYcUggH0saeL0fTMYaGxlrxauVCJaE8NFpyq2rGgskeu1wDKUFYCn
LCw3mDhUWVUAq5lRMapZvasQ1VWyZaIdWW0NRK9Xa0scNdyYvdNaP3lx40xstZSY9MLzW7nHm9Qe
466I+nBsV3i8ac+fbEZg74WS/qmpEhRIqaD7VQjnmbL8pYW5ceTnVbup4gwU+CYDd1ynZxS+U7Fr
R11FQVPWw70/zp9biUqmIJltH3mZd6MN5LdOlmKdGU1/dAhfetIRnsLsaXi3zDBBHcut+chZfwBB
ntGW811ijyXKhNR3Noi+bSQbrQg6woiR0PvuuG0XWe+wZvsnem7jtvFjEhkcsgRDr55zcJH6UDyS
+l1sPA3JR7AOe2ZEpVlxSjyvMEHntPWNC3Q0PyKV1I8G8u9DWubiYAqJ9aaEHkC05LMAfuIGYF37
kETNFhCiZZ/l3KmThWbybGBpDbgnxVlWrGp74FonTQ0trqoa+4sRN8XeJKs9KOZxQUswVseh8toH
5h9z4CGUJNou7bdVn71aZOM8trENXw9rDRMStGiCbNbHOuOP60XsvreLUXjEPXvNpdOrygxU0rh3
2dT5VAkmsWQjorfQ7wYhQ1sb5XsExh0DPSaNvPMwP6nQpKcPW3mYxHcQSt4lU5b5jPMCA3tRkVXe
N1qrB76epbsx7QkE42zVEZCbRPZzzgjE3rl+XHofrQ5l9C1IsozILDZfTp12n1EC9glBJbZXGUFT
eR3FkDEiGVkoD1D+F2PzlPKyPsVxanwx4zo65+ZkHA2ihWUofSIMzYbYmsCzDXXIh1hpm67G2R7Q
/RtPczzAWBm6+h6VIQUVv95DBMkUOWgcN39XIWWbGUxK4yXFffI+dbP5lHR9/TiA/z0m68F+Y5Gv
dtTbmVZD1/XpdkGNm4dpals73WkaZ4toekBtZOXRt2FU/rMtiLIPic0c9GBk9pIGNHj8KuhwM5B9
7CUk+IzZcOAPJma+lXoKSnVgnDjP7iB2YzfGpxL0e9CYJu8tmYHfgL/XpWNojc14UWnXfSJwLX8S
BbquwG/H5YXIYocXSlNkOxdqiXnrIczGPaiX7RTiSc8YW/PYn0hR6N8PHPgf2NCLhH+hyO66OSoO
wzg1m3mG1LDrmfWm2zhrGSRq8C5CJpeEifulmm9i04n7Q+Yn08T1ZVSFvCcHQBuprDgbNLm3Ilnm
zzgOXPKaUvEEgtAP0dxVYZLb8a7vZvC3UVzvoPOn73JQSQgXEV2knS1DGADmC5e2tTcKC+XGqFPh
bhhwOvAvErUnVas6t5yb9qYzwhc1XZMxaFck8tanPiRKUJ/eOymJyGzH0fQemvFwIpomh+qVlzdN
Vd5orRq+Tu0Q3ThF690hPRh2+qzsAx55JLfm5DLITOMTHNaMHlNuQSDJs+6y6BlLrDewkLNbaIfG
Kbs7u160zx4HlTkstGX5ysNqlBvddKqPRaqaz8zPpr01et+MigKTnzN641ZbTLJfAMVyuCKl8WCR
HQW/39PaDbPoV1DHzkmbeC66KhX7rC+WvZKC4Leu6m+Moei2AAi+jEM+ebsZGz/mfymeHE7BG1mW
yYEzebOtlP1KdikBhX15jt0x3hH94T/okaG/GzgDnIBCuqHR+dMtszkrXLzaCCK4qttUZu4Hu4/6
Wy1DM+9pQ7KvrRzGh9W4R1uXzb60ensrylTfFB4DP7IZL2tWEtUPQm3whj0OAJQ5Xu4UJ4i/PCNt
JT4iEdZ3DfKCI44SHbxDAbzQ6w8RmVlUY7LxzZ0JaZhaNLZ2XlpGzAjyr53pJkhiNX+7IgUpdAZ1
qJyo2Chn5DiKOGlbrgTz/SzM6auarPeN1eWnvAf7ZgPnX4VfjwBu3e+cseonyTnyFo0RZH5mpHm1
nTxteowsCuSN14/NHfiLyr1RJU8XTrPYOwPs1tMUWb1njwGgBdsMtFo592lla+9sjlfe3pNRmh2y
ys1kgCcg+kTtIwjq9hcEFU75qJu68UF1bb+v0wYtmhfnHMqEyJ+9uTARQRfdJq8i+1EHsUxvzC+O
aW18HCfZPE7JTB3VRvK+atrphFeLeKDOFefIUWg9qROeIt2TYVYzVCGenJLONr2X1um8sDcL7S7N
jGdoi8bBSRRNQL1IHCRMxc2ILx2c+OCeyVLgS8im/MpWhgAn0eaXemzgJFtQO4/LSqnCzIzKCjWe
ti08Od/OnasuPNtFYErLv8xt4iApzr9wNM4eco4hGKZa46GCDbaB1jce5spwdrEeU5SxThIaEG1+
LNE/Y60t0qfMb+QtM0i9OUh0TyEpOOUnUIHNh6Zt21sL61oomrI9FGmrfaZxyia+FCus23Dzg2dA
J6VlvSBbMiPxvZusASq7W2wby4q3BX2sbe93qQO3qTPRruZuzymPnXFr1Vh4hzSBOJHXL8nQ5fcM
+LpHxzHzEK4oR0VNgXYFb3njp9RmOuLwQ9PIbykxmrAr296pESCnyN7dvPm0uJkVYF/igEq4gmD9
ocrcUg1/RpvYlWGqUhFkuriHBFCf0Oslq4qrP5tW693M0rBu6fWZDz3plEiQS9c4yCQ6Y0+xcIQu
hRtyqklMhMXC3A+pNs1bDMrDEynt1d2I3uSzT9w8P2jRmVtZOZV9xHF1Qny9oVEXPVn6oN/WjjSI
5KImvFSWMey6tJEMA0XlnJpId/Gw+dMejdwRyLmA8avpwHV6uyTfXixkxLv68DrSK19Pk3JTzbLe
F7W1EEaTEd6X68bnhV4MLu6RfYx6nwvm9e6uo2TdcgFeC8t/aeIcI1Bp+Y/WIhpcGG4aqKgsDmIC
UCPavN9PbZcdY6trw5h0IxV0vVAXDfSqoI627RfdaIeH1QNCS8S2+QrumSOt/R42/vzZ6ftqRwe4
JDmQ5GdOUW7zsYwnde+1ypaBpiGBQhW9LMQ3OsYYqCEvPhVLMfUfoRwh11iEL3eiIr8LjW9tffXL
eH7lZSlDXP7xBZMuA+kaV2VgT8p6Gi3ciSgk9fpSwAZix8SjThK9F0+EnIMTPdMyiuJL5HiosnM6
R190JsjuwWSzIw0scewXptLTe/iZ3ZQIDi++VjFnFM7QXiCTRePwMjtCTi0aJksaZpuGg/CGpjQ3
c9rD0KI0nKcbJRLxkkkDimRjvXS8aW/0Li9f6ZVQcjQ4R6z7fBDtXEfoD1HyNCE2dC07yR9nmC6h
M3CLkZuzJGLjwtrTgRkAZC6zz6vBpUw6E8vBPzXwqFc3be4xP15UxP+j+iRCqsIgbml5wsB+ygK/
ke7fLiPSog0wBEu+i/3BIv+ddKmbZup059NYmUZ+s0yTiraRA0SWFAd9qMgS9Faby9J6/FeqLWgi
JkTc+RcfUbb9qAyTWDkcI2XGPeGLcUZIEeBY++bH8ZmNO5q/EmueD4hcIoIr33e4FM3dTzCth0Op
fE39flge3QVnl8WeAr4gxMunuj1z8C45e0u8ZGeyd6V7b2qDAQ/YTDAn0hswEv5mCQx1VPqx17IZ
zqXuxkdPpWN2WF3rtwWWtOV+yewoxWtWmrQ0o4XD46jM3gUxZ/Sud0JeZsx3hrmGK+SrNuGM9HIl
K5rIBkuDKKOa9kTT4pcMPbxy5f20aI2+q12SWO5lTi19bMdClWd8H7S+dX9CGkVWN7+FA2c8v6BK
qDwrFBjK6i1Ticjae2Iwhj2lKc2COJ91AR4X4FXIVIjYk8CyVXnSaS+MG8v1rfxm+uGS1dKO6DZf
UqEfG1Gh/V5GHYxGQI95UN8XWOhLjcpo8Zzvrm2iBw/nsWc9CZGsI7O6ZpWYWsdfkTsj5rX1wuBc
OjgLkz0nsvr0UqC/z86lIPgdySql7Qc248y4pxbKOipk0T4YdSE+5wnqpTYoOa11nOEhv27TmKMx
T07DQCZaaxndUSCBBrk2djt7jAKTwPHvbY985N1fIvRCeqvQDpX/ulhsZdmEItuipngq3YjTSBNB
f4IkPdvvehHFtIdn5TWBu0zZyegT19p1UcYmJbphMUEILnW9a6PGqHaUySrbWrNR2YEWO0t1n2UZ
vzPp65zG4mIASD8VaSw+RJk7qDno48lOqOOYkoUOS+PAK3DyLwulrrZdB1/WTbWgfwl48S/GQ2L1
WhJMaceANEIkRpvL83ewYMph1+oLv5pmh38W3Qj41foRJJMQDZDfwA1CeBsNVAS71HSmkuFYVkWb
qRckSExtQ23FxjcTDCMt+m2WK12Pmo+Z2wl99OKdbKjSyZGKR8oFR+M6FbV+3NbOxCX2ZCAlKcMW
53F7jBBioAvLNblctL5wZFCXzSB3aiw9Y0tg81TdTn1LpgRmXu3M4iL1b+ys+ohk3+0eLUDszWe/
F5jJlOsQXTcsWXPiqGmoM4OxERdw5znVocC1oD8mSOeqDRuhvWwIApDZLRpi26etIPrqZrYqf4Pj
o4l2C8U+NWzlO/6Fg1GbBp6ezyWWagzQJ3swUpq7pOi9/LTX/FT50qYZ/DCfl7r/amU5aAdhSdJZ
UDjexyW36IBqu+u/+QTw5RSlNbd7jLsS249pGy9uUfK8oY3kMGUscfPN5FZ/pkeUm4fBn2u1I6Db
Qxee1pG5UWwM0XZ9wtiiPQ71B4R+LI0hK9SXnw/n0AnWqKd3fnvQsVknOZJRAHSHSoo1QsQxaAyi
jl96soRLe9oVFIrObujoJDIUgry+zbM+O2NyqjARm+ZQbRJEqurkKKOL70w9qttzBkAY9+Ocrcbe
PqkzzpVDKjwpNtW00H8EIZpuMxauu3MHPx9DPBLZWSq/jY8uStfvbq9PyXeztsVC59mIyCEWlkVn
p9UM8JsMRcryg9WNPPMpUSmQB4gbpnEa1wWjuXAx+XH3hiHZOBrXKvK9sZTxfjIwR2/6Qg7eEoA2
bYu9Pbi1OnFiZzy8ginwK2T0dvITrwEnv7GllyGttHWW6Y7xL511zW4cQmIyXz23qlIXQ+UMxRlE
dOyfP7Wjc15Rd2cdyOQw912nPNlLpsOJsdIVfDE0tRE9p25it3tfsz1N0Cin0mafLqPprrDoid35
c5rURHVjh9wZw5Ca+7mQzLMSewZjERZ9rvEbmlLLywC6aFGc+tLT3M2ke9lhwRRjH0RSDNmR44b/
HqiblQQ8wfiuY08feF4hDiQbxGbtF12mHLuh3At7J2iJfehaL5o2Vp4VRvjzHfFzVDqXqIu3dZqJ
Jzt16viGi2TXD7WlIloWDFOH54aoN+f2547pthAT3ssOoTZUMz21Q4zahrlg2zdlstf6kRtHljGD
XyvBfMYOrAPjJrdwyY4Gt/LYyMTKQjWaQ/8NY3u0RjUCVQnB/3TOXlGHvYeV4FkbvSr6j41wdehJ
ylsA27l1MxlDmMyjQ6XMTdap2WJ8BIfKHVgWQkXUxBrcxeYerybNk0INs7bXq3T27zQ6n9jc6nj0
PhUoDIsba86dr7QZWnXptcGyNhmvRfmOishGkU/lu9xHBraId248tjy+cy2PVqY58lJUsb48InTm
HzI1dkbaIKyk9BhpXWJ9zSpHrW4/LEbD2cQw1r7yPilyXig6Av0ioH+9aLeAwUSzn7B76gfIkGtD
mNQistE2HKGjeQoTiXP+a1R2MZZhSJ/1xevssk7WbUosG01fGeubejY07GfCZ6AwnQH4qwYbtFdP
+N1Ks5RbB1Oy8akridfcRGDIeKgYDviMCFIfHUogaJtTD3duUsmnvitk88BhQmE8F4PtXdxinKww
y4yyPDRRmX3MO9hHLFHM0WsPe2bKcajK1hO39J/KdstJbzBPMUNTmu3gApbnv2okWx9NEqxUjBGz
T/OKVxeqDHfgKS7L5TbWc/lNpIodQHPEKnX2KCqbT51tDBa9AMANNyvYYn7yCDyJN2k8ss4qr+Km
6Rl+uyOti6Y5aJoWd2Fhz/n4tOjUNAe94NRzkIurPTNo6g/TpKsmtIADZZdIriGFYexINSPd0eJX
12X2+Zkzq1Z9iEEyfkG+nbVfdewGnAOnOXFcArjaZKYGYGZJ4kwwlEb8BZTElHyY/LmNPtsqYm1E
tDf97wxY5vZAQFQkj53K0o25BmTSw04YRZxNUj3ymz6mkN9G0un1J0U/qwni9cIeYO5qw4W49La6
RYTq48zAd5S/2Mz52ehznH51IJIEVDAR55ZhMT6k6PqWJKkjCSGJagTxlWoZKRZZz4mqF0nMdS3v
TZgJPL7u4su94itPaTCaebY84LTgtVqng9N/KauxUwir4ilFs8MUajzDUmvqQ4fGTqxDlnS5LN1g
GLdwSIhfJSdeKgDKE8ezKFi0elAfMJa3Kd2Ryp5uynaorEdJwrh1wKrL3txyQs9vMn9ylpOURYUe
qIHz4M6hlqs+PaZ9VPv3WeRa7q23gBdk1ELF4tAUacT61EMqVmfODOO4hXuthhfX1lJ/Sxu4JP7k
L38DYsyOXmERl1G7GQdaLx2d09qJi22JpkJr7kxNDsK/0dC0J6vhiEJ33C58bFq9IVO9UgGux3cb
15SLMhp7K4qW34UdNjV158hu3su6dMynwQLb91JlFj6GObEZ2vmCifv9UnCHPviFT/H8Q1zyHwnk
/3cy0v+VRv7PWvv/B8n8q3L93ytLdwwZf9WVrv/2X7JS4Xr/MkzECJ6LLuinLl641r84FZuuR9aE
BwoYGdRfsngNXbyF7suDDIViFPHg/whKNUNA8Ued5tmglRH2oPv5DxSl66f8qrED6I400rSQhaIu
QJu0LrZflNWtB4nWNnrrWZmtOsXa1H/gDat9qfrOviP9YrnLHWrPyPXGW43svWM+JzMFvlHcq2FK
0jfW9rXAdP0+CJaYw7LKHZAoV6olLQPtrU+a+2yRNHoEv4rfhWfwjITCDySUC/oudbVbMsPDtlhg
r6cYDKMhL99AkV7p79YvggiYbgRvYRI1f1Cnfrkw0QJWsPJH8RxVXbElo63f5GDODr8skT8Iaq8l
53wMyBgDlQ23chXfXaHAFHl90WDI6FmLCOKCzplvvFJfsJS6TpBHg7efneGMhWIJjX6ZXueGGo1W
hHskRg4DTN6RoinacT+Xa2ZTtdA9mKKI6t039hRwxSYq5cz+ps27vGmtncDi9b6k58Nhr8z8LaFi
zJtNI35DgWZcKd5+/DL0m4ZucBgEQn4lprcVpGqJHO9Zw+jYjNrGTrtbhmcXfN0UC9VBMFt2lL1p
6ho/egqHQ2JnVEHK2y6Jxy2AtB09qoDhx6nE+ZBl7oEa6gk0MQFg0R5RR+hobyTA/P22C3T/aCFX
KjjpAlff2mC0ZE7D4D0nhtMeNA+1Clix/o2L88dPMXi+HRYYTen12v2yuEqUeY6XVt6zskc7dDNj
oUfjzrt/XlzXquP1FiATX2WdQhhrnM7vH4NSp07AqycvsgAgPIrCifcdgEFE0XHRP3Q0AnRe+1n6
rLCRQSAzpu4m4SxIlzi3qnYL8nBatm2BIpLWllPWzEqApr3xPf9wNbDKrMhD3mhM1a+eAdraRW9S
bz9nTaNtfY1mG3od+42t5U+PGusQ8fqaHIGIf/0av1x0htM6ETRa9Iy4TRwkoxTakHoTEkQKwEkQ
Ttv0Wb/NsqbfL6hXOJu0xpPf5tVH22CEoRFDFE5dguinBqSQ9P5hmqvlPhucHOMNCmU1OubFb/o1
d0cum6xxxNqkqDZ1PugPJc0SztAwid64zX+8fhDHsSuwm/xNW1qVqWGMHBSfwTJPpw6hWuh06gtv
oByJa1Xhbi3kbpyptplldjcVOr2g5lz8iPAPBqIeayG8tLf28vXV8Yt8m+gonn463wYsdPZQHFy/
XW97hmjApDp+iTGRn+dUJEw5dfPsRS2Ars4khY5w3xsYAm8xfK+E4z8/2SF+ANkcLTzr6pNRuYJx
S7KYnM/yUgl/teVkr0D0teOQOf0b9Mv1lXT9O6EnC0TNBu/ya2i1PdW5aUqeMr/IkSTU7rIZJ5PE
vbrsabo2c2BAR3njxXGlUl9/IlBkMnuwz1E7XBsxkLXylWrfQzLq2LdJ2rhhZVpVaICr/OAmvrtV
VvVijgtOfjnJN57Yv+3tfDr7CcriNb6At+TvtzYTS94PacP+FcuVwF58Ile0CguFi+KfF/dqq7m+
ukjEITLYePcEIurfP6q1UDgXcPaeNTQZC1SQ3tnHlZi+yHZMDq05XdyJphlDny8ezv6HaBSHBZXA
xo/d7xIBwwYXS31vpsancSbBVWutj9RV7m7R1pmNkcuNKiptR27j99zy01uCtWl7VrlNU8o2NjU8
D2Rk5suiKx3pTzYEShnWVoyae07h1WwV59jzIsB5GouztVx0BIXfHWsCoYOpTsvPqqZ7OOj2cKy7
Kd7NqF42fpf1IaF75sYVSn9jq/vDNaM3jj/IpIg06Cj+fs16155N2czuM8Zaf2fIot2WJec91ZbL
aUGSFzDpfyvx5Q8rEvyD5/Gg884hjuH3D83I627MxvGfTbN2LrN0TMIFKu1QspceayZiYQwkYyM8
272L2uktnO8fliQJEB4lFEcjcKRX77oB87g5FDnrJCG2fiyN4R654oMo6/qNyvCa8rw+ex6CHpyQ
OGV4kVzVzF2aZw66Xv+ZrnV17406I+rU1De909eBkdAjzd1uCieUhmEua6KIhkm9hZpeC5GrXcfD
WQbflr4x9pirQmUu+wnOVK1BrS2tDWP4+sKBtt3T9pyDyDW7EzGqJr3IVB3iefB3Y1Inh15vkzeC
tP6w2XLTsefwAhcubpXf7zs+bbTVdeM+zwho9xalaYAEtr6F/Pw4LPpbVqo/rO01oA9qM6sM3+5V
sZCh0JCI0bznLl3NB2YV7TJEqhfNVM4eSbdxi/ng2xub0N+vNT/OpyKEs8is/2ptTcXUMRWavGdU
qKhR0upzh0R/888fcu1hY1lh6fN5ieD5WU2GV0/t4DImyIcpfVldG0G9wH0fclMdp8lxHqO174SO
dj7F0JYQiMNBSIShnZrUH25JRba2Upuat5b631cZr1CbNyS2mTUw7WqVFej+BoN0nGd9rKqtg2bz
kslpQRC7ar5spe8TaGXwqZC/kJwxMdwR0x5Xltq+cXX+8E2IVOHhZiBD7XZdMte1QOlc1+mLW5kJ
W3YyHHwgGHccWwmXsg1k7bNb7fEM+Qc7KXMGTyCJCDMe9v/8Tf5e1mAmBxlu+z7f5W/GrGxGjDNH
bfpCuG4Ldpco0HdopTkK90UCUn0t+AZ4B3HyAm63/j/Mncd241i2pl8lV82RC94MagJDUpR3pEIT
LEUqAt57PP39oMzuCpIqsaNHdxwGxMEx+/z7N8qZA1E+3WdVLqTo6UHBl8vy0TRRkbAEvdX3exz+
Z6coZcUbCijcpgp7iup02AyC3++rCM9EvBlpkPhW9WhKubmPfXW86sa+edWAAlGOysFjN4m9bUIL
2zZwEzE3bLK7qDEbF5dqwe5037BBNutNlcozdAsNSpnVQWchhcDFXK13cU/Sz5xfp1sKMZPsKNTq
4rIkjl5RKtJwwmo126N8wHe4TuX1QvN3SVpBzjTK45kxPSmgwdJITOMaLhtcwk+uqnU6N6UR8kmx
I7JrOqRrKPvnxGen1zHs5oEULNb3crM0jhYTpOo8nS2l2E/6ZKKm1LZyZsnUCIs6I54Ut5pHQEg5
F25ptAXrKmreh0gW/4qTNMKQJEtXudlEO6Rt/ply8vT05IZuIP20mFeo1I6qrCJLYU7LebKXowCr
ogDb0KIulHssZ8ozg326fpAQUydTJ/A0tPaH50WtdOUoF3K+n6c8vxvqAjLihADKzMphHZKseE8g
d7eKrPmcNcMpuMTtj5WLoQTxkxybR285kHPbzHKT7iMMLB4DeI+2YhAEThzxJNvjUHyPaQE5VI7F
ewuv0DVMoXYQhki/PcGXyxqZjhiXY5MgLhPyl6toRZMenYCW7wVJQIpDzotNnL1r5BaOQWKZnxny
UyyGDRBdJ5WZumCN4tGhqclZGudylu8j/OL2Lb3HdYOE4JKkDGy4TaO/r+BPURXWxLrLMdjKmFW2
GFfylTGm80b0NW42IbfjPMyELdJCKpt4UPA3iILrxpQ7J8I5Yq1lJtTszIfTPXXjpaKX9T2sw3M5
Cac1ALs4Q6eRlgAL5vgmTx9QJMypCfc06dOnJjbqlYhPGf2E2lr3cGzdWYvNcxXXMkiHFReoAemo
RCoCwPLZDj9ahl0tiuQ03nNYJnd+KhkIynocyLVXU/8ORb72Mrqil/Gc9TeQOaszk+Z0l9KWmAVW
zd/Y79HsxfJKHCySufecjy3E8rKxhxB11dfH2+lOwFMWCwzQGHKYju/OEwSkWa+MZK8SOAUuN/aX
SVwaaxwzflMTS8HDo6hcRUJ++Jri8U5AI2zEXTHdpwVKosagtaLEynOs6ca56kE5+XY6d3MEvxL7
L1X78ue/LDgLu1WYOUm2H4LAWElgAyuhq5qNMaCfMzHuWHdN9wLDz1zhu9TedQl0QakbQq/W1ciz
cms4c4U+/Zo6FhPsAiaqYECvo0tElIxCrcYZv4iI9XUGhufMlnDuon66UnQwL6gdOmnAHKpHQ2xg
gjyViEr3vVlGVzAddac0x3yFcDXbWGqnucKongveOJlCixmDYVg62DnWPYsX0K+DXTOp0jk0pz2J
pz86rQ5XPZmK3hg07cPXk/X0KsajFDxblpufhq76aBQJajFb/IvnfZelkTfqVo8kSwb+DvDvC+ZA
soW5xVdaGburvJsDkBk1u/j6R5x8SfPjIGNR6iAVJ79BXupS01fl/WDIMYQzWO9JHutn1uXJl6Qh
IS/vaYmgurRHDgcVGKjKRUEp9z32EBdCI2lX6A4GV5H0eRVgSrMh4PNcGtVhIUaFSaOJccXZZMGP
T8Kokg+7GtNqngNNv8LL8r4ZYsy+Q2kX5dnPr4fxIyf1P/vr3w8zEaqbxIaCaEnLj/lljU7qROpn
GXT425I0ju+gVtqCXidrHD8MJAHWtEYvoLuVyf5g4cx9G2RN7iWGoF1wyPSXs94Erhj7uk309uRI
Yd+sE1x4HMKPEg9qUP8gGanlcHeK1zAUCD7VGs2pmmY8c1Z8JLgcvItJhA+fiiQxvhsb3OG7YCKf
CbM/d7upFLItlBzBC5gj135aZbZZodiwJrxJFKHChjwAJcH5pdn0ES0Rld78rjXkyBNVFSWGGfee
iUUAxXee7EQjzdddNdQ3TGlzm6J099pmSB4FClgP50HDnXHpt2MjEi7pYfwkEWVcY1Sp7OXYqByw
8fgv04JEY7djVQB0GclWVVv/0gzqAMqwJnlRKparsRoMV5fAFb/+zIerha/MyJCTu0ytpQpWjzYH
rNzI6zSNbjc0Mco3vYX3PvCor59yVGsvj6HKY9Jyn4anpShHhzWBVhkkYV/cTb0p8/4T1nVjrhI2
UvQv85T0NnwbbVXVgrbxIzPlCgRjRRhxXZW5f+BsW2erutNbd1LIJv/6152OgQpMTB3BxEVhepyX
Y0LzmTJ94MdZeWKr0ig5NLysc4feyeplDGg5G1gbc+zRZzqchHkcNvhZaeIOonLnoqEnQq7vartL
1fSWw5l3lfzQ9ODslQ7jUr2KxBDBupg66C9igRqv0x2/NKUUBWNyQ5thODMSh5fZ5TMBny0Qgybh
WEAxfPgT1RCCVwTdbZfEmuZyMyNoJ4L6zr9AVNjl48avtHDdCcG72bBMvv4OhwfV30+nmKIxRuN7
6T0dPh0DjFCAwyHvUnOMt50xtoS0glGSPtme+Rin32Lp1oPUsaGKEteew0f5Ldm5ZZorOy4T2Urt
MFanjCUPt5SD64yy/MzAHjX2P96NKzRFHKHxhEzpRw+EuDWOnPQKEL2vfpsyVbkQa6W8tVB02Roo
ghtPGbacOCtdCAKyKbnOoLR2SXIHg3u0vx7pz14fTMHAuIqikoPy8PXhOAkRg6PsogG+IQC4hoBa
1WwlgZqVd8h8v37eJ1+WGQ/8vbBkuCwsK/CXs0TOW0hvlaHs2OD9S+pC5lAxSjeqIWbnRvrwQvv3
SC+dVpENB8ci5WiZQWQ2s75jDndNYdzOAMMuXhL3+hDo3owC6iYUS3EvGrGBxW8qbSqrJj3CVCeA
mvpJLvgK8XcFmxazh0pKSG04SucOpE9/I2tMkmAJY+pxtM70NAvL2Vel3YBC6EFV8vF6aFDmTyXS
PlSK+Qoxq+EW/Rzfff0llpE+PAkhK5HGiy+ahQPWsbmQwI0pgDItsdfJ8mpI5GFVm3N98dtPAcAQ
KQbhjQEsLPPhl++tGbOazJGg7hA3IY8yAVCb8Gwy7CfvwvRdyBr0kTGJO1pTxhiiXA1SbdfIHJMo
v55qlQzDr1/lk6mrUq9je4V55IKrH76KJJAzZQ6TtpPwIr4IRCHYqB2xaXqci/dfP+rT91Eh2egS
GxPk/8NHYVMIJjbzqDYPfa/MaVXmStadOfE/mXtgtnwXZh/NyuNOBVevUO/qUd1FFDrrOTCMNVmF
2v2A8fHlRODhVSHSqVZqSzwzlB9WfsezTydImqocQBFmx9G8jwsCynpFV3dSh+ebJ/oCCqE4a4O3
NGXW2wiCBcURpDK+jFB7PJPLZT6AXOEQlUXmX5TE1XWZ6tYe2mOdO2Ru+W9C3gj3AWZut22ZYs8u
5MaqVUV66nFlkGlAgP38PZvCWHOwQ03e5nbCCEmfoszE+1MHF6BbW15ZsxyslKqPOQQGBAp2XJr1
G+5ZQJBCpJmXeW9qnmmg/WYP4jo6dX4Zuu1MbKKN6l77y4984zsmCygSm5msUXJg2km5grtJqE0O
lOmmGrZhnmQ0enVZp0DoTmTW4htka+NdUNtS88Z5HDZRnMGWTaSiSt0gTJrHSW2jRwW9uEoPr/Dv
fKW5DhF6pU6rTLl4Ubeq8RcpyDRgorIZCDUvh4ioTqSfyM3QprmLT+ilRS6KhYVChPmGnkvtVYKs
BRE7YHntjOhkv00D09LuatlchciVIf9MCrUyGrlm9pp0VBpcDpX0pqISW5fIMnE9bNSZOAZDq/dt
YoJBVXTAw9VQDRynmEDnb3MGOwhJhBBc5IPM+PnKpLz3YwvYRVnH5tvkMNJp4UWrFKvi2umyAV8V
pP+xApBVQDzW5lCMNrLY+Y89w49fSJL3u4CQy59WlwqbCJbs7XJFwSCcE/0C9UP9rmC4EdgK1jkJ
8tVeFnHS8LvnJUUgd7mXtM9lNQ/JupXa7sUcTW0Ty6Mm2ZpSG+9JmM5XythUdJlL8jZQmcZ9bOMa
iquUGU0hiQwwcTAF0CrS8lR/vlD7uaQdTbzaXZ21a2MaVXmDRwJqa7VD5mVnWEe8INxfYoSyQNqm
gVKM9lhoLaSEGC8gO5X96pvMfOSOLLUWilFJqxxDqLFRyGDC/ByIF65Rlqdya4virOzNsk4e/HCe
LbLcIvWqDUQxcTFhMrC/10c08TiLOSLB8i9ShvWjPZpEEAdtHncO8HWjXRTzXPz8eic7vB1/nMGc
9IvZGQrHpXFwuJMJMx79wJjQ6DhbnpHBQG+zqlHwSdNsINLB6/I6HPtWXz/24056dLrRaQfLp0NG
/+74Vp4aTTliVuHvdHPQrjHOqfaEdGAj1mv1z6rWfFggXewFNPLcciD6sE9VfxNksnpvahHRBWYJ
CaHi7seSNLcJ7OEzJ+PxyNBLZBc36FziPcePPDpOOnxBlSJP2l2i9dFNEjSpZ8Jzd9S5QQieqNID
5cg5wPmzh2ocyMAH4Iige4efQ6QuM8Uu66l2jdiJsStyikCePUx8Jqy5+vz96+9wXF4uLwkqSI9y
+QjaMdWoJxhuQi/e7/y5WtcmN/sxnjAoKQiggAp05kCTD5Fgc+m5Lxe3pRcJ7AmwePh6lYpAAyuj
fjfM/bBSsT1wU9istyERUJuYk8FpUIh5ihXVLskc/gYty0iukiITDRiTf0nr2jEI/vD44ZWX02p0
SNGJvTCKm2vLNyZ37qbpzGn4yUeBtLBULx9NtWPagpo2jRVq0bBL5ElfoWs276RQJttHyKWNTBSk
RzTHOW7fJ1+G4F30ukvX1oIDfThUIC9D2lb5sLMqcgInUxA2PQw/G9bp4MZtn50p/D953sIhpOLk
8ou652i69wnqdTz3x10Q6A9YF1T0QAPNwfd/G6hTfeZpy6//dfkzEUzMywGglls8lISjt2vncACh
GndNjS9QGKKN0K363A3jk3fifQCTqN4B/47jgnsFWnYyVuOOnJLB6RdhbTvoDxwH7SVX9HOL99PH
GXwrCwERtLaj2U25hgY5ksfdHOM3AM8EiwBI0BeoHN4Bnoozq+mTMQQkg09DlQbwd8z+LMaeDEGy
L3aDqYYrKMoFuuRAev7tHYLTwbDYqGGR8W6HXyrXienMM23aia32hrPRnSX3P0gy/GGMfe59/ayP
/tPRtIDaq7Ad0VXG+vnoNhKEpjEiTJ93mYEYSU5QO/UYg3t93KjrySjDzUDFZQtmH130fURaL4kz
LvqpwGnwg3dKERFvTo3w9e86vlkAuFnsVkCJBmU4zODDMbAQpdT5JHU7Iej7VWnGuHYgAtuIBUf+
1486gR+WZ6E0X7hSokjn8Wgd0pLTosg3u11HCY4RyiQ8VaEfXw2lXnpKQ24HOl8YoFYfOAQ8T9tR
bco1iTPpRUslvv7/+TnsCyD1tIHogR6+eooaW0Tv2IMHCNXFLHP0QtAYbrJQHYmBBntq+kKBeg9T
TyZOy826GaGPlDebqMuHM5SpE6j7Y3Q0nPSZ8UvxcDQ6ZKplgdEKwMPwqy/FHoWFNlLKWtAQXF2e
IzKUsnwtTilOeVnU35Claq2x9qGWnQaR0I/aM+Y2W1t0cBFkJvJtM6emp5WacNM1ebqdUznDcxI8
DeLfiDkEut42LYYzBKHlhx7OdGyKwRUwisYwAbHE4bii0cZVBxLoTk7n2CnIgLxJ0H6yFbbko4Zk
l6TqUF+qsbr7+osqn01mZBnLPsXZAh54+GSxV2pO6KLHEZLsBO518xOkVMrj0RAflT623KZWtdWg
VdO6kcdkPWXWtyj25ftuLst9ocWGJ1ASIk4TozVYsGBbxNF4NUovx1SQiqudxczV1MYlqE9d6VXv
O4WOiclshcWzmXYm1gEKfS0dez4prLtLCcahjd/Q7JW6isC5ntI7QZabddVM05m67nTbVCFkEVQA
oAPF/5hMkoQtdNkhmnaaOcWrWSkGLp6Rdub7no4yJvjcj+l8w8XhCn04ylNdiEMW6fMu0ApsNOve
sCEf5RdVOwhntoxPXkgGI8V/n1qVEv5od8LXnRtzK4q7Dh7nupn7apUSGud+PW8+eyGNangha7M9
a8vh9wtQFNCU5SaeSDsIL/iuoHpazB7uzIysnq+fdHqMwo+GfYtXPnUItenhkxIFb1bRrEDfexSk
iVQ5upTdlxjp6oB/ZwbvdB3S2pYghC22/OwrR4NngexKtd8oOyTqBlYRE4roSa+vRQl8z29jkTAy
sdin4nwOY/nkNaHjwaGGHklj/XhAZ6HuuMOHys4aAuOpCQhVC0XxHQklOeeGMZzZyT/5fhQlEI3p
tALcm0fFSaPm+NUEk7ITM1FyxToy1ti3Zo6MZevz1x+QGcEnOtzdkMRSBgEe4YxOG/3wE0r6GCC4
9Y1daAaXDV4HphfVbXDVFoBV6EFU42mMWxK91EQwH4sW1og7SH1iOvOg47Ms+3DK8XmpnK4lMNDm
DoQvkJKZKb4AY5GH3OvF+BtwbfBcGwg0No0q1ZKrqNxfseYuyXfpsiy2qxp/MxtL1VBxgqgYdFCK
fMAZRKCs4BBVlck2607dGkNiPEB/5OySS/Kv6DTusAqApjgFBWgvpSqUdOznGqN4MPwMW0M5wvEy
Lqv+oRzSQneCgYG3ZXCpxtXnUH7RC0kZL4xxkl5CtXoYEEYTbCLjIQFhSEi/xdgCdAQLzsAyAUdp
utiCwqEvI35bQA7EhWyJCp67aRu5RmlwHe7E9l6LoeKDuUy9vFE5wp46CvV32tHC3TBmM96aRuk/
E9VHclcii4QuVhC2tmJVUE6FYe9TCouZYWPjAScfhxLfckIwLYkjJ8XOoCqski5DpHVAKQmQK7Y8
w3g/VSLAnDZH5YLhBMlll7ZYbRFI9k3qJuE7uwMAHDKwkv001TdSglenI5f60NhakYRYPuGD8Qo/
CCxmwT3xNJ5m4VsOBfSprtQEUZseydimcnLCCKrn5hn4FndECerUoyiOwWUrBOm6noL2sRHN+VUy
hKFeN2FOoFuYqjWgmzrM+tqE6hk72OK0o6c3yDKf8zmq/FttsGYiL4MxXDz2iDf8et5/spegnYFP
QZ+WQuW4nyGBPZcoaOZdHmEEZujlJk8Sc4VrmLDC/1RfLDUk1yC98evnnh4AGuj9wqpFxSRykz9c
bSTUFekYCtauGuGbTmKiUyOe1Uac7leL3BXgdemIQm07WtOlOvtCX7TCjvKs3aqW3qzlgdxvU8NX
PNNwSfv6rU43LJ5H/YvMc7nAqUcHzlD4hDabvbArTXjLfoHHeN8oNw0iw9XXT/qk5uZRtLsQPBHo
wJl9OICSjzgUXz1hF2ENdRmSwudJIJouFgm0dipFcDFGDx7iNmpvW7XNfwZlkLmWNmAhrJfCOVna
IWN7QUmWn2NYLG54MciFDn8Onb6OMkEWdvWsT24bVtFdU/vTFk2AYWM9XK1Y+pgYqYG2rfUSkJPZ
7bRzdA4T+GxiQfzkFOaWSd/mqIghxDuJAjkI9oMgJG6nzgCVPlZOXw//Jx+aM5hLDwwglBDHMjBQ
amJbjFbfyWGIvgfrLQ93ZHmtl+24+fpRn7yQTgqWiAIM5cWJ4M/XCPkr/M7aYXGr4otC8GgZQjr/
+ilH5KqPD6gvMIoOY47u5qJd/7VWyogyMPsERY8qh4SU4tB7OWZZs2ILJpzbonGh56HszcEg2TiM
aS4OkcLdmR/xySxaGCPqQganYtOXM/qXgo108CRRgjrc+yFeq+vGyP0rbjlTtsoitQggLyzHJMb5
Al2RrnyeEdKWW1aB+SxbAhKRr3/PsgkdlgSL0AXZCQJ9wmGOy+4qqcTADwtEjUY9k36OMXG1kudS
K9xQ8CPFK9OuFbdNFeCB9ruPpknHWW4CJXLzOZbGB7I5jjn75k7AMcaN6Fk5UNUtfCezb0mj/BgL
VfC+fuSCihy+LUYDeGkgM4SwjJD4aPAFnKPmRZ2OHZLyI4UKvCgbmmoXqqkAg8GveoUWgtWSE6ER
K+AUOSyxMzvo6WxHvgx3EeYrBEYIk4c/Qi86K4pa/JFiUQ1dXFearSqgPvj6VT8BbQ4fc4QQzTrE
kzjjMZVV0qkiR9Q22Dou8SyS7gwhS2/JQ6+fsxQerNy3s8uNxbDTJApvylpH+NdN1e1UxeaZK9iR
LmhZhuykHI00nUnMQfR1+P5d40tzF4nCTiDldcVfw3oIT2NoeCGuLPpMmiqSJDeKstrJgy4F0J3H
V0GuRrTIMTZZwRCcuXx+NljA3ss+B8tTpCd++JvqyvLnoB8XiYsyrBMkKR7Z0Xj5phP5ilNPyyWX
+nVrDj9gEFu3pTroi30Ue/6oKo5qNqThEvTw2xsj97ePLhBnrsXmdfizCj+QdTpMtIF6ZbCBSzO3
RIp3ZlV84PtHy4Kb41KscDGAZHJ0oODo2+tjVKIjELLF934WfpLuUU4ehqgpCQKhFDshrWQ36HCu
tmM/79YKjsmYZ4ZKTBCt2lh3Fu3eewG2iOE2JfY4BBKJkdf6o3EGbfrs52I0wMCgbwGt1o72cSn0
SUwgLmSvTIl5M+NH6AhTEtywuy9BDhBkFENoHrDejAiioGAICcHZkneX2ImO2VhRieVa1NEwa10d
O9Yc9Z09QlQ4s9A/m1Vgzrh+0E0jEFQ8GtfJAOoK5dHEM2wmMCMlSrtJZdx7kdR/D0a/fw/HWv1W
BMTFN1JL7a41IwRQ1I6LVwZiXa0AxwEv+j2q+rIG2XAhUtG2Au4yTkRXc9wJajxauzZBSqnlQ+5i
b+s7ZWGFZ+bwkVjj72dRxH0gtTredEefKxKUKrS62d+VopldJJjo0e1tBgcdhe5VXYuJNYHXdo0d
87oJtGzdpX5wC29gQLGsm2vFIJpplGrBFntUgk0ehtsMNOKh6uSJACZDfO4rkxQfaxBhRIj8z4EZ
Y7vWCfjkZunu6431dPumVYZvof4RgKgdI+8YthUi9inJPoE8sRmM0NxKRfH29UOWMTlckQvRi1qT
DEb0VcdjhhGgNAqDmOzJVbXsMMg0F9yzc2vJnM6V2aeHIuQf2iJMAzYBSLiHm4wcR/kkBH6yL8ks
s6tOlF0hzuurmkwKT2RtbHCz06+Ksq5dQRnFreGPPZBiJ5EahFovmDP9Fqml5JmZ3rgkZgReo1g+
sUqm8Igz3FkN/VL4H40OeD/0NAviLaT8o3UFdJsGZT7He8pGHcKzH6Uv2ThWsm0N/UACM+Hgt3Ar
yr3WcRTbopWkF31NNI0dqlOHuEctVyXpEFeDP/lP2mD4oZ1rcfbAPjKCgGpzssNm2rofcIW8Fkb2
IXueAC28XC7DB3QVItL9pCIuSe4U/4pQ6ypzpKLF8yZomugNfDMLIV9GTJMW0J2cy4lopywaHYP/
YmsmedZy3e6zx1o1q9SW2glPe70duxTUXEY3xeKVBBgPfXubS2n3TVzyyjHiavFQ/nqyfTaclGDs
/5BGl0L8cAI0miakHIvxXsulcGVpWe3i2l5+H5Ii9Hj277LwF/IcpHjcoEBeFlr54fMEX6Yfpgox
wh9dd5WqxGoeZyRHJRbDk6fxbHjcghYezhdamksDEGUFO9Axe70YBWMupbjFuaORAW4whd2HnTE9
9UMfVh4xpTjcY3E9eVmaClB+xAjvniXXSzhT8y6Bq0c/xQLcxtSEtj4dButoM+R/1Ky2Evo9wEp9
gfG/+lSYg7Uqh3KrIx7aUn9od8gGRJsM8r+qEO52ZMFfF7u6xv9VCzyM9yTPGiVctKWiwSOyjr14
mF+59WRn3INOtiEIjhwPsBG4m0nacXgmfoNks8ctHggZ1WMEvEUY3JD9UxH/lgHbbfkjf2zrHz9a
InqPc3kPsnz/q1Xb/0KLNcbtl7XovrVvf/zIwSOmm7fsx7//9fgW5e0fd9GPmmjit/z9j+uo6n6k
Rf6r8drH//GP85qm/4nGgIYfTU+4wKza/+O/JvBHS5HxIXDhsOVT/mO/php/0iHmGGSlsQAsjeK2
Kbo2/Pe/VPKBNURxQMFwmPnn8u+Yr5EldTC7wempx5AN8RCgIRiyR5dbVejwAs9xPg1nKEAG2n+e
uaqa7MqIWuBFZRbteJ5IIJDaEMbIQ5uMl3Pumys4POsw5U8wWAw3bMWh3UrKq0aNYHdiha2XuUC7
2aWK5YdfB0uy2SM+QK9Dnf5US9UhVPCy04VtwJ3S7UmhwHcrfu9i+WKwoNGGBYmA/th6cle8WOG8
s6TSQgI67+KAzBC0GxhgjsH3DMHuJjLm3gGsB9pSjO+z1PzIEgsWny6MXtWbgpeIZCNJqnTPC2Ow
kr9GorwptESEFefjv0vcgR0qNfgttrMpEayuKCfz9TzN8yZOk2vYo+ESBMUviOKf5ggvjvAEBcJj
9ZKW2atVZGy8/rbFINQmumU79YvKj8dnbfJd5Ja+JnU48HopL//+WVEjYyxfYfrf56VTxMGzJdzi
kHQ3z2bi9WbxOkz6TRiMcPja6D30zacA1+BrUnELpPGQCqNW3GVhX96plU/UlyqkzjhAB5UN3NmN
+N0fCTArku84AcCiqFDZAYjdqIW0zxrBNZLhtdenXdMs516i04XOwu/DbFzMZlw6vlyX3pRGMIl8
YovnzIu5UHhZTkPRmvfzwDjJGt+II8rWuu6+a8u7RKwaJ554n8QCFxhI+cXlmLw5UyL5smu3OAJM
1VCtMsN8gbHqFKTTr9JeF5gpne0Ls+iM6jdDJIVgwFxVwk3TVorou9+ME9bwaQlyL+PQNam4IRd4
niPSRTM0qfe6GNmxTiBWJAnKlsqBBBI/bLHeVtpVPkJ8gkY3blN/uqZfgtKZ5qybLMGRE0FUdj7y
E4SspxXfyA5eyZMjWF3raWLXPPkTo5PDkfPqluuHpEHoSkVykHLV38a1KNrBqK5HH3ZnpGLgm4JJ
6Fl7Mxlta2shUzPFKcUOZya7TgaLUUreoEgON7ELXFpRneSvc9kPBEnpq7CStpKaPOAUf2eIfP2w
au8y6WYK4hWJI6+/7F53fx+pf9CiuSvYt5p//+uwkmD9w+tB/b1obWl7ImA8PNn1HFJC0BnB2kxL
HOQLbT3F+gYvLqx81fQcIHt4rP/ztMW3BiwFLPr4dOqp7QT4+MGapPnW1gNrTdNpjZ3iixxjVZrc
DBpN67YvmJDNy9dveqy9//tVF3QUnQ9t3mOqVE6rHO9+bAZJM/5OS7twdWFyqF7Y4Ab2mo8PkZF7
5qdXZp5dCWRmfv0TDqG7v1+fxgJbOjstjKOjHqmqaGpWaVKwTvr+WpWzqwB+fUUdOqmpV/jJmeH+
4D78p4r6eB79ec4LpCGULh8kkF+Qy1wRm5rU22Dt4+ZhtzWJe9OuTmCNs+TroY0pXK0nMmPpW2nD
Llb1a4pIuao3KeFqCRRd049WWptfAvbvrEKAlHJZxf3OLMxVJycbpaxuMqtaz+9CC/e54lZsTCSh
zOxHeafco3BEzTUYF4Q4v8UDYadBc+kvbY5K9UQz/KFXo+k2Xfo6pui+SkW6mqqidvjhKmGIrRdX
kuubZFeG4fBWKdZTFrBrJjTzLuV6Fpx+UN+Nqn6JG6x78bJq1mUnESqgNlwz62jNrSO26Y7t5Irt
05R3yWQ+hbO4m6qISVabNzLsBacww20edauiXHKxRO3vcv23qqXPPWb/38qkg7/13xxt/xfWUovu
+r/b1XrpH49vaf/2XtS/Fk/LP/qndjKNP+HKyeJCrUWizt3j/9ZOlvgnikKYJzAf6RN+tAb+qZ4k
9c+l3lK5hfMn8E3/Uz1Jyp8sffAyVh9KEKqh33Cu/dvR65f1RZsLhgvcA/5P+CKQcQ83T0OdAaVJ
ZljFvf/UgZ0/oqkv3sgrmLEmwqCIcCet9TqLuBKbzhPc/r5fjkIpq+9ampiOjvBTtjkJuZc2skCL
PVe16VshNThC6yxTTvpgvA1M7ruOCKf3QrLa0UWokD/jShe9+rqSPzS6AmELe3XpXqu5h9SWlFyW
BVFqRhAMF5Em04XIRgomo8YwKCsM43vdWrEra0vqRQ5aGnt+TTBbF7Vx4USBqOxDYCB621oyveRx
g2aOw1K8Dn2EHtjEZMJ9XE/tfSZl2nsZ5ZXqWrTqS7trKl9ckYGoBnbSE29kd2QHxOwJabFRUlnL
HJ/3MFCGRIa1iVGatdi8y3ppS2NcfatxL7waZSlZVRCtX6OWDrfTCim+fsQoEMZCbDTRSySsveEF
NG39NFtS3PLhFQa2T+hgoxRLqCsNRcDxqTHLd5IfiNvmsljyk0rUzYAyWea1YdDeprJS8+qjQqy3
GMYejWZxO5T9Oh/abZ6Qx4lb3U8RXctTQBQDmuXGUtx+piS2q1GOY0c0zCXsVYhv8jK7U5FavBc6
ORN2XOvxDJJR4MtpZA01GLd28TkgJsmHhdAVbwgbRMWVexA8mBXlizi1L2NSIcRRUZqmGZKctmQD
a5uhdv1Y/papLQG4bQDEGMOz8zX4UHbf98FPH0XaOhEmmBqx9JxINeb8rXhd+x0Uy9pSX/s6fE3C
JXkDc3HDxhWzuSShOgzsPq0doxpkt0M8tFaiEg4HwVMDJlLXUStcT3p3A2l/tg2yrnSk7GPDoJBZ
xvUVg0EIGHgeVqJ+jR8+5Cwzap5mI0v+0lq8kbUJ9tZaI++kZQKZ5n6eJeBdKZYIRZ+eZhpZKzkN
y02rtD7hETk2UbaCQTtFL8hqULcKSemhpq3qNH7sjYhEEhMjPyKMbLyYF/Pz/CfX8JBMZBy4gkYQ
fmhSI9pj073VeRzTNWxfBnm6TwsFOVRCdiZ9ge4qJLW1iIn9kcPuVR+5Lfu8tZtLyvdKh3WsgpQF
Ng28ldEYXleluNP45GJwG+imi0BJAhh3ZbPKLcQpg48xcGvdN37C34+l/Ikz9QcOCRn5rHLmdUV9
V2otlkYY5Nm4mVkktArB7NVGMT/MLTRPkoYNtSfcThC8UpXGzZAE0SvZXOILNEMMFuRhkB08V/J1
oiPvUFP5vsB4AjeNuACNkSJPHsWBtvoI7TLTdxSyiKWKUflOcaBrdi81yktN6hgTyK+hpExmUjpV
HlskOU+65WR0mWrE2m6aCCpzFTuoSQNdhiWsua3C+S7Bf3FqfepJWxTkbVCboZf4aopwrFMRfMkW
jB7k3QYRpV49qZYTCTX2xWoAhO9LWIQNCW7Tdpg31k4eDelKMEv4ycRQ9x6xZKbiKmnlP6lWJmju
jJ1bcCNyo1mpkzavBSwOYUJOxoNazrlrlobf3o1aWG2tqmr2E/Fij+OEO99dYVE6VBIR2aEQfSf9
rHcGcUq21jCMd2ka648F70T02aCOd7TPSHIJpAnXzqYpHoPS8p/a3pg3Kkj7mnxBfLfx29maIoGe
MbvG6n/YO5PluJFsTb9KW+8hwzws+po1ECPnUaS0gZEUCThmwAHH8PT9gZlZJbFKpU4tu+8qlSYx
FEIE4Of8o+sFAnXbpN2Mqs/hKFAL7RB9Zy7rA120tIOTArRk06UaJ+OsnopmZjiaqJFfjGrvjJOc
aXB1JP72KT4Bz5mu5iyj/SjravXqDOsdRkgnWATrC0KtKn4bAr8h84eSroeunBruYLdxb6vWk8ZZ
4fX0J353Fv+bxeBDfoGzajg4YXXAbHTapGVxin5Pe1P9LGZHKGen0uCiSYjubV2ywfr8hLTfE3ft
2smr/IC0JNkKz6QrLR+qXd7dVXX7kFfE8bn+In9Bxn/QLf/xrohCXzeVNXbpo43YyrCWpDO5CQMp
m1jcYookxs8LgjSMgK11VMZyZywzd331YvFlDNuillgKtbtcUOFlIQXHFzhAE1N0SXztxnbKMqSu
4Y4e8zFa5PBGXifVxTI7Wb88v7ioH9at94tqoCPAZMAagCjlx4vqdti1cMPz9oe52gdtejLO8jwZ
66d3SKFo4js3qK+KljLwxsTQWOj20ckmSkra7UBxVEJS1wFVxi9gww+byR/vC/UkGBX44b/IwW0N
NLbH17bziqaPpqb6TB+6tZaIDWHiuVurV3+QTP89E9/NDTjhS03CSzffvCKG/AEbDEDgfj4T74en
/rV8KiCf/kAdj9/+1/9cf+Svidj/ZBpMPPRTMuACJjJy/tHmoAXmJ6yHqCUI+HNX7Ry/9ddE7H1C
t4JKfU3hwIC3hhT9iScyEUPHsI5i80b0hs7674zEzjqsf4eWc1eSsAAEjckFWgp/2ge0PB/LfO1K
zvd2O4lt9X7crQcfw8QVORtMXeuhmGfJm78ek7rXabteadcTJ2iWzd3GXA9Ve6oSFkhzPsZOnhzN
3OP0pX9zG+fpfgSJoZU2GcsIXeizuWBtne2G0XMev9aZyMOEs32pnOHMFzYjiOY5EYK8a9jmRzq6
2Hrj8cloRmCbnNHJwx66beeZkuqxfaPdq6A62gXNXAOxvCbfq6a4rcj42a1ERRpKnH7bzidpd0gH
ZJbyfXIx1iGmkoid+1G/S9YBxxKetSnWoacPWh2HHjEErKR4VpHoG/nL3CPzmI3Z2vHb7rmppvm6
yRrq+QjFKwiF4bjz32euMeaRNAhx4TXGxbQOZv46otnMaup9aPNbEyATOup9orPGRsJMr3NelbY1
Camd87VdR8FuHQozpsOGKZEIO+zIee4SNq8lb8H7NNkEwUVNBUY0zFQdbwKmTj8v5AbiIgvzdSQl
IkhjOmFMzZPxMSnpmJPdsrNpir+fy/keiZp5aEc9Oa/SoTxKKqWf6q4qqLueydoQHNlfixHBTmUs
ZhuOuZInzlR80Ud3/uZ4rTwTduEeJVU4j3WryWezbp90shrtdXpP+9CzWkcPzW5S+5wmSh6OXjCu
LMfoRRmd3cfR0YJL2sE5spy6PcE/roHHVe1db2oialyphSKo6H43i0eyisqjnxvDRtE+durL0f3G
YDPgD3Tzb1ToCObvVg3mdepWlnbej23WH/oJM/IIFl6exWOvZVvHSfOTRTkoexUyAczlXVGgbNRp
Vp+StiLtX4ubh9gv8uwwzGZ1Q4xDwfQ59WOojx45qo7Xny2JY50N1XDDyonpTaE5rsjzCjvSzCK9
8x/csbgIgLln0obpDyoezH5ko5ubzwyVcmN18y2iZvs2L6z81KvTirWqzVmRBjnHQ6Sn3jw/NASJ
tI9KK+pzp7X8Q98xLznVIB+gsMVOGMJ7IY8mw0QfaMutK/OYQ58PEEvj/KAzKO+msexvs7GvzsrS
ie/0ugz2meZVMuomkgPMjlanIfPVznNa8yavu+JykqJ8tGZu2WIgLtnTl8zaCpI360tzHjW+D6Ul
dhV11g/UCk1XQ2VqDfnobc+9n6kx5TPUsr3S9PrQOPK666Y3nfjDaB5rPKR94IWuPxSbxTCMzSKs
4UT4gMJpWl4WcfyY69NGU55+0MbLtgbsmxw7P7qdKw5tV74O0zhFgA3VrlU6WSQ28qaqIFcb7SaZ
FEYQ2ZU93dFIGFYxCiOvM7dVmeyGLNFuYpFcmJn8FutW/9qnXbMbREDVXWjbOWLfU5uCK+0+l66f
irMu0aijvWjsXDjzNhnlks1bibpABDvXic2g3kiA+s9kSZwu7PcvFgJE0kAL99GpK/eKTi77pG0N
AL0eskBzoiHBSRL0gNSYz4tD29rlgbQfkDJC/bzrTDgvfT/LEPmIi7ms2VepCraFbVAEmmBJQ3dj
XVTajdvKmbglhGdA0s14PlCwGxYsUWeBn6dfsqCPSTte1HksyuR8GCpi3c01/zrttLWikdaxrdSs
Ha3yZ9MozvrYO/WHrg6RDT6bs3XE6pCGSlZVODRDZIqJwrm4u50S5Nwy0K+dZToln4HGQBbGyHLa
PJLZNO20vM1P6vZLO6WRsBwVJk3Rn9IK5l91RSy2AymUlyRTIiRgR8f0SLFeQ3S0DHXQxhAmWdfC
vu+cHQsgMQv65K0R5V65N1CCiG1cjpulW14Kx76eGkmbhm6N6tiUVNJXIrXelOdstWJw6bdT8/X6
zIROcM+hNtTBWYxTPi8rAvOuj4KuvtBpW9iMKa3v3LzdecI1Lv1Cqw7VpE/fTGq0d6OU7lWQzMbJ
RNCFtOEbvG6u7yyK4WleHPsIC6a+mTtv3DYIcA6l0pIt398mMoRpsLL1+m3RafWNkoA7NNY86ppf
nPYtrjJQn288p0hQQ1beoop5rqcuCz3McnAbabvc9kbw2Ulqb1dV6Y7pIN8sqnhIGjGGtc2GyJw8
k48xd1eJCd0kp6mPiF8Ouy4+c6io/dovJRqAJPFDKy70nbuM+5JgOLr8+n1Mne2W9DOWUbKEOjO/
twtFmDCd5xBe7bTzbdT8krPyzuuT+9huOz5m6VNS4t2S7f2Ipz2/VRKfemyPlBUqpzzYSqZRPQ3p
bqBpc8MMMkeOnURWl+3RatQXyTRcSEoMt0Zr+qdBhvnEFtN87M1qPk1piz1QA9hFsc05psc+/9Bx
tsIqwA1CoXcoicJhG1Z6SD37NdkBgCLEpsDRxJd5bFzQt+5t60GqXW5nceh7Cgiavt0IXC10u4Un
VZ+DAk7LLhvsx2UpI0sorW1vqHuUggOIyJ7MPqFl0laQWimAYmjORpNuU4/G8s9akeTsuL4y8eum
fv8kZVNdzkGNmMTcmYAjeVGhyLKckEQAerNVb2wnoVXbvkuznR2bgEjKfqAq0dmPMj1MQXBueu11
XWUjCb/zuVXbQOtJygnontc5Txs6Zaou2WQ6fhZNHAmY6cJa+BV8XbXLxipMxAPH6hMI05agEBUG
AVHbM18Ln3bHbm47Zi3y6PUehjAGvIzTU4oJjlVKFGbthlJ1L0OTpOdY9qZbbUyvGEVvhEK0krIj
HbS81jemzG2GKE47d1NMCPv4zvPk8uP8hfYg47bpc9aSdU5LMxjlMXbunZEcGiem0zJBm3tL+yLX
cgxeHYLBzwcaDUM12S8TrOWunjxEjt2Ab9AnA+2yybOzVW6O72iw1Wimm2CeRbYdsKra22ZAvIhN
qk7Fct51iTlsekww+YUtgaHP80GWcRZazpR5Ry0g4SVMRTxrR5uwHfWQB6MIXuYZ1f2f2v7/Xpd+
sS4R2vSf9qVbgOQKYcb369L7j/ylvrA+8VniHCAqi4AEnD3/2Jcc/5PurRIZHPJr2PCaT/fnvoRk
g/o3dN6IIFfbjM26/Ne+9IlqJv78Kk5i+8GO+ncYBO8DIYqIj5UJ8hXuOSDk9KPjKDHhCmhAgiRr
6CJm5V+8fuebTKIh1i8/3ZF82Fy6NRXGUcmI8kBF9nTqJDRchjLPCPagWjr5nOY+RLkUsuIpgUjA
jIyJkL+SjhV+abpttcXZKuAp0hIeeiy0HfEXBiCWM2ZfM41alLAsvMHa+54UKrS9kmkpHp3ydCbV
8cmeBvASJ5jLIbRoaAb6MQHqNzKOTZKe5rxWUZDFqRnCopHwN/t6HQG31/Y24+jZVwP+Mp4sEAEh
VWM9ASSuRwnYopWeFxV+Zz/7inikDUn0qbEbXDdvjon0Bi1UWNDx5FTVkl/bsUB1Dvw9l1sfAXeA
NoDezRC/wsKpXqTey+j76edKo2J6p3d9OZHBOgXXNtLdN3sYOGycUd535NHwLPMT66EbkvTGnMyJ
poZ+AKm1zLKPUIyodKvlcXVJ63w3R7JTRDL5PWXDkYkV3j82iTc9deQ1PdQoaL8KUTHRqCydXIQD
eIk2tZEJKu9Jeag3ubVYFJlr3XmwjCboXBLfjACgD5T5FnmYEq9/Ry5UWm50KYa7Spdxt0FQ5F8A
0HdaZPV+8CgKXV0XPfQszUKq3DeNbohDVbrJLpmydf+tzeGkUwX2JTKnNJjTvB2mLW4ntz3H4Ogv
DE+diaIjQDocIoPvbn1DMiAhb6ue4sw35ZmZ9Zq7SSBOaXBFiPOWZUjuNu1Ugc62/Fv9bQbx1W/o
U+b560mtscNh6expNztJdW0ZcX2Akpg4/4Ak6pDJnVm1qzwvR4LaiFc9qcVjkSVJtufJWzbR4iaE
f8ECkP7k9gUP+bio1tNDqiaPFsvWWnDxyo133Eec3nFnDPGmkvoaF9svyIjSrsYLP7F1p0/4PzRx
AiwzvZW+PWnHRvMS4mhpYC6vk4KCt51yiwAbZrdmUFmmgSFL6x6nAi0oyotCz45u3MW3vRrqWG5s
Zjbz3scj1j7LoHaz09lc1C3zsfIfYOvW3AzhugmyEJp92SW0+HYo86SPqN+1ilC3Cw+quWiL5kZz
l9LLwlGr/DbSKe8ZDymKhAsV41MLUeQmSExl4aX7ysgssioA/c+NehX0jOCeeUjLLpVeKKKMfBuA
FPRXsa417qbBDdujgpRqdeO6kzeHbp3aeSRkllU7pkJiiao5M4YTxYpZH3R0uD37PDtNKNAoJpHK
E3VGIiN1C7HWDm1UUZLOYms2jcNHJNE1rfK2a4Is2ltIgzzdtrlNpZTmTPKO4GPIn77sg2/V6Nr4
+YJceyrGKr8McBhzpJZ8FlzMzHqyvUx95QSnsCSZkvHCM9mboylOp7tmCUQZYe8CpdFjb9HCJsmU
tqHWpOHXZtt86SxjaSPTl+6XuGYkiFrHmZ8Ks4gfgTeTV3D/+q2Y3IFY38xZY0XdZhbbuq9Hfd+6
hTWFMvDSM6dAHn3qW3H+jXgDvGsZMpBLw8wGrAWJW5LPZgvDDOtqMZj2tcV/dqpiVe0kHpKBSrK+
HxNE1ddt4ObLPsiMUmdnES1cjninl3pS5YhVapq7ZlqKeEsE6mlO/PCyUcpDlzk5puMQNCAKe9uL
xIOTST15RDpVDNu2bsoLx0TE/Uxkc1eBeKW0fgVwwX2Yelint3h9vZMxHzqPuItaaVsebpHgEeiG
xtJ1X0cLOyDF212rRbM+aTSF0WCcu25ph5lM9MM0OEkbVn684j0TTdW5L9VXzMLIjtwFgCUs2hn1
lQqGgVxrJ5iYmgsEuBOBo2UUVKbF3Ju1cwtP0s30OddZ+2DKun5VNIF+Q6auX1olfB4DPsQRrTkm
/lYdS3YWDklBI9hA0bukrIFs5DBHRYttWUjjzRkdOD1S8RxnE/NxXffB7HwVyLdILLNOCq/yI4oR
O8ikrJx34zy5BG6qWd0RHMg4P0jXvqXqvVEHfXKgmHu9Hp7F4JopMdZa8CzGniDA2E5N/CQCPnel
ubg36ZgELZpF6x+xnSFFV4uLtLz3nCGCZQcSazjGz+MS/GYzduVwa2qokcM4Q0e1twnge2QrwHIu
Ayc45Aat2XstVRTNS20E1ew9lWG1cVV6p81Kf0D7xt1RVowBkVjc1L+2s0Fnj52bm6QqdWcbO0Zq
E3rhOpxxdQmVtAQLraDvc9PfGjB/qtP9QYByqV67fkD+iuxX/o/dUH17wr9ffVQAr3/zS93MnaDT
Uv7X+28nr/WqqP3hf7bv6trr4XVFy5H69H8NVOuf/L/9zT/R8l8Nk/9Z23ugNHPonuQPw+T6I3+B
76hHLAxnaD34zw/gux98QjFGzhC5bITRfC/mNbxPxG9gwCY3C0SckfOfw6TJdEqNB6/1h4zF/jvT
5IcoQLgxDHHe2gCwvj+Xt/MjuYRtcyhS7u4dqfzzFrlDSMGLc9rr2bWlIagqXGJ4YlcPHR8SvH2I
x9Y9WYgCPCqqILYGOljOSIs2X3Hz3VD+b8jE9xaEH5Qya8WzR3kWs5DrIW3+8a0JT45mbwMCLKMR
fyniKtYjjUOyihrLyvfNKJNpy+FeHiHE9eKsmdZcchyd6XFNTL1dBLKy1hrkHfeSdDD7SntjawZI
oDEuVxx+BsFOpHpeZfXSU2HTxTbjZV2az8LNwN45yuNXrJ1Bt+pYkePELPVnGgaG43/+p37wuvEp
oEnCK8Baseru7I8MiEw7i2fDBCima+7dVA39uIvBgqK4NbyDKwZxi0R1ORI4oe0JbRNfSqfReHjN
KahzWXniXOvN7FJw3+/9OPC/+XzwYHzN9hfvdOViPnwoeNIhUflg+I/1wZSTQhooPRDpHi/CdJWV
XnnvO8G2S/laoK0aL1U3+/e0bXe7pVP25YJh8JgtHvNs3SdDFA/mdOwJFDh1l/lX7SQfvN9/ML2k
FgSEdROODl3641fGrSd3DUV3dk0je6JN2glCWfejkRq2Q0np32co/UsbvcCJZCU8c+Ro/EJA6Zv/
hq+FEaVuB8UYJr6PXX+VrIlZ6xILEYirFefVlCQW/Xd+syVz5DGh8n4zWwX7AWrdTepIm3qDOg+9
5H5hc93kXWWcUpJmgu+ONAQ6w15vxzGy1ILAJVH1DTQOGSG1Nh/cush3buWYV5Zwxv1ks5412ddZ
dkZECFL2uXbmIgQTyj9LHrpR6al9MZp21GnjXeqmzXkL+Rba63QausYg7lJrJA2XdHlV7VXtPWVO
YqSoO8xiF2totyNXKRq74yG9L/W22OudfoaFevHDUdkIGip0yaFFthatoUxzYTL3epRJx38YYgAt
cml6i7fhwLEVqgl2gdK3gZHdMelPG3Bg0whRkryMbll89Y28PRAdAtBm0KBhuYnewmpMHvcy2prt
WDgQak06lq+aVhhRa1B/ylzUbMaeQ95rMhRyKmjFZ4bJGdjaHQ8LFVFfA7ezL/BGz6dJ48/73iRF
sokhgVJnqvHBtfIp9hGll6I68/2l37WrtXTITTYTaLawdoruWMr6YqryEqCzdc6qHmtD7RYuLEyG
f1dpKOE5sPfpbFRneA3T16AvcgaRVh0Nrbm1nL7YlB3sImqyHVq9ca8P8/LoFXWzLWs3uCyIXN+I
UQmISRkEX/sx/uL749Uy66qN1OBYdzWCn8j31Z0Yp6bY0F4T3GWj5r+xs2Tp6cRWeWFZbLQBAf6h
Z1aYCbSFlNk559rPUkwXiZmi+dE6s7x154Za2cpw905Xiz347e1MKjC9oG0cGpKpj2yjgricYLhL
CRVn4zMoXZh9NYVFWSOxpx9oQ01aumvBEo5wPuLVkHSoBnqFWHn0v8xLnYUEun0p0kB71VIMouUk
0yvWi69TiqLJrbnIS66PWzdz4z3s6Ys2I8yJp+A40Wh5Gc/9M2itGU0E5ZC2Y2lRrczVC6G2jpY6
28KFUVjWHCCS1V9KivdO1aJdp212XcSOvMoBje3OHY5FzoLN3ciKOMT9t7xwrhwjXvZjm16UTTLu
0kL4ryi6XzTVC2TDzJlG7KPcFGUeYe/nEzOJhDZrYo/jNDbS0JTm6aTi9A1OTV7wrNERbQ2p+WVc
+iRkAXN3rLrqIJZC9FG9kJqU2sl87MYOrqAJXjmqZSgdFkG+k+NlM+fLLs9EfzcXiKKSurWvWsvZ
VmiCtkFWqE3TOSWbIoTwmUPoBBHQldC3nBrT17KagmcL1fQRCMd91JDLfm2oWw7p1BBncYmOMAJJ
KEccjKgJHbnc1GawXEyGX+4Lx3Iv/bZ6mZv5AbMj6hjyLs5kYyQH1OPxTmtq+3NnLfI2TeOTJS6W
k5q63ut8QovZl6MV1QE5RIsSUYYXAtsKa9IhDzKoMWrOBKrLOh3ecu7Rr3ijUHLHhP9dFmx3VDzp
3o7OFZD6OTvOrA/EAdD+1ncYTkPYneZhqDLrmJUjt1thnwzFPLzpzjJeAFd3W2chYgJxPLb+MHHz
7CqQUosQITxmzXzWxYjLU8ljjEWuDYHs2pPULdW2zOE/Z6nlF/6SuA+CHB706eNUndaxb8NAiC8y
QEzaaZhDGx+Hd5IUB0iQIQ3LsToxPBStHj6/u7FaGLy5WDfS7FdbkJQ7lzldhDqBTwGq1bTZOIm4
TNLBIjiU9lTMu2JjaEpS5KGG5TqzabzoE6WRil0ZHTHlrbuvvb470S0pNugiaK7ugjICp6wTwtMK
F4FmcU39YrlpvTI9lkabPY6ZIe71vNLf2PzHc7iO55x9+ZTo2+Zo41MkCwzSuUoC82iM2VvgtrdD
AT5mBMPj8j5Rpbhwd2lZtufJnFXHvHK9sLYa77z1UPpUuAUuM7e8LpceN0ANuWO4txxT6YllTXhW
yLg6FkGw01lLT9xuPMtceenhw9zCpVxQBEvblawJuxVYH72mhGS1W+OQi8U7tRNsYEq/roZiCClq
bcLaHUFgOmIKrpWT+1j95ziyJjGtqWrpLs7i52qOvU0qY447VvdDMgNUDKp56NqkfjLatrkXZlZs
Bf0EuLNUt8kH29kjR1PhUtjZaeXaU2TZqXVw8yDhBrXxCgcqPdpp613bvZ9u0qUtdmVRzaFZDmW4
gpGXQ5mRcN7afL85+dRBq1R+WjPx3dOXc5ulpfdtMrXzrhf3Q0awsjHHV61SzbbLi+xttsvhvLLd
8pzkNnHwJ6eCS4pHpLaEgb1WUhRvXjKMF61qk03X4MOoUBOi0Kz0K9qSGrnNNa2sNyZRL8hutQa2
QaqYgPgsIUstogTEHEI/mZR/pmBAuh05ktI/7YSqNPqaEpSErZp1G3Wm0ox9r6YaimfAFGXdzsLr
UP0KMLZ4v7Rtuhk1UZl4uGgsCQvUG8V+aKzypeJwKs6pBxi9U7e0WpBkn2LSbzj5UQZg2IYw0/kC
1QdKIzt730xY3W5hb8szIy4Gnk8B6gPW1r6/6D2rdg8JmCGCYRT/yZEYstbdmaPVjdcDTC5NWwIq
NGo8Ce2NkumcCLLkDXMhWssA+8etWTNfXfA1H1hgumYvp7Q6cwI5XXjlxPUw55krREcBwRtY2tUZ
nXdmuVnMWT7YRmHcDx1iHlup4oIcPR66s4MLTpTBk5731gEprrWtMgBwnCeLBMxKmjQnGhvYGBQa
ZM7L8X1ZQ2pvhwUgAyI7mRsSwrwJyhNNZqTpakJjY9ZLvU1nCeq41B4ypb7vs3sPYF67Ku3BDpfB
Ta6GVOQ7hTx6y1NGP10G3TonAxA1J4ldXzzRsar0pkeTgfIUcUfAZTyb1tb282RqEN3CZsUnWqnH
Jzk0n74hKKM6NpU7Ej5qtyfmMHROaOoQXyk41qGzh/mZK8CcNlRxwwyauTc1/bYnqVDMZks5Mj1N
xo4oZPXcSFOcDIuGxb2LhbgyTfq7atjHr8za1pY/sjzjD1i22IuqgAG29l4B0VIv8oS0b71yvO1W
QQpY0uey7WpAHPEguG5RjHrFNbOLXHMe5CprWSiDCBlFMTisohczlzeKVJ+zupoRxKzSmEG0I9mD
eo5eBi7jJuYpm9FcsPgoakajrg5NTESe0QLJZLjvSKFxYhCXnozVkzLtY3IKvUGVZ80aH+TE+AJJ
1RsMDTtDL81rWAW6KxbR5d9AvAeQx8T9hkyjPdV9hTzZMMtjt4qFUlRD9SofmhZPRMJxmztwVNRE
RdKeNIoqXep9gktNZYiQ+g450tygTMreVUoGeNretVbtUvauYwJ0QtNkmtXTOI7ymZa7mXxDpE+2
hwhK5t38rciyL9MqkKrftVJp3eDOkEj5XVGzAC9dTt/c0ptPGT6II1qZ5LwnNuogYnWfkP5/b63S
rHGgInU1GBir1aB6dx24qwFB61cvAsZR/Z6Wt7SMpJsiPRDvzgXql3ExWKuhocTZgDI9u+D+Lc+b
d98DaYt4IBrsORvNQHURol1itsEtgfXW3ZT4JxQ+CrQS+gk2RrwVwWqzyFfDReq0/WW7mjC4Evgx
bMCKhAzq1acxrZYNsZo3Glwc9WrnKK1aI4JxNXkEq91D9/trKyY7jtREXwFMVvFD/m4OAVgnVsTm
pvGmobyk2+VQIVuIC48jNcUphua/gL0nM5gYy6A889EeTIGvbdAUGpHRBVpoN9proYbpMpfZkXOX
p1xc9W/i3anSeMoPSPS3CbTrtN4to6nq60P/7nEpijFAiTTn7T4x+kUeG3JjzrnmbxX5BFUEhHmw
aqlHCMm2nWbXVA4X0UhcPCB60F8Henk99qLYkHb4kLSUa9uyZZi0uqdEJmOoZdxfjkIkHE/FdZ7l
xvlUetW9by6U+tmrVSd5d+0UgR2HQxuUO7copmeeKMueBswNCkncQfDwR3ashiqA0QkDelFO5eCn
x4QH8CbG043qKfEBjohL4suP4CBxNc5XOvtC8hGbSGRe9rkYwd6dlpGT4VudgUymB0a6/NReLUht
P413+ECPxdTjd2qL25lmrpCqSrraG5KuVql7dd8s9QS4DxeIyUM6bljYmnXbT/mqOxjMEjuUjjt3
6szudA0CCc2Wp3kwG87FlNlmlFDQspXA/l84caDyM2Xuu2bqd/Qg6Bu7dr0nlByfKdDxLtw8zp7L
vJSn5RiMW8RFKSOrPCYYS2zNz7+Q74YdW4eaOhJnm71gkZHEufjjTlCl9ZnBVjutg8E4a0o1Pg2L
7OjaauVGt8hCXd9Znh6bXlj2VkL8RO1Smy/6mKD2oALV35UdnGekcxgcoYSMM5JdzI0XGPUpLQEZ
FDey4b8F5/7/aDlcbQw/l1f/b9LHRPGjunr9iT8BXhc8FsaFsos1Sxys659qAdf6RAKIY0JxORh3
0QD8Qy1goMkm6YuAAs93sB9YCAn+Ugv4+A0DpAUWxeYWcat/D+BdAbnvATu8jKuEAUsGQcuoGD8A
drQ6o9F0E56Kll5sHF08JKQ8Eqpbv9RB/+wL/3po8bGkZt6cSMXcMtvcad9dsX+D5f4LMId9m6sA
wmxC9oLqfoSZkWOxGPk0WVq6fjr46sSvyld4xrtJk3yXNeRDmVdAnNVnKHB+lb/8LwDr+vd7XGUC
MEAujRWg/96YEsxdY8iB9Yz+EE1sSOyjrwAT82VTOimyPs7DMrQ0A0nATHQco6rf4r5fZD7uaGhC
CFiOpJ0lBCQ26KuzdOO2ZPggaMD3DD9cb/7+rfj/PLPCV/E/3HZd8grLUz39wKzwI/9U6RBRzg1E
UdCakGLhT/jT1eBZn1ZnAmlAOHpXB/A/7zvNND4hTeSOw1O/RgCuFQ9/3nia43xi2fcYEzykNcSk
/C1fA/f9dzcefxFtewxu//JVb6ENiM/FEFAMD0swP8fD5+8uxL+5m37yyh/LMfHX67098MrEfIWZ
mMKl839xo/7spbkq398fYkFl305Wvp0D70q3tKvCsH6VivSz1/7A4zQDuCPMSb7VR2s5J02BUqG5
cDe/d1E+3NkxCTW0j5B+YijSYnB5il+l6P3sfX8gE+pMz6YZDHqLWUSdLJU+gIPPwe3vve/1b/0u
Z8GMu2WsPMosm5GZX9jZQrSE/fB7L/7Bh+chCRhRdORbRCWs0FX/RMqcv/29F+fu+v6dL74Uduvp
xdaSLaD6ciaQGv/eS384rJxqmvxex6FbBPtAPhXiN++cD8cPH1vTkGaSb2UizQuJbeHFyoQ+Rb/1
th0O8++vSOzTgoZwq9gO6NX7br7Lnb9XQP2Pp8nHXk081u3oFqDnmT9Mp7gQjfPY136RtfmTb7jz
4c50es8GK+GypOZL29AClTi/9zz5GOodu+gZqLTng6T8xW1oqrbhW37zxT/cmIKtRNq1l29F017G
pkoOTjPpu9/6LD8Werie2WYpiQZbSQYBAJdNP6L6zTf+4Z6nAbZupNEU226ei5eFjKWjzMzgF2zy
zz7NDze9Xdj5VCua8pzHBaim+c03bX78cjsmWmdedoRHBMUn3N8GCPutq+18uOErcn9ar+IbiBpx
3yUoVGmA/t13/uGuV7nRN63oiq3yErJdkGBGoz+0v3e5P5YopuQGkiHOweMDfgYEikVkLv69qrZ/
3Pb2h/N4KctlTChHwpYhSvzG7IprMNRvvvUP970LzFcuNa/eZGdyuAOX/61P82NrgG3aVUYPO9i6
qc7LGKtaVzW/CJb+ybcbz+kPz1jSSlI9WOxsS/T7sc7L8imtHesXyVY/e/EPN2br+lLSZEXCIiri
/8PeeSzJjWwJ9lfGeo8yh0MveoNQqckkk6o2MEpo7YAD+Po5wcfqZoLMSiOWY7OpZ1avEoHw8Ovy
3nP+7lzR52COumrjmLKKzKUUaZvaZ15Knx4XXdsXs2k8x7986t1X8VnU82DGgoaRRcGRqUN9/eiq
jfOPvQrQDK8fDlSERl3XkJaqd3L8sqmznHfAP0+alVo4duVK7OA3Ys9J+N8APvS2Meu8N/j52WbE
nd5itRBkkIuCbOovSFRp9ttefBU9aqTGp+t48VzHIIodLrSz/H7bs1er2dFPqlI6vHjGY8kwfdOX
5cttj14FEDg7SvgrHt15yrtUlncluuk5WtkTnXDt5M6LObG7noeXHIqTftnZG996FTpTT53w+SIT
rKDekcvahSBszY3dZBU6PSUTs3A5ZTZb6CV9wuUXlUhvtrX3KnJgwJJ2w6UgiQyofbjt4ST3g1fr
utm2erNW05vn1apJSH0/JIvCpveOJLJt45VchebsGST2WjyZHKMrrrTMsOyXh03N8j3r76d9T+NQ
kAUoJcFnrj8ZxnATOc1z9poneuFa4FsLb5iQTSWH0ZrcV5mY3lCXKJ9J8Hrq4avQjKCTpFYwpAcS
om4rQ7HvEbrfNnN+p6v/1CqBRGlpp2XCbvBrF1/61bYN1Zrmxy1B0Y4xz43wL4rA2E9Dvq37reHy
lSrYUppk9OvqoLFqga/fFpbfBWc/NYaMbTObW0w0JDlMFFNXH9jQJhsfvgrLqMl5beUkh1Tl1cE3
ei4iy27bImUNa6wQfFhURvAzph+CpOH+VWxbsn0nTv/UJobAiRGTlEDvm/yQ08yA4wKz3ta315Jl
kQmnOYtsD1yQ3RBA92StyG0N/v1o9qc3V52OjcEgKKf4I5NyHkZDvvHHXJNICz819VCee0oh64Mf
q7d9HPjbYuc77OinFyfxrpQy5uGeckCnnSTg2k1j4HejxE9PHhzJ+n6mm+hM7ZxA6BBMz58JaP5n
67CmHZkcTKpkpL1LNI5hVtbceAWG3tgP5eOVVZZNRjYbMjlIUiKBUEALbqZnzbdPjLHrywpnHIdx
8nl6LfQd+L6vSEqecyE99ezVdAnpJELcxVDYGb4dAjc95EsfbTsB+o7M/ukXtWNfjy0JtQe3ldme
+lC1M8s22Raeay0xpfxDLCAtM1xR+da8dJv3mzqiWC1lu5Lk1jj2koOVUlyT6WC8HykF2vj01Yxp
aNlkeYJdIJrxKHCFHvvblsnrPO+41hUwGZ6ctRm8g4tiWbaF5tr83oGD1G3Ak0ujTqB7f5oGTrC2
tfZqLcsF1VwY53kt1+fEz5kUr2F6Dub/RPcWq8BsWt8q6rondIaAtLAFs0HgbxzD14obMoTdMgET
REXcTTqfynHbsmddfeJJAPbjMiQHVc8k2hS3MP22tDV+xsfjFNibZfIDxRtj3YjDftMEz8Xq48dW
th76hFyaAyuTS9dU11aU7Le98SoWg1ZVPoJQYnFxr0p9a83p9bYnr+KwmC2hJ5vppk2y7FVi9W+q
oXoOHP37fgcT7HGLTGUX5+TNnBvaft35t00bbRo+uLRbPRm/m+psJjJ7fogH/FSbOh2iuMfPNUkX
6bqeMKTK5fMMz2ZZrG1L11/UCCpwSbYs6XZTEw2nKJ/bHfz/55x6T7X1au1axkXei+ncqWtqrxZZ
R3t/+DOj9T/rBmpoHjeLVXrWXLcVD4+r5qPnN+ZN4ixGv2nw89c6GNQzHXpzHj+0FIuMyXRSsWFt
mn6hKj9+9yZWwqfOPDk4ede+W6J6cI+WNzjTtgjyV7EZC5EbGamdB4Cy97kJ/d2fLzYFp78Kznr0
kmLsiZ+yJAmjIOOL6oJtJ+C/kPXq1h0RyZ2Dszx59vxinppnIJBPdMU1xhrfmpMi0GK0qvyLvKJS
XFhTdtzWJqsIhRiX9a7FKDsr/HRHL0aPGXoZiNONnXE1WXaiJBss4QNIqFuu82L4krXSfrXt7VdR
OjRLY0ktGLfMB4fMYHPadteNRfVxNx+okNBgzFl8J9D3ragHPlaKbW3irWZM+LupMU08nMy/iyS9
XYz0tKlB1vLiwpfqXCzPusfvXxa+YR5Rrnr7bQ9fhaZHJYzEVOgdxkCNN4MQ1U3Lfc+2ZYS3ik5X
NHFeqsU9phnMIwoaq8tZk1657d1XcyeyyYypSLnHeGzKU9Cp5TJS8byx2Vfzp+eh8DVVykgY6XFn
eTH54G42bXz3dYxCBpl10LnHPOiHiy5ezOPENn/bgP4dGfrTfkogxg26imR/f4BoEDjxsqeYR218
91WEnhO9Zww+eFNy2F2O1ReU25vPdfdz3/jfzLv/mUjXCUAVE13lGJkLELDOPnvLtLzMemsJUc9k
R7NJ3W1D8DodyMXqrhocHkcv6sxrZm8RwhSMtsXVL1LSOZGTnmu+Bcm+960NJzkvgnzbYOOuolaw
ZmynpXGPapiGe8dopwtIPNPLTXHlrqI2Zc1HhWnlksTuu7tsVP57aiiGje2+itquXJIpHwr3WM1U
tBl5Yr0cW6U2bW1/8Y97ZRkoqeg99bnclPqF8lZLx9i2kHFXUWtUaDqFR8uU2eBTO+u2y61QjrHx
5VfzKggi25gNHg86rz62hm/uSx/e37afdRW2nokZxk3pNFRo3rcGHNVm9PW2nZ27mlsLi5PDjCK6
Y56W6ZXVO9NFJCjG3PTq6wwhqv7LoIoZzxx7ah9AcspvSZ16G5++Wv6mY5y2U0zDTOCo9oAB64uB
Vd+2PrPOEgpEb0HDZbQs/VkBcYWyhKzE3TZLrTOFSkBgZQKf7xgPQ3KafLA2oy/yTceVv0iEbfL1
ss5mhlVZLo/9aKlDbwP+2/arrmbYVHMgPyRAnuE8TXsldImcztmWtOY7q1iFAtr2mVfSZ5xRXrAc
o+xJzvm2NfbabDVRTtr7A94+nfbDiwSa036xzHrbDLvO6wFa5JOMpN1jp6tXZFJToktx47Ytk7MK
1SHPq0bq0T0KVX/J+ya4tDDQbHv4Oq0HTkORiIUq76FwYJpZ+XBKDGyhm3rMOq/HGtp0QZvnHudK
JH+3dmGdMq9JN13Jkfv8eH8AZLTDSGBRZK58A3eg7V1h5KACcNvLr6bVKjEws9s9U1M7nGvyLLzM
3lRuC9V1gk8EPbYwq8A5ygwmVoleZOcvWbRtmFnrj8cIJ44lzzx2SE6vIxJN92bjB+XGplnFqu8N
9jRadMmOq+3rDJ7vTiD13bYatuXj31UWAVTCnGhqU+mGoszTo+En9jM9/rxu+c16dZ3i42cyrUtH
uschgao19W1/nTvTeJnXrb9tMblOqpy8pAT1ylBmm3J+35iiuw/KAOTWv3fMJ77BOpUotW3wQQPf
oAvq6q6jSnnHIRadv/Wa6ZnPOI/pv2mldUpR0rg+nQZvl9VM7mWQGPGZrK0///s3eOrpq8iFclwB
JDado+sPKXyi1Dv1CvDKtqevAhd8YIonDIMImtDsNHV2CXcFNOK2p6/WwzLmxZn2nKMfpx6bwMg7
kRfwnAfyqZY5//ufdoKFkw9sMOk6CcKRg02JMbVLjdwWWdYqbh14S62yF+c4U8R6qKoZzs5Zbbit
ZVZx62ArdCH1uUcDk9dFnQKlWZxm2bbY/gXFdK5j8dLCg6HJWElGoX/hQavZ2N9Xk6wJeyDF8X6e
ZMvmywTg/BoAyvywqWXWGUZn0d1oNqz6FLbhgzR0cAEYwdu2Yl3nGI2iJaQNVtuZGudib2Re9xWw
rNyWAeiv84wmD4yFM/P8fp6lHfqL552i0TY2jjXfCVM/9fnJaPKqAjR8JB1DvfPhu95gwvth0wGh
BzLv5X/GrJ81rucx5Tcj2TrXiEzXMXXPvbK3UJnsUM0vuwCt0QtUChb81x5tCFeV8bYgWKcgjdxQ
ZCAJvCNEx2zf211zV2sz27bVX2chsWlb/CrigC4uMPvKzE52YMvsbcvYdSaSO2l3Eg2L5JmEhDfM
6l1I5ob9elsQrPazDh1mtifWU73Q4zW3igpmmtqWHkj96eOB0w/MLp9i5MAuGTLmrurqvt0xBlnR
tnu0dUqSyaV7AVaZVUkpl7eDH9nfusDfeIazTknKK2QKFI2yPxmn6fUIV+wF9fLFM2ueJ2aVdVJS
KWv8QIZP00tTvRyNmRL8sqi3zYjrtCRfOEZiVL13hPZeR5eRb9avFR3V2NYt15lJBtVdjZBlcHS6
IcBJ0RdHY2a9s6lbrrOTstYefLupA2wLmXVXAk+4Cfrce7/t6asZ184dsOOJHxz9noI6Y/CCN3GH
N2Tb01czbi8oiTQHKzh6dptdNnNSov2Yxm2DzTo9qcKoNPhoz8CdQNoSDsCbJLbqr9vefRWwGGns
AGcQ7Y5j+i0JYZQkZyRvvtr0+HWKkusleZB6c4AYBT3O3lkKN8dbHczbDtDWSUoO5pQp8evoOHMl
gyoCMLcQnbWty68zlRxr0Eg50MYAG5pOrdDRHlCL2m9rm9UCuU6doLapGz5auTLCoRQonVURbGx5
5/FInPYWUEKf9TbH0cW1Vol1RXKK2hau64ylsqCsLAZqfEyQ/x1QrFl3qhow6W5rmlW8pkkUlH4y
Rse2FgKsiJF9LKtSfdr2dPm4aTqrn2N8aMYRzmEJ0CeTR2fk/nHb01cTrDcFNYjl3jgmQWm+ca26
2Dc66b9se/oqXpcmh2WgSuMYAeI6DL4ZnbQyzE0/K/KIxy1TVgbUpqCIjmh0z3zGOX/pWbn1ecu7
/+JunNGTTOdLtmOBXvk2MY32gS16sdv29NVudhFJqdxhBprfjtN7OcX5VeSJZdNBEdbAxy0DCb6R
+QC2sVoWedRNdpdGZb3pnAhqxuOHI3Uy277WEQ4yCJ7mPEVwm5Jk0yjmrVOaIgDnjZGPxtEeneZA
zn920rLblnzkrROboG0NsbM4yBER5y2XyAPa11bkNtvGYLiCj9smLhU3pbFlHE0vt0j40Lox4VSm
YlNAQbF5/PwMlq7Z2rx/KcC9coQcvbPsNN0YUKtwzZ0BiFXCUDPMXXudzJAlUXw8t6n6/YKSqWL1
7mMsvdmHi5nMQ3EpKR5+m7u6fG5HeO7bv+7Z2MY/fnzTsFODg2kc/QT8PhTlSZyochuOeZvkKd4G
F+TZpuBd5zqRwuYXZ+8CeFgP4VVsSQqM6n7j01fBm9auKNJ4YUi2JutK2LEdduzRNy3/QOs8bqaU
XKrAKOP41GtH25AyHfdNzcFId9zWNudf/6eNeRLUs5p80Z7UYEZHqN76Imv6jaODbz1+ujKkXZde
3Z/qHCjdMI95BQwwXb5te/lV+NqDA9OPAvSTF0zdXkGe3pdJnm0b2vx18Caz4aayNE72wOoyqQt9
ajNnW2WXt858iqAFR4blRCdnrmBjycxwv9pjF286MPLWuU8gGP2kz1V8kUtDVPum4lrczbtpY69f
Z0CNfVuDkAWT4TW2CEeJS141ebytV3rr6RZ0fmoL2V30g7KNfYOHB5hIUm4rXwaQ87hfoui2ynzw
WwSuToc7nl8Vx/iyreN4q5htHd8VUR47F00G9YP8geY+t5TeVDrheauIrfNB0y8nA454827WTvW1
8HT/YVNEeauA7Xw4pyU2osvRsou/HTNrvjQKfum/P939fm/3m1F/nQWVD0LOthyay2RWVnztcFoU
mSdPoZWrbmaZDBAOs7LPxHXj1559m2vY3ydpWnP0VUtLnC/oqgwubij6uhkyhH2LoW4N26vGamfk
s+UdPddIsk9tpecSQLiY8BvCa3TlVVIPeYOQaYkCAfJ6tPJPxmQ11IUttqvND975TyYWkGm7vHKn
uSuuKoCd5a2XeFl15cR+E38YqqEdUlDP/dS9Fi3MrGaXz0rZQCIJ5/iTIbUZR2EOHTj7YmhD6QW2
IvrbN9Gc6BatmG0kdLp67qIXtWln002ppsXF/miOvtqbdplHr5oRkMRtzb3tYuwzckazV1475OYY
6ilG3LmHYu10b4uuK5ITNQdVcxn4aPswEY4lrq1RFAVKdyRlS3uJlyqgaEAYSfteNoVV3fm1CUV+
pzvbVTd1MMq23Gk9+f6X0sZWfefBphTvS1WMUuxHs8T4EtagbDygojJBWhUi48rn4XLkmW2771u8
2p+WQjgJLmO/zdJmN1tTdObtOpNE/RRIloodRzsRgGDMbVF9l82Vcu672Ol5gu8Y0Pgh78rg7IMl
ecB5kfVVnt0FoPyLi4C9ScMXiux6PipcB8X14vtpcZ9NZaMlGLQJvGPizE5/2w8WoqkwhY81vl4C
rFDFDjGue+a9T0vcXCQCTdWH0kIHW4UpWYXe2ZUIXrzmDGRyEBoqHxvHGXqagebdUZI3W9b1DJ+c
YzWBzgaa5lR5DtZNC2VlD+awNxwuQ7AIgcc1rcBuPo5Wr/WbIZV+8qaNnHbsIAPAu0l3UOUmgAaG
FQO9dIfaQZ3Wgxj9pgSKpexIIvmCUxsrDn+2c5Mxmy6yiW9lnuYy6gsDTVMZmSI0K9Rj0NMD0uSI
CY0A7Jvo4wQQaZq1EbWJrT9UxntjUQN2qS5ZrOUzVuXZ+GILryghUzuq3SV4QsuD1WgEZwhl83OA
ea1CcUQ9eR0Ap6xq3JXXdlpbZnfMhOeq6mAEibLEzhmsBBep56el/io5bxhe+WU8p/1e1Spyd/kQ
f3AnRHmHrFd+GyJYoJt3GLvVZxOhlv7SZr0EY4p2xZyvKlGV3g1F7L185bfcd6JNA9ZyX7pueqXN
XLxEY1jYX2o91vkOxNfyWS59trfsGQGUBKv+YOemjr/ErmvZp9gLEm8JY2tK2uh2KmqV36Csnm09
7CY7CvL4/ZDQqfJbe0kCcL8QZ6YUHmkedMm7ntHBrg9dNnlpspeRq+sryJjz2O5JhYxxs9rF7Op3
riH65Sv+mLF54/aBgUJJJRwii3CwbLXcJ2bEdLwvmBlQAhTay7MlZPQwphYPL9eMzXHkHr+TF54Y
IVydKHV0+ygsoQ613ygOa2YdxlBTFBIGBTzFD5U9+wC+vSHL2g9ppcheQHmjpiLYQRDKR9QaVTDE
Qbigf0AzIWYQV+8dhtLgVSfRk32wZkPFMgzGsrN5Nz1q+1sBkb6+T5Peb99PdVmbEFUnuxnuIoH6
9CMcz6wA1TaLBod75IwdBKq2gRQViiEpU/OoY9cjTSCfOyuXN/loitGEZ4qtftx3fmSRR1BIozff
T4OexcGzc9f+NhhsworLvo6Dujh6OQf9R1PIvgMOng1VHebpNC7Hs7/Fe51AZhCf+FkHDcN28p2z
6Y+CoODlUIGKJtuqJieFv/GqSX/KrLqL6c3ZJMwOqHwFJPuUt40yWqg/jRu/cBPLaPdSOYu4FKmt
mC88d/Qh0Lc6+jLnxZjc516hhxd11DryRNvE9ufCt0vE8Znv+PEbJvohy6Gm52U8hklfVvrSb+2l
Pcu0fSTwIfdD3IHvsP9UUu886O/xGyRLtboQnez1+77QCOWxuKVJrg+FmlDh7Ro9iRGYJePMbZ8l
xRmeI1IAvSwnc1wVS+CXSIBq895LbFSuVTEDgg8bW0/FOyMa3KXG4dtmxbzvnMDNGjyWzeIdtNk3
0zU3fQYUZsjL/XAiXdu0MYpwNlb4YSnqufzkFJMNIrIKEs3hZNJ2doOvLIHag8PQiJMXmXeGa6MV
n+yPwMeKCs74mClTh9TedI0bVpJnvOt9L+hfgEDO6uqUiAxPJ2a/sfPFwYxNI72WNa7H+YX2x1zC
B0YcGy+31rLwW4WtqYqOBAI1i0jsa2mUyEgqlx8Xk0Fz3lyHarGM5r5Rfk/YUZkJAPqwaA75KuTg
2Bh9xCMaNq6BO6aEogvf+6vJd18wqlgyG7/YWgckpU29WcHxNWAZX+CwQvgQG2je2xCWoPZficEk
dTUOUIMGoVOg+3W/pdEyzu0RovYSvGEERJ8RjnYaGMgB3GFwT53bjAC7EUzL+dPcLk13Hcl8FldZ
6y36AdZzP97aYq6RyqgWF7rF2mJhEMjDhnhckjeT7ukgO9krDww5hik0ZLt5kuX0llE9M/4evNmT
MUbRkjyFOAus5GsWFFX30PmDVccnu7YSH5dM4bbBjSNawPi7Yajhae9Ss6nTi7maUhHsA8j7zYgF
k9HplTa8kSHZtlu7emm5GrtIFEzKvV9ELsYYZknqLNkO5VR8tt3TJn5omLFFlgdL0kEj2I5ryoo8
U1rF66CqmcqxzCSO+tuY9Bh/bTIc1LiSRamHORy5jc8+BHkDKSY0dJFZ76B0ZxZSzq5mAxNGPhh2
FOoJnCfz0C9VkxNvMwtCJxwLe86uHXfs3FdczlrB63RxWrQuoy3NlkNYt00rjr8AyyKpXmKwsL4d
OcCbl8GpPnsybeQc2hVyhzYsgs50P6dowXHAyNQtwMvOcYQUIPYN1j7h1KBcxpWTZGh8QHYn8m1f
tKnIQ2DLCQqr1lWKrhWhGIhPTso6Vu5SsJ0Z4+DoGCZ1HTBgUMiqjm1xmJZFE10mydDTgvk8mTes
OWz/rVUwNh6bxTyjvqoFRNz7ubbyHJ+51B2Ko760og/lEtT9Pa/iMMhFQwHXWYu6ly+xG/oGWOvJ
RZNTVkONkDVXZrHLYO9Fr+rInrpLcyoKeVxsfh8W3GMdvFEeoitKHoH6f4gWr8sHbIyGVarQTERt
3xoLMXEv5ozks7BpUfDhaoldp0gZYgsV8PXnOsbtR/ZYhZZHaDu184MV9LH3tc8hmDUhTveA/77M
uGC9cEpmqXcLhgvvasr82nkfm4wnn5eaBrvPO+WML5K6tMa7icSW5IpUKI9yO7bP2r9SVd+pb2YD
iP8gIJc6QzgOZlJfRKOVDe9zlPfza4ukxOTVqA0LPUZNofL8Nk97REzcxybaDCHsevXbTnBn+mUp
cX6bB6sbJ1eHOLk9/ZAHrWRBP8a6cS7nNtOpd1HGWUHhaZoYyDLMqBmcr+aQZw7zax6Xb1ELo/hE
EZ6lDm0wGRG/AvHcttfTUhbLR0Hy3j3Wg9S5Qe/bUd6sBqwX9UDRiZV2afAmTdMMuSQ7pM65NfIg
zz9I6FLZi5xDCHnsMuIQHnpLTO5yJwqwKU5mgJMAWsLXMQIVf4+aqpvYPGlDOBeVANSD6sTy1UNd
SJV8moPO5+sz1OfzC09XRUm0FbOqbmNjPjvG40RX762JZWTYNDCEL7MmbtqbTiSTdRqHNM8fHKdJ
0G2N+SzLi6Kx65ZRoLfeDmRjNS+GaBzzU58pA3ftKCrfeEiaNpZf80JpJGCdbKcQr8BshkyLHr3S
zCQkccxT4gZTQxS8rZqqsBmzfafZm+ngN2+myuY8klYG+x/2mKIpKsAkMY/3Ro9toAsHhMXZYXRa
I9+P/qi8V0aMM+mqG2Pbu0BvWhSUIkxBcWcVS77EYbkw+jxMwTw5u7rqBnR6Ko56JJhZP1wLoRP3
Fay9csx3UeUVKj74pj/YrziGc/pjNo05I6G2oa0d7cVzxKnpS987iKYf435PibKtD4Aa8HSw+PTG
K8+PTfdQ9kMcHzOLCL0qF7y+B8deMja7Xmq2N9GYizOMdKjT/DotbV2QC2LqXF2KWQ3+XrLfLe5G
kq/6yyFZuGN1k6Iu43DgDd0Lr4pT925yfN+6KQVXInsHw2bDy1L+5YWA7RdxHXVuXn+O3dLv3w+e
2ZovzIJVNBs4SpTcF3GDfOHQ9aobb1yNPxa7TqsY881hFJep3ZnTDRWkEChCN1N28Hdep8109NNl
rB5yohisQ7aY7Qk3iLG8cMfeblhaQcVORk6MZFDeFjlegrvRpaGrYjcYk5DZpTPHtoEc1o3SKsXC
O3sB1E3pGtYzxxBPnGx7q4M9p2xNo0ZUejkxI0JvKWuMCCX3xn//+zHHU89fncu3MiKuxi6B+i/a
a67XxV1e1dsKAGA7Pz67Qsw9eKyTlkunTvpQ92b7MPtNdL/p3ddFUh6iqbayan3Zuql5JZMie3de
MT9z0fU9I+s35z/rKqlYm12M7jq/LPCUNwhJ3AWmoml30aVDLhKlawAXY7zo0qDbzyV5jAKm9tc0
yNlrZXXs3KV0JMWBKUuvZdrZTdAhrbW7GUNG6lN+uLeH0uc/6Bs7jk6yrYMmzPIGOW1RkON6awRe
1V/FY2omdGvE3QeBx+Y5kuv5BPF3X3B1skiy9KzibNKXgcf24Th2gZou+sjU32qhzHyfA1F57i74
iX7mrs4Zpza3sGvN/eUI9864KtI6MJy9lZqi3gf1wjEMlpfFdvacJhj+sEvQdc4hKXImIHhjXsSM
E8vS/cF0lNEdpyLqu4ugtKRz446Rke+aioq54WCr3AgGDgS6ourvUlm4LMiUagZfQUvu+6Z7QcKg
Hu5ABCRsHnqcmlfn/LIas1CUs6s+wMMfckx2U515e9kls2bEZNyRpxwz43Qa487UD2Xdc7eBoXUs
zwj7IgLIxW6W/ft8QhJnchDTLnGPIieaW8RQGurQoYyNqR+vbB+j1V3puzE8sFz3ukr330Pij2QS
/88T7LmGe5pgH37sPn38UvePAPb8xT8A++AvW2J7RTCOQMLzz3aIHwB7J/gLEawvA8t0TIqWzgfC
Vd2p5L//y7T+4mDUJLc3wNzL8R5nzj/49fxfAtMWCA6H4z7f5+buHy3yj2xQjMpPZod+z23835hE
aCGdwHc43bIcT3hYbh+PnFUW9JVsbGOXOeaNoARX7ZkF0sPC+mmAk1ja3cGIpLEg4k6XdIdiTxpE
jdOhpnZld5VwXvjNWUhp2sm80F8xT6LX7Wo7xuXjtWaoLFN/ORsVw65vuKhzquy2c4vF+s9d/v/v
ij8M1pdf/vu/zj/f013xIfn6f8KPycfysaj6/Ec/eqMn//KkL20EJq4ZQHVlKP7RG33xFz2Ujmq5
piXpp4ycP3qj9P6SlsuNcBBgqv5uTPinN0rxF4/BZMKdCwcsksuRVe/7t974eNB2HCFNX7CPsySb
0HPnf9wZnU73M8HSnIJkrHeOpTlo4bDg+FOj/IiBpzOi//kUjL4ItjFjr43TMdo2m2vp5hRH0W5U
EbmVAsMiQlodTvVc7VVFfvG/f+Zvvxk6ZfKyzr6K9c3mUic4sWy3OZU2CLu56zuUcE3/n9H46Wg+
z24/R/O5AS2bU2rB/gzZ+CqBYIhr1Q9R35w4o0QgaKeU4+0FF9r7WlBdtI/NWuD+Vml8MxcK4x47
1+IK9mLqHGF+O5ccinK+xJb5Uyp1wKq3qgfrdeYqazjJxsPni73OuJnJsJAvBxPu5nFI2dJd267p
3w62b79ozLK46HtlPHPbfx4pV19Okg1COo0vbHQf9uoeDlNVMLCHqk89p7cvDah95wOKRO7IXJNv
BneIwlljQetVEB0z9q4XNodzR8y8Q8W5paefae1fdDdnJwmyHZxA6AIDZ32n6QIQS32IGidWEu4V
RU/TB45kdbiwfXw7G0Hx0oCEeIqN0Q0nv8KGJib7j+6yz52ZWcWEwcLtiYuKerW2cmqb/WTlVScv
KvS71O3L29FL5/Dfu+8v/QqbJ9IpU/A/vuuuV1VGKioR67g4pc0473xdF1ffZa5FanTPtOr5GvtR
F2bwwQNvMtjwQfY6/YirF2n2okpOdlm11+WkpndUj6Cb9pGCiWkyvpgxjKE/jU8+1bMx0WNP8iQn
449HnrmxsIepID7FFAvFIU6QAhN0Xz6zLP2lHcnBc03TojnPi4F13hnZQyNnt2z/0sDzsSuq/FD4
RI8qWv9Pv9H3j7I910MzdUYhPP5GURPkVB3o9mSoPnvgNue6N7znCKjn3vXox+JD+J1MV7gMpfzj
8YdklSzY4TfNKY24TO2ws11INY0vShSVt8XgPAee/qVzkCHJIMBH+RhfnPVVfMrkFbjz1J5qDNnS
omDGzjBJGlh9J+OzMz17K//LuM0Hug4fyXSEpmtdaxsxCnIM4TNus4jelZwe7Ssrcf78t+JTAq7q
XSRHhPLjZvSGSpau5TUns5LcTcmB7YcZlVs+he9jMoIGCDNXW3yuFmlRvOkn3bXRYc70pwmrzjMf
8j07ftUlWCm45PUx1WFGsh5/l0ihrqVX8l1sa9lpU1ccjiwKo7v5lqtM98aPsvyilUuyk8WQHtuz
rrzW4s/oSfQQvqknTZbWdBThrQuSOAvi2jzil9NN3+z6IrCOC0iYZ9YS34sw1l+XjEUiWtg2a+nV
103b3PV7k69Ljj3OMKAe6ArHg8RyOpfjQ8I9YJhaVmiJ+gS/4TJqzL8nNBhh3DnFrjYjzqPjP0tc
+/HdGchof5yrYl37BQ47jxxTNifKwh/Oq/ej3c7PLaN+FxoUxTFI02uZhlYzj+X0qctpZXNqyIY5
GQa5Jp5tP1dP9psRE68d6waXKU6y73ncnfrez+usnZpT1FXiglyV9CFnVLuauNd6ZnA+P2r9UzKR
cwlFk5GEel5//JT2N/NjjEM3NKexpjwgqnz8u8IhT0xmDQjP3Ag5JZsPnUDt++/T669Bg6LMZPxE
4Mfahgu2xx8duTEZ7E3dnDh8GT9k3MBcVX1snJoBUbjF6ux68HT9lSse51aXeXFV2Fa0cyMnfaY/
/zKg+8K0PE8yPrisbdY16IYgfV7VQX2ScftNCCM7NPNYHCLFeXc+jPmfTvbnLQP7XL4+45JcT/Z9
5Md9WRjVKbPLLN/BguLufaT73mWR0hd5WUfzoRztP6P1n6cPIQPWMsLFI4KxcdXeJAv8X9LOo8lx
I9jWf+giAkDBbgGQaLadHj+zQYxGErz3+PXvQ9+3GIIMIlpXG0khU0SZrKw8J88Zm2TsC3jZlvqE
G1AHxhXqez0ya0Q921HrMOThvLhUjaC4ibiTgRHd1M+5n/VS96W2rPlkz1l/FzS59DBX9eBa3Tye
kCuO/E4ys2eztQQSgSQDtPMtP5i4+aRZuV65mT4alaeNKHtBEbY/I0WA2lE2v6YS1yBvFwyE1ZZF
Qk/kZCdj501NWN0Lqe/AEyd6sHDHfhWmNhzSEJCgyAb5oeiRMQjkpvMs3CAPohORG1lF7INgNsc0
7AM/z6b0ucoXw5sX4trtfX8RQnjtybj6Ydao8cc2eZVsEH4I1QDg86x7uUyKXifDj9uDvPXhbVaB
UUzSLWN94G57DEdVkrI5nQofyYDfYRW/TIaB/mIcS66tDLGXDsUH6A6fCnk5JIqhO2Ng+FEfHlUB
NRf897GcgFCmiqLp7Z92EXHW7+fZDM1KWYPoJkfrg3gorXph+6tTf1qUpvFQFbShHySKOyghJ0Al
CmixsifRcBFWNyNvwqpe2ziNjXLh52M+uv2gjxgmo9aXx/37xGHezpqQLY3J1/GXti9y3mFBJrEf
C99qJlhZRh25tRG9z4Ls/49iKzDqONwkpZupTEUlAuqpnOi2V3yRs65wGr/eXq9r+1U1ue41+S3p
3YQNWdLBtCcp9xvFqr2lp35ejqOyExSv7QrqEpjKyrjJKlsNCiQxQzOoEtaG5OIYWFr6PQpG3Zvb
sXxKktG4HyE0Oimqlu/TrP7fWcQ6Vdf4SxLRLQd4SGNYS8WU+1GhxV+1DJa0RBP83e1pvHLJ8FpF
rGMtKAld3uRM6LHPsg4zzlfz2ngosmJ8JipGXhnGmtuEWvTr9nhXJpQFo/jCgPpaPTi/XanXQw8w
ktwHGZB8XUBVBfdEk6e0eqeDvOqpg8k9U8x7PTpr4r4JPRrpNqFHUQDwt51AdmZl9LkNmb/MeePp
rRDu0i+NJ9Im+WSwqIfQLBovbOPaKSu0eG9/+JX9ejb8GgX+yGh6NlEl9avuYa1NLpBe6k5Gs+eH
eGU51xK3QdrETWfom1HSKVCroNUZBfPFu4nM8y6h0AQ5Qu3pnmj29BwvJ5VgSUDRrNXwGAvX869a
JFiLVRllfsk/84qk/D4SFX5YVmK4dm9wB5aR9kL7dOkizmOdbs/p5WaiVs/ZFNTNKels2zdGEcoD
7S2Vn9TpCzHaBlszpZe6bxo3q4rcZZPJz2YW7kQFcTnNCv7GpEoYRvPC2tLEFQFfC0Zr6dd13LVP
ECOD0gWyNaWHKavFPyrLywukker2FaXu9olngN664xzIJYDQZH+bssVye3MibBhzY/xoIFeDPMG9
/oW1CzwxZZ7RPugSCwabTJdB5K7Q3Udkkc3YrfqeZwusDyV0YSt1ylG1kvZroXf9SaRh+bMPzRh+
nlVVlROOrfXCO8dTa8mwfoCtW5EjlWP0M7Xy5p/bS3K5zRWUpnl/cb0rptiKeY3IJiXBkFS0vEjy
DwhrldPFTbmTR1zUHiyAP4zXdUjmVAO2YgLFsIgctk3pSxQ4gnB6VEbbcgJRfLbwnYYXY9k76cFl
gdFaXzwGDxJe/zrx8nyn13IMbNjEhS/rWn8y8jG4n+USTSthhPe2GsDsS/HlgewdUH1p1OSFZq69
JO3yu9cfwfVNkrK+UTbROp9aNCrbIPcHe83OM3uo71d1b4hS4TI7uRkqD3JgLX/fXtRrH88FyEY3
CdmkDpvkGW/RKFx0LfdRjEmPSVXKz1z9QNlmk3jT2HXPcZRYP4MO8WXaqYojLhGLf/tHXIYaVaWQ
IGPSzk0MynG+ADZNCbkcLdwchag+Z8KMT2HcdQdzxB+zD+mrcqjlJw9J1I1ojqXmzvjXJ+GPH7DZ
AWVLJlMHau73Yipfa9z0XmGn44kKdctLYBo9hIZs0uwvMnfQSsmJbfV9ViprUnA+Cesk/XGLBLBM
zWAWuV/H/a8Q/4KPkHLanTv68gyrKtb1xlt1jz9vgnrXUt6mr2LdZSL60A40UClqLu5ur+f1USCv
va0oG+v8U6IwhcbTkN/QMiF7nZKrH5pg3rNMviwKMWOqRolNUICBsbzZNgIyY6NZNWlUklcORKXo
09TOnQeKID11egxLt0euogh4zhfQXUntpvQfC53AwzJJxnNR6eldOPepp6Vd8u6k4PzHbeagN6Iy
sZWW5bRoDlGzYn6VArP3bs/05QODUbBZp/nSpK6x1YKLolHUPURTv9Cq7IsQdfG4QOU9IN2z88q+
vBcZydCAX0DRBRH6fE2DCmuKXstyf16ggVtNIZwIIjzmXM3Pziz23gB7w23CkkSf+8TlwnByFrii
FIZnNGFwMoSVnOxAknYm8up4IDyaCehFMXrd0n+cvrYLxzoe8tyXhyD8kotS8aU2MqCemx1V6XLP
2+j6eJYgbeUaARM5H28McsMKZ8ZDbl16zMbQPNAYUrm21c6+umqM394oV8YTEBoYjKwKEG0TXYqi
laNxBlqK4mJxDQMbA0svfy3K0j6YS74n1vNW5T5PyUF3LFuVbRgZir5VopUQCEthgqY+d90ASS/9
t6ssN+y6I2KCL5Ich9jqkLzG6WMi1fdxYHlmXnqNkh6lMnwswfq8tE+OsVF4WVkd8ePxScW8KJP3
hPzWMLH9qQoXLq8HeQUfNksxBGAPQwWCqGWm7FiUH4R4AamvXCR6bS9vlD0Ju/XsX4xocN/KVHXB
FTeBywxxPaQ1PPWF3Iw+FMW1QhWnrtwmT6FRGPehuciUToz2cHsXXAnMQH6AbzBiDP3iiTaE5VJI
5ZT689jrnlRBbGvLqNtLqNZcZfN9Gh9GqyyHyeQvzje3hDwFUk1R6uMKaLkZgNbRLKL2ZaIT7m5s
lvheDczlV9YhkWYrvfwsD5N90rMm9SptsJ7jrNlzBbgSKDWYNysRAVCQ99P5T2oRwA/yJUl9s9Tl
EwYKZDj0s3gis/ZAzqtDEUngfxgCwGkzVJ0NFsVdvj7ttNgv5ISHb9jlpy61v717OYlXwKkkr2vp
Z7OPcrWWNatFhbKug9wrRd0cu9Taa0K/EjpgLoFA8KjHOGhbrWjlWZvzqkxwqmLnWINif+qTQfb6
IFj8oh6iz7e/6sr8YRjHgJxGNtBWWwlcfeA9KBLfDhXtHgBkOppxM9/TTVjuRP2rQ/Fl4B4yOM42
8++lMp9iBOL9KEe3T5RRQ8ONUOmLTLSd+/Nth20OhW0IBfSRnWHqF4vVKmXfD3ZMER6+oV1HmmsP
aenr1dB4TZq3d43cyHdLMUdHozY0PEOM4iQAEB+EFQWvEcqsh5mK2N/CRCLbkSb9n2YOB6+Ymthb
W/dcIwU/EJmUPBhphoplEQwv6aIGnh5MttvSVfxeWgS0OlNAt+OtJqgWrPP7x63Zy+hqtwvfNAF2
eMZA39Ws9+nO3XUZoAU1JcWABKKpqrl9Hii0ncbZQNdfWS/DsdQrA4q91fuTlpS+QaPqsSa9Pr53
F4I1cjuvXwUwtmVq01xDN3MWxT7VlvQYI25zqEv4OqY57Oz3K68PXj2kcf+L79OHeT6LmEBGcmSK
yO9pOPLRtdKOiujU+76sxWGM1Nity7p70UcQBNrFVNcIm2LnJGiMcb47wWcghAHCCO62LfVk4GlH
P3ke+w2Uo6NeZt2BbuRyZyXf5O4uhtEo7hJRBGyJzaf2NNmnmm1HfgY3jhQgpCeJfpLAk5ZgAqwN
xF0GQ+SxysviFNH69DLbxc8wqPTHZRxoa2ETP4gZh6Tbq33JeiIVY5kpPeiUnfmb8zVQwF6Eoarr
GkjBSYrHif7esKVHaFGduSim50IdukNOY4yXqYt5t1Sl7ixNvOBDD0Pq9s+5jEv8GkgfXJ7Edt42
579GRytTq0sj8sPW0H8E8ywfBx5DHl4Z+o68+WUuwqrzvdSjydcujrDecj0LJGR9me1NxZTGuKQH
uZpDGmqMQhNOF06FQwFkr9R2bd/zdlE125ShBVHbPP9Kte/iYRZ16quJLR2mif5RAqhG3WUY77ql
etRm6SnQg9xBcUD1rUg0n949z7xpLJkSp05o3tZUIY7jk6CGKVl4XR4EGN2dKOfeRfdQ3zlgV4KY
ykUDNVEF1ADcOP9YESeRMb/daqra3kuRYd3nQ9E5/Db6mPWhdvqufDcXBY4nJxo2qQpX8YI4ZKKQ
NScpV+msCsltJKXxACl3870r21U1V3iZOrEMIWL7bUVtYVqmJT4X3/NCK93LnFsyut5W6FZK2pVO
UnWjJwcKibwsxSejFbPXxxrdhUFYA3xa0iPQwYNSKdXX9y+xCcGNuhLQH5HtfN4jEWaGNS2Jv2Tz
c2pp9WNiDRVNfKX2Li2stYADu01/g6Bhh8pbdRQ6/7vKyPLEFzXNR46RY41halhc7gSHy3yMcUBY
UGR6I7luLl2SMWlRqoJUTKC0GmgGvbJx+0+iyi/Erb1ukmv7dkX6FDh73AxbbKVrVDnS4RL5vCCD
49Jq5MxxXTizltfHyERbaegzbeeeuLahICrwRIGKqlvbBxLaNXY9TjYpZ1HGRzoAw6Nhk92KQezh
pm+49OZKWt8EMjmnsjJfN1eSbNONM8oBG0RSPkWd4cRN90wC+hjo6mGIaNvT61NL82sSKI4YzI9o
J0Bgbp8tZCaKkKr72DxrwfTFrPb0z67dSqqtUdzi6kFaQt8cLNNMaUELkfrIKH26aayZrjGhSmEq
8egZeaofxwQJ6EVXyxOfGB76YBl8U+oN6DThXg1BEZyVi6niGQXbiWQZIOD8LNUtOVHacJaSYa4O
sWwoD1iW/sr6Kv0QtuPHMdFlDzY4wIAhWW5qdNM9fcfNQdRdiz8YwNjtw70OePGDdHmlk65MNG1z
uAt4H7I6EniSytRO0D1sp6jkml5JWT1VuQA9jmzjW6lGw928VP8haWJRKBzQeaKtrKLz+RhMs4zk
geWxx4rHPHp7bgmRayc3ufqRJhUKGNCCTpV1Vf5IsoOyIPulLdYn+Kr0hFj1V9maFY9qNAoIHHt3
tnBeS0Ytf25Lbc817u0rLiaZZybIqmGCkGw24ZTQ5mSXA69MNGAoLL72A6LmtXFCEcWtZOtQC7oI
WGCjt19EQQSy6+SFmuDnZqz8BW03jNU8dHOcXIFqEaf3qpXdd1r60MJJoenud5dWj2Y4PEJcdGs5
fZWr8V99rh5XvYpVh1XXw89hOX2Y5fBZKYQLR8aFNWM7RoYDg526i61+mKb0W16Xv9es1WzqI4/j
eyi7R55yT8LifMzdKZUCH/tep4aQMxbrC8k6pXV1HIV+lxiDW8XBwxTa9wZ0pbHrj32unnJJ+VAZ
Oc2v4W8pHR+iUTtIffSClILqMBhBEH25rnRHo/zeSeJusHQfhZ5TQFu2Y431SWrrT7f3/dX4iLLa
CjtDvbQ3+95Em7IeRw5iVICHxmKSj/jkxvwM2955nVx5GICErmw1yngCyOB8902xvfQ2XcZreLT8
iPYkJ+yzPZL/9VE0xqHEQCaxSQXr1E5goaHgWYR2fT+ykxxDUsv/cEPbFjSxt04CqHDn34JgT0YH
4Zj4Wq8sXoiujCflU3Z69+JwEFVuFIoKFL82M1ZNepoVgLg+PCkNplE1O1aK2HJa7SGy6/9pczIZ
CYQeSMdmSPX8e5DA0ejwJjLMhrU8DlKquXJaWidRpolH42m581a4skrkd5hI8CLmYSw2mQemxqDQ
Kl+WUYV/wBUteZ4NjFNvz9/1UYiTVKtXZHYT7ygi9LlMFunnfZM7Wa4bh3Dgzv0PoyDgjLD4mvhv
94JJljqu4h1+Ycz1gxHbg8d7L9+p+lw5qFDP6PgjdaLkupX158ZeVBH1id8nSnjUunz2MP6oDrpZ
7bmqvhWrLnYDL2v6DCEMs0Dnu2EY5BjJN1o6kpnw4IBn5LVrmXE73jVKFb30Ul4uhxj7iOYINazT
3YUi8Xjf4OGWOE0ULA+mJGu1wzkpY4+bNf3WRGr9OV3sv+nmXQ7S1Olfp9ioswOC/5D1itnOnpQZ
goNTV+aAMZleqbrDv9F9CuWxl5xIQdvJn2ba7J0C08HQRZOq+m3CRsUc0Kb1TA7RALnnxNfKa6A2
NiJKyMh9N5o46d2sycfOr/WhN52YZqvRRb3H8LMSfrEbNKX6Q+bdjjRQqeWnXBlU4Eyh/4aQok8o
AYEoFGaZvzT1fFQLekDddupj3EPB0z6MFnQMiIdq9rPqbHX9ffN0Z4QLP7WzdSQXWis3vmeVLH/s
jJKmLKvrmm9RrbR/LQsIrYtfXWV73Nnpd47Mif+y6JHn0bWDkDO9d+wKVXV3lZ/7IdJEfGx4Bumw
oMY0dYvBGBG9SM10cmbTKF+xwjTu+lxZfT2WXnlkzvrlvqmS8EudWvVpptz7ITei5tDPUQkWv6hP
9aj0RxlpoTvU6GPZDWN1sp2mUqhmmthRfhPtZAEuBFKUe7fPz5V3wQpeUSsBtId4u8l9pEYJEDHX
Yz/XKQ1XtvVPj+ujYzXJB7mp+vuytbSdROhaYCDxNgk9MByB6c43eBOJgnclNXWzyyVvaqXlEMXG
njPjtaDKKZItk6IfF9ImyPVhx3yCHvsjbz1yGVUf/KXSp6OqBPPTgqT18fZMXosRlFBtmE40uelb
ZFWWR3lsdT5LIHh+sLDrdrSSggxN6l9uj3RtzfAtlyFsre2LF13IA8ZhLbiqH6OacUT4zPooFTPl
9XxGYJaX3l+ZsQSH24Nem0+aYaDVUAMmfV1/1B/pa9arQxBXsJ2LESUU9udwEvlU+mUy/QZfk3c2
yZXZpEisw2nhjoKFvMlWm6A3lcJoeYUjD+PaqV56VRX/vdB+tPNh115nDAXIQ2UassMWM7bUpWnT
kge/YTX55wBPZV+2GsWrodK4sVabDlZemLqjn+aNeH4+NGrVHsKF5DMc5L1ulCuLe/Zr1on5Y56t
PKlNOQDLmKbRHcqyc/Vcy70hTGECp1J+sjXC3e21vTrZAu7OCvKSuG3G7DripNlw/ts+sw+aHlVe
X81Yo5ml2Ik3V7aRBnJtkRtSYiLqnH8eYR8RrK4g5V3S7A4aunwMk6RAuUxrD3JLjf72p11pFgGo
+WPAzXU6Wkk/qRCEfXOBp7cKaxwR2KZK2AS1pxft4IJxSqcyKYqjWqHY1mWmfaBtbifpuvL8o2AO
4YKSEvW1rRj6qNONmio8dNbmDm9oumoVrvqpovBySGwzP3Sthn58k0p3atXvHac3Z6NNVqFRqdep
vFKEoIvjfN6hPU1Fgk6ZT3NqCuhUHkrbQqKyfsSV4J/FxEZujo/oO38NxuQEH+WRBM5lO3hSV/2Y
lPK7qQanzMhfTHlwp6z/rPb2+1zZ30pvGu2DgGtrFRI+0PmPHGiNCusVIRqNNnObpLAPaV+OO7v9
yv1j6wrzQInTXlsjz0dJobzLhRSCkczW6PS9WvqplSo7AezKxlv7jAnP1tppzLk6HwbJJHrWY57N
jQSFeqyRRzXSLr3Llyk4gQebjzZ6Sh9LtNQOchPpB9VoZD9v439vn4DLE7cClTz6TGIjyMjmcI9B
385mUFP0i9TyMdXb8q6WhOrzJCx/1bUw7/5v462/548AJvdq2MhwPI7mnMyelsDkmpY0PNTRrFMG
aOqdTve3xvHzrY2UItUsSivUs0xjE1LU1UQaQEU70hUVfaxEtOhoFKQ0QQdWJ0xngWjbP7fVUH2G
pxFTy2718nMctKJzRBn04lgrZpE4pj03qKGWhXjoUOicvQVOZetVoTFaBwR0YZIs6P/nbiv0HMXy
NFA+BhXHxcnaeEpcOysT9dFq5rqmwNonoRP1jdx6bT+JX72tl52DrGeDyC5c5L/tIh1/0eCcf4/N
siPhhU9ROg12tYPXLe1yaiJNrY9Ju1ByL+TRylwt5dnrKJK0HOcpkz/S0inLDnTmzrrH8C3N7wK9
xKgxZqoeh7jLei80pJxXCkqVjpJpKKAZk43iiF6H+L6gkIyAUpVPRupNVKdep9TssZKc42+pLrXI
GqHLmblmIMnfZ7z8XicrrhHfw/MzewAymywPKH80h1ZB8tqQc8+wFwM20JBPT/z65HFoEIZFybVI
A0R8ZbHHtr3CHSRlXTmnBqRTi/N2vtnQs0PwbzFtFAzUUyp6Ia1KTjbauaVIXG2em0NazvMRxCBw
FMT4HH5XxaGP4xerDoZ7hDaX0EO/tEb0YY+N9lbg3mxNyBbgYuYqHEP15fznJVOjdnGNh1JrtrNT
h7ILu7F0RKF7ZWQqLnnwR/obNQCzUYKNlzp61fMFGvyFj8YMYzloHyqz+MTOPLz7mNLUDJqEvAY3
kr5GyT+OqVnVsxJwFx3NLnocF2HOToMuYxGX2jdF4vjeHu7i+iNXpcilIIpjqxSHNkl/2NVJFNVL
7GthMSLJJmPcHSXDk4VopjslIdyJoD3EqfJjqpY9C6uLnGodnE8EZwEev2DNLVMu+iFqY5+e/sjJ
RfjBGIuvSophWdVX/+ranhna1QGBfUmVdVDyre9XLC1WPVYDF9lQBT4add0nY6Z1xZ6ps2q1bjgo
X7274AKpH3CQW55JJkPfxMFCojcuGvhKuTfIYEZknItg3tvTF9fJOgo5DHeJgIC2LSTa6UTfANpn
fh0q1SnUZcq2qEoeonbuD2OApurtjbNek2dHaB2PQhVFa4r0yrbpFek4U8mien3Hmc9YRlQ+RSXr
KTCK2QH4Nd1BrfQVtthDbS7ShM3Am9BSIyg29SYPniSPZRQew+EYDAi63/68K9PJzUzaDXcf8teW
YzcZWjuo8QxhoSx6X1rwBO2WafUsm6enFLXbnem8TEtoViYTXCvOKy9hSwOTwlBSk6CO/KBS1Tuj
z8THKsR2BmHOwG+tuDp1uPX486AHD0poll4Qo3mb2In0+faXX5lfHfiTvJeODXDtTRpWTUktRUUY
kRDPvwtdhM+xrsin24O82dputs/ZKJtDgWiR3uALzudGTezQDYP6pNT+Q5WG7hyuDwcc5mTX0zEJ
ASQo8XlzOSeuCaLp2EHiRp3VHMDSNG9M5UNgrC1Uc3SYYxCHmBt9kuXXsU0+dDmgCYRHJ67NxoH+
8EBRxTi0XdfurOC1HQP1YMUSYXpwBs8Dd91XQ2CqaeQjLqY5SCW3h9SQv0BLGzwVpbGd4S6fx2wY
9FUMutYobyhbPHwycylZOoSIo6H+G29l1UtmTXxIaTn38kD/qIs5PcAZix4JwB2VoyA7zgZ9VoPQ
383xXX8L4m8rE4IQp29A3lV6tqTTP/TtSiQHSYwhKkHtglz9SPkjM7SjlS17BYIrEWhFANAcWMlr
dNecTzgvxjBXOjZq3HavRZion+2wzz8pcAQ+K5GG8UtPcdjJKjPY271X7hGGpuTCOQUh0je7l+LP
osxxHPmjWT6EyhI5aRDUsHgycGyTEmKH0VWRTd8nsydOBa+ZaZ6EUf+mnvF3rZN0rXYhWT78a0Qp
cG5GuicNv0A97kLbkr226Z9ooUAwu65/mXrZHvq86A5hJbm3z+GVw27woONm4lNW/PN8DhELN/TZ
Zg6nQu2OttnhA6sg1PAfRuHxyDpBqkCf73wUipxxTHdB6I88Iz12tEp/4WztnIiriwLnDUiIBgqO
xfkofZqmAIioH0GGWVzkCGQvSjPlhMBfR/BeXxJU0Ha2wtUJpG9jVZmA/7JF1lI5zu3BFLh4afbv
ulOUgx7G+U5OeFklIJHmlMN/oSi8YoXnn1Y2gZZYUA5QekiqF61Gc7pVFvkQFlF/LEJEgKmmpAfo
f9IXqao7F0FP+QB3M/4EOQ1xzWHSqHhr+suwdJoHGojBQYCk6UOCCrMzYZuUOVK2K1J3dXZgMyBY
QBX7QpcxSeI46CSZJent0UH6dSAiRf/+h91F3XWtk6+Rd3MYq7QMGqtmENloO18kuX4wmuJ9/unU
QFgCsmQ6LiAiUYrbjCLMLh3BtFjoBYGKYsYvp1+zgtvfcvlwYpiVKrOK/dAyuc1Q8z61tcDsiKSh
nHytx0U7ZTLoEiboSPBQo/Hgh9E6McJqXqrpFR0XE4YAVMoUJvzdOM2DU6YNbJai2JOjvZajULSX
GUU1LUSqNnOghgD1Id3nR+6S/hdsMuGENH65cr7U97LeJjykuVtoMtCc2choNezxtcd1bm+W1oE2
2QP4AU2ASDQBZG6r0AtOc0WP/e1xzvGCD+PpsQ4l626Rc+2oJyJ/KaoxdyM7+BdQKv830EISgGWY
Xiu9VF5vL9mVPY6cH5k9iMkqOLnmBX882HCNGJvWKiWsImbMjoxQcaKA1pr3jrLCqGTbUKhW0cfN
ZYd6Lh0WC8pPRqZOjtwlzSnK0j1BjcsQyijM5xpBOU/bzkJNno20UJbgCOFP9Zpqnu9ilPlcVY2n
OxV+iSsjHOzd/jRKfBfLybBAF9yp4Aro2ZxPYRvPotGnDsPkHjGpWHmsRF79BgvCR0TW0tGv4CXb
TmWXjXD7vM0+6gFWNE6T65PijPLCJVyZ8keIdvMrPDGJS1h+MRLb/hRivvNzKmHCHWxItqBAi5p/
jiKh/q6FMS9uZfaz4S5DLP/sMyWfvFqzZokqUpdrpwn15dixAWwzNwhStfcysSSfk2bOAroaY3vG
5CEKQscUcAa9VklwVIr1Mgy8AEMIGzMVtUngvmTh0zB38WOT98GPaZSiteBT/YrDfs6cNKGR0VHh
yr4OfaV9UcYp/xfDm+KvpArrGHlLWR+BJfWB7WzHvAuk+K9U62wUm8Pa8NpCZqiAMvfELjcmMjBz
rKCsYOXBl6XR78SqOQFl2sa/pNHG+Qf5Adwv1LL/aix4fQmaP74q5VItTiPYA34SqYU/qB12HxW8
1t+TpvQvRlzYEC91o7mb4Ve/5go4L6wjVXpUGi0ODgLyzl3UIzPt4E2Y/Ywka/xWVFr7mmnK4tSB
3L5aoEdupOePaZ9LCKpZPZLTuKdQcCnG4LMx1PoD0cX8nFEbfa2TJDjklItaryns+aEE9rbvOimJ
NSdFDk3yGqut5L8qM+0sRxvtOHZ5E2H9l1spTwX02qTWyaXAHo/0eYc/Ffw2aq9XlP45GaJ09hu9
kjT3f7IuQVwHgXdgcxP1dbPS7FcpNYpn3A30LxkqJbmD+mbwYart7mMI/yp0CiuFPa3kkkWBSE7D
L1ZmSK9jnOdfbx+R9XSfxztqVDSPA4chDnPRPhA2tjkFabIaLCMNGkQINPSlovpma3x5/0gwd9YO
VDQweNmfH0Uyi1ptwpzqOGIjD1Ub/dv1af0s442zk3pe+yYIYqqsk8TDTt/mNEkYRsMUMRJPg2Md
5s3DUgW62/bS99vfdMmEh16LMhmKN8RO0NnNUKlVWZbEBj1WYYtMk1jyz5IJ0k9sEHdcJLMXaS1I
PwRjLwrx2KNfaC+0vn3PZg35EfwAmRwYqGcT5MZKQKUbA/uYh8ZyzCYjd/TJno6lVnxR5/6BRunG
MTAYcPWg/VUkFsWN3i4fGqn7J7R/JtL40HXBj9gyHoxIGP/21RLetYmodnCCK+tCIYneQl6yuL1t
J2vCvUiTS/ZaJ7WD30TW31mb9wf6owPn9rpcuW00cF1oWnSGAL1tXsxWGEDcEtiGB7qBr2GuA/f1
pulRyJZRgsjE5GgwQd6/7wB/VrWqVU8Lvtr5Dg+DeEwYhtI0llvfh06ZnVBNxjv+XeM/TCVdTtSP
OLhIPm8Ok6l0mh0VDGWnEX5xcRo5EIZq9CS7PQfkq3ucrJT9bdFjQ/Pp+WfZOu6haHnYx6EZocmU
QW4eMA1ocVRSbUw29OE0cvkeJF0ZvNqqCjy3d6/yde62exwJHd54aN+qlM7Of4QRxuFMpcI+LomS
HSkaApBHk3XEtE14aOI2n2vsz5CBK/ZW9erIwCrIPRFQ2LvnI+tyHiVSRtm8o7n7UBRN7WhRbd1L
A9KqaTyGX+YyaQ5qqqs7i3yZ/0GkM2k90cHxwPM2I1shcipNSA9uD8v9MFf4jGuzvac2de1UKiTf
LK7JbtqyhMcamCYuJvtYSEHstYkR/KLb6xF2nbkDiF/9nvWxQxEQ2sWW56aRBNVZiu2MFhv1M6gh
JjxxvEc2WmflYqfAvde5ZBRKjeuv+CNr1mFM4JG3MEqBlNPQiPYo8Kx6kqukeSqovO7EmjXEb8dT
V91ymDnU5i660Jskwt6L+ZOKqH6xZ0RvwgrLxbIc8EFcBtUbOpE7ohXRS9GMezj/tVBHNOWdwF5R
9S3LAEe1LJJzhg+EOZ5w4rI/qIkpOb2KLAt4F81gcjx9ux1fr52JPwbdSkyNlRLAdGPQFlTyd2sE
yYMw8/hIH17+OttaQ09zo3mSaXy+PfDVr6USCi+T1iBe5eeL2xnT0sBLYnHBzxANaUrPEll2J3d1
485dVH5Cguv37TGvVJQpwazqKyuWxEticw57Q08CpJw4IUr0q8x4v/A8j/4eNENyezEPR4RSlgY7
Kk09mklY3GOVifWb1ObHoNOJ0XPewmmUZsAT85suNfWHVu+MZ3VBoCBnixxp1jXuas2G/wM+fAS+
V08ZxTVomWirIgdX8J+K/ndT5OHH2193dfuu2gLwK6HnbBnpWAmXUTkyo3ohpa0jw7d66FubRB6n
hN9xho5qqoTRg2yGwlHsoNmTW7kSf6jucrloFFwpQ20ie9QsJq8trpcO748nWY6zp3iy+qfG1HJ3
EUX5JOtD/mh1pu20SNc7dVSPH7CXq3DaTWUPW8fslPeTdTciLebM/RAcspwu6nSudXeQYVR2izU+
qBLOqiOSWwHinXeobKEjueTGU5wp4QF9C/mLbmHf11at6WGFOB1kXGM8HJlxPeC3uAYuaQ9IDKKa
pgig5SleQLgPvQBE0VD4AkDVoq72LYy5njRU/78rSvg+A6e1VsRNTNvnqltO4WubRMt9Vktyw57S
u3x4wn7PPshxtGdydeV4r1LvIFQoXoNnbjZ89P+YO48muY01Xf8VhdYDDby5MToLoApdbcgmm07i
BsFDUXAJ7/Hr75M9R3NZ6JrCoVZ3oxCjyU4gkeYzrymsNNLdhoDSUpxjXMyInWKLd4jxbPRT3E0P
OEoVYcVlEl5fjZdiWYlbQfeT05vEZHN6V6k2TiPTQE6VFbd1YjTjPUR1fQhce1YjVDjr5bOwMu22
jtkQepKjyyZm/EnVaF4CcB/m72XaDu/6GheEAMkn9cFVkwrLZqPrkGBOtfQ2wXnohxlNfBkK3aRQ
JkKe+rZRkS+5qwhFzlmpGSclFn3g6HMNPBvXoVU3h4NtGcjNkVCEOCPtgQgv7SIDRC/3nazybbGo
MVgPzMcrgrQCiO2iR6bf1504WVq0cwTLL7C576hJM5ZUnAbMa5wfwSnOrMjg8aJaOsZhip1dEKux
unOrvqSsMZ8E7zIAsoAOPzepvrvGsc5Li25tifDaaUpDrUvdFmdIHNTpwBmOCNIxG991bRu/7Txr
vZsikYpTqoiU9gfYTnKgaulzv5+99N31RfqMfH0xBR7SHRBFKN1udWkrfLqyyBFeOPX2oVG8z3MG
0lAdimMZW6e6yu/HSrz2ImoksflUTOo/83F9VS/FXdzWePNOx6lOA0st340UxuveCHJnPiladdSR
MlY8aPUxC2bA/hgOT+vrSMvszO+Fi5Sin4QNQNakHrdJIFJhDzkUBzckQQLpOoBPKerBDDrTetC8
vj9gN+wdd+ZNLo3tvNHYB69ArkwgvzlXsF7Nh3W13XBxhu59lGbWowdsoqToPee8btN7Pg7Z7T8h
ruu/gbieWr8bvC9KS0nKb8Z0ecTENvsagW1sD+Y8v8qozhd+YqUZTpcaApcLSqmfRG5h5tZWaKgG
SxTpv+VRpu2xeS9cnMwgrRNUFYE6bfOCeUDDPikXN+y9L0IU6z3St8VtWYMoc0eUmls1t30MkDEy
jWE+XJ/KCz1aqc1kAdcBUQuheHNrikiLnBo+SZjRD8ZGtbnXou5Gydr3auzS+tbKUBnEu9LTnhJb
+ROHxns97fakeC+uIofWEfnR8/V9fhZoyCHHOWC0cI2919qUyPr9yn1ZpvHRw/jRd6Jv11/80ukD
2p50SEaBwJnOR5wGgdYTeXFYaxMaRHhmBlXCEXR9lGfkzHalcsLhwQC9GCazfPHvTp8qVVFyGbje
+nj5DGnXDcsCx1V8lBEEzQv8lnOa4TUNlds5L9sTiOMh8LTE+uBivn5YU8e8sbW4uVlX2bhNy+lE
Kzt5WFBsvEeM0AhFTfl2xoDzNaruP96wlKLqEhMkQSZ4C50/foe5ddnVhhs2o57f0+LTQ1WfOj+J
9fbGWzPlVawo886RcvHTECPDeIZhBsLlfFDq4SvKLKsbUpnBvRozesCWjbUTIVzadhQqYUvRriTL
089Hsde2bo1ockOhuVUIa8mmLDp5YbNW2QfLSrsHbNi8+6Ic3XetaMTO8JeqIRRBpMAMygSSPHw+
ftSOjSfwEQ7zJUNqhXCMWDJPbyuQEUEfJd47R6QTUcC0+qojrQjtQd95iIszLWFfIPm4HbfQOqVO
gV6NVD/cxNR8bJDNU4/kxuH6Jrg+iqduthpWoc5M5dwNFaPtHgbcVg+jp/R/513Ay2kAzIDtu5v5
pGqzUGDpWKragNXAoDmH2EXE5W+8C1gW9I4IaYGynX81YeVGYQ4jazNNYg5k+12JGuLOoXxpaQLC
gy8Iz0lqoJ8Portlj2Qwp+GclPqjcNf09eoRiCmLm52w5kYzBLv4APqVfvRAm+2846U8lV4XT4CC
H9zSLcs/coy8MlFbZmskDjpTWbvC884HzA0a1/3c2172m2nkc+VjqqSufqpaGHbmgKnNOzLO3POx
7qljXHbK6M9hpObme0o1ugeARg69jtJCeVRbeI+4qfDkNloPpq+dmWIM8sapH1d84uLAGPgvtuSN
7KQ4XvHE8Rk/GZ7odrxyL6UpxNr0jYnBQPZv7kBQGUk9NoIYpoIeDsTdInrgVoCiOZ0ycupjbwxW
MKvO8u76crp070mSMB1FziAYFudfOtf1xqahzi20xsmbFjuIQ2Pnv2lt+84d3CfMR/dAkTa/cXsh
fT/iZgGbwgXgonIPoaV8oI3yVTj6eoL5FazTquzsyUvBN94bYMCk9yap2GYlN+2QDvnALSsmpfyt
aKu58Wt0vY9Nh1ZFQuTxsGIlfyoX5WNi997dhDrlYTbcPBjc4Q/Q9T9sEAi5nGtdsvtASoAnPp/x
1sOMVqEJEsaovp3K0hzv/o2s48J3PRtl897rmLRxLA/WBVGCG9TEzRBVQJuuYte9yeMlfVTUv5FP
ocHmgmCiqEXabZy/GWt3Ujx5zBrY75IIrEtgy+LG9RX7UsCLCURHB5sVeXEyiefD2PgSahVQRYpL
+vjWGryEeKVoDnOiJccu1tyPbdYv4dJF7aEzF+OuMkrzC/3H8VGzInGX5IoSrAOwi+sPduHQJBGQ
qFCyZ5Wi4vlzoRZr9mOFQk2y2q3PIdlJz0kypUG1giIvaJ4ZihaOlvHJVdvxw/XRX4rIeEg6yTlB
IgFGvrqZloJEZKWZEYWkjGMbeFk8vUoia6yDFP4GEn34Gx5yt4uftEZqp0hSf+KniuLcr31j4fQI
Zth3SxKUg0LX+IgZk0jCrEqF3AvsLj93hbnz2BdOPsi05MaSFAowcnP+OLNuKdkkK06ePr1ahqG4
a5Rm+OiJBHmREb0Uh8JXqHaRvcO9uRAU0I6gVwxVHcjItreaqxqFswFRBGpHwx9aNg9BNq7uDvv+
wijPEEh2uiOVb63zReFlIhvt1XVCbcGr1ffc2uh8y6wL//rnf7nfoZsCtJQ8PU65bTlZFU5rVN3o
hFHniYOq5MlTkrVZYJmzczOT9viFF+VPPzyobLaALgIKI0Ex5y/HcqzrXMO6xIz0rvFX11veVJ72
KbL19qGq1/Jr68z2TnBw4UinbAgJUxYs0BXbtnnwNEqpPyVOiHh2fEfBtXtaLGoLbqwZaKtSL220
OnrdemBO5tn2XiMfUoeVTROzc+lem0794wkDZTK2PrVMCXXdYoKSwY1itzPsUHiROBl5M9zgcNsc
r0/3y5uTUeC5oscHrgua3fl018JMUrzL7BDHO3FqiScOKIkcUNSbSVKqPRHZveE2S7czvK5nVdkh
LCA76NS6PXojCF7VGaKDno4/HqWz/Un26KhJR+zn7/5dppoKpcWpfbHD2ajbm7mnBytqZdpZPi8P
HEaRATpnNGaP2y5T29kGlg6dHdqRnh+MqJvfjkZsAMFTGA9L5AcHxEGwpvMeuVDO13ngQ6ERLDa3
PkVhGt7nn0/EtVeIpbZDENBKsIgOOTxTNLdp7ox7rYiXQ/F6wDmYUIhD28pmLZDHIYC0wrSa9FsY
edGtOudNtnPoXHgjKQCETQbde2K6TShDzaCIIV1ZoUiU+D5PM/00AiMKq8apdk7rC0PBqqVRI5GM
sLA2l6s5JIhNlAm87lSpkM5bmwDnEe9QV+teKejiUFLYTnqVAc/afKekS9KunTwzLK20CpUJCdx4
0qcbDR7hzmK8cGrjCWaruF5IQMAWjk0jDZP41TRDXLDh2eYR4o9JbL1W1zT/pLWaekPJbt35ahc6
E0wju8CEUQ0JakuZVzWSJtypDXRsSYKbCWm7uXYPkXDMu1HkLTqYo/k0xfrXzDPSd7kBjBAvmDSc
V8+7SXJLu1vREjnYwuzD2M1FWHet6veIGT040fTx+ql3YY6ei2TEy7jHIXR2vm3ISCKSwJVeQ2G6
HHacDWFggkQ7tUWUnK4PduHMI++k/czcSJy0XBvfnUH06DwX+Scz7HDDvif0sG6URRnROcQAZVGK
6YdR/4RZwHvIdpHmBGF5Pt4k6oktDCI3WoFtthos58It0p23urCin9lKGDpLWYrt5nGyMWtqkTKK
vZhPtieWYyzWHrl/jvPrEygfeHPIkchCUKd5BAR8C1PFkVyURuZQFVxa7THyuhhRgnQv1L4A9sdf
jlMcEW6a2bS0z+etKZzZQrJVDzErVu4Uz42eujyu6UqhY5L7qalUR7ep51vcx+ZvRdUuYTmb822L
PsQjLRrr3rNph1ppU62I7giBPoWW472SJv7gJGsXAIq031giWcIfnSCaw5QzZc2XzedsDrLeaKre
rl09zC2K7KKOvrpuG/+dQaSUC2KghowIz6dHa9ZiQERZD/HzHoHIVd1nO27K99df5eVmwSaZNA9t
KYpE9N3PRzGLOM8QI6C0jMKeTx8mCda+J00ARoFKdLrL/3t5d58PqJ8PqEyQvLPZdhC7UPq7RbQV
tcuk+DZVeXqXPCRw/bRhDEjPHKReBjKxdE5CZKGm3wucrmCDO95T11XN0UmpcZJDljddjcDe9Xl5
ud14THDosnxMQ2Xb8DPStQG05zjhkuZN0AwEgvWkDj5YAGPnQ1+gGzAW2gEUcTmvuErOpwTfIg8M
F/bbaYwUItSz9qBVlRYoTTaHUVlTKUe++1atq+6AUtNyGHNTCeyyKXfOmJcbnwfB3EBWcknottQ+
0yNDg/HhhDiSjacpQlveWLy94tGFojXDwCSgHQBh5gVGKS5X0UW0r+k6xND9ISud4igZ/MZtyK6s
GvWXBclGgQvZfQ0aGoVITdv5vpdeVbpqyn4jOLotLqvKEtIeev5hEjsmnqtJFRjqYP7wSUqgL0HG
wBdILbYtRrV2tUoaMoVpPzmHaJmWU1Y65fH6Wr20pWhKE8LJkWBQna8fdWhnWDS6pLQ5gABdbT5p
q/NtShySbl2D8TTlxZ1ODLAT+lzaJFLmXJZ4pXaPfLDvblokZftINCaTuNbOfd9Z0bGLBFbhWrk3
1KVzitOJ0BuIKeIkxvlQeCoYSr3wvaZhLg9jRkdL09IMV+WeS90yfzyReU7RaBGBoJUEnPPxNJSu
O2WenNDWl+pWH1LhizFxd0KHi2/F+S53vTyAN281aosE7s9UFkrHDeia1KThaXlKi+mDMTfizfWF
8kwRO7/ZeSvZiKNUQ/i43eApdb8EfCA7D1DTsSqbOYi8QQeDvEShHhvx7WqMtJCoRABeTec7HW9I
SB+1OBUzerwEiv1BU3vzVs0MVCOKURx6Jf0DJqL+ik6eBuTXqk5ar9V3fT7+vgroFZ4GNmGMiuGx
LB3jCOkh9tECiQ8aUuyHXgOHEmdRCdJ/TW6uv/Cl+aWKRnAmqT7qti9tNINRLysVFaUVeihEHoWU
HRgPTgDtR0Pbw5TKD7adYI416a1JHwCp//Nlk9MAVKPEtcOlr0p09gcvcJjHQ4KnRhDHRu130GNO
aO7ap4n4K4R5gjHA1CaPqTm5p2YYDV+J1yW0Vgx1xGBOwaLCJBm7QvPR0h9fDZj+PMTcj/RN3O7O
i9z55NrjdBhWCfac4uXWWb02AAKmVr6HmvCpbiP8kXH2MDpUa+3K9RnFtasZ263MutEXI7uvZrQF
/qPW2j5O29YJ8wICZa2s3Z3IuPdWmoyfrn+cS8fW93O1Wfy11iSsMRpEnac3ftsXxkert7THJsqM
oEGR/gZ5OSvwAE0F10e+cPiD50JIziPlpYggl81359YcV57ZOSnH8mg1D8OMtromuu50fZQLpyPo
OK509EzlGbkJrUDJzrkNuzkcRY/to7DqU2pUD7M1dzvHyMv0Cjuu70barLqiMJA6FzHHSBxbgaGX
E5YYgLSVFciRo2CZ26pK+3cmEe4EMbAMUrfOJgp8jr7pMm4dq5xvSq9W6Blke3jmS5NINZ72mGwA
WdtCYdIkcW3WFArzdkChRlVK9NIm/a5XrD3M3MWhOC0kgAYs79boOFHaNLY04RBs5s2h8fR3sH2z
U1eBUri+Mi60P0h5vhtKLtDvFmBViAHMrm2Him05rzwnqcMuqvIHEw5WOHtR/VmpxJ+ZO/e+PTbJ
XeoS6w1l6/iNUNv7obS/CgD/OzHR//JY9D/QibtA3enH0kv7omBfGKWq3jgappmHxa10/ZhWqu27
cL+QpUin5bEuVrP1I6vp7t3JrLtDgwPGyV4qoGfoHDW/5b067xVPL6SMVN9lkxN4MF5SW9EgBK74
+COfyExspCeSsK7m+9VzPmve+pgooKpUjQTGhPmWZG+MYT6NevJqkojnIU/fLLVya2vlx8rqg8VQ
X3eOEkwrArTXP+/L44Voj8IdFw9sGMTBzr9uR/ux1ytrDRHUj25ReRsCFR3AnUX08m6To5ChS59h
kkTZyvpuDbmRag2Ika2h1SUN2YB4FeXRa23s7MBRoXr+6DtxG1GyBoQEr+VFBaceotSCqKSHg240
IWRCAYm1Uz5cH+U57N7cnzL9gOFORETlYfNSFImctROUx11FiUAGDNNy71nxeOzTHuUv/KjCQu/q
U4zziV+v1XTC3q45EBeL4zIb01HBMuCYF0t2UoQwX3tDtj7Ykw32nev1mNmr9uk/oGNooOAt7Npr
TK/V0pmO4FpMH8bUHrLxAjSOJUu1H30wiSDeyvAta7PETm7aodTY+7rUXeWjrzMeMtVE2z2a+0Ax
Rv1G0Yv1TeKVgC69lOJHUVgnGvu7vPuXa5PHoUglme0wvbY+HPjvzkuWeXaYSGxL1xaoGOmxeWNF
ZuFnYkXw11XSoJD6hKqwv7VjOUI8F7lPZD/6U6sOYQuNdWd5ye/64rtTTAFKTt7JhXm+mD0FVI8g
WAi7JHogJCrf2XncvOtHxIxrVf1mp059KqD8hsaKQuX1VXdpTsjSaO+h0wVTZ3NR69OYZ3YW2SGp
4nLQ0nnFrCjd84d+uV/hq6EESr2IaBRVxvNXHLRo6ih+02ircOe1omF6KBfxwYSnccx678eRTAyH
Sxx4TIf8bAtRkFSNIW0dOxySyDlGs5EeGh0l7etTd6GRxzB4VpjUosk8t6JfRZcYmjLRYCrzfPCR
URIBJfdPq954h4X//zwtSG60rXVnxBW60+4rV7EOyTB/vP4gL2cXi3lkJpFCgqGGsOv57LZ6p9mx
mPRwXsTvJKt6YCkQoGNPuEDSyn5nvb6MFRgOzhjfk7I/CmvnwzXWaNJLLfXQXBVl8CkgDf4oiuRe
tyvzhxtB52Ntlyd3KqqPOYXASJ0fbHv8w9GR0/wb8+dSRSAqJpjciouIKsqt1gaZuSxwVN3BU4/G
UldHp+3JSZ1lrzJyaQItyNdyEgHumzKk/e72wpJ3kYBhLZyduvcr9OoeCSPLY2dp8/H6q10aigKe
SoGEmjbdh/OhSrVAUQJtL+AJpXocUiBkau9iveZE+c5Ql1ahLV+LQwSq5Lb9ia4vBHJcIUg1TfPR
qOr6Dpnf+hgDA7yP6rLZWYZyVZ8fm9zFFEVgqEhy5hbjx3G95Ela8WqrSklwoqx3TLF+JePri2Ok
NsVBgZV4mIW3twNeHpoMrdMjgIlL/LH1oQRwnupdLLQQo/v2psLBxC8xuNmZ0MujsJ+ROUJ9b1v2
WXtlaTQ31XDz1cygH6gwoX2w5292aYXQAyUVRHYIcttmhdRDWyNfymeTrgCwvJYV684aExmzaXde
6NIKAZTDzUviBGJls5mR0tZgljVaqGad8LN4tg9tMuiHmMzf7yER76SGF+IP4MEatmrIeFlITsl3
/26jSZTeOinIXAutT98oLoJBphpbfo4nw7FgASW+gZ74wfYi/aQ26npr6k0TtKXTBdFUlzsr9uX7
8zjkPsjISFG3besk6khTaWqrIZUk+7hU7gCKL8fUDdroEbrVlx/d++fDba6FUq20kSMI38POhQKl
Nmk4cV+GsIzfXx/p5Uol3mfjS8UY4rLtgdahpFAUJSNJvY8br4mmo9DKZsd65uVKpZXIzUO9lQwS
Ztr513S7EondylsRm+vKW0LyOCyBf95SettrMT8j5M8PF5BoyA+hHwssiBbU+Vhe2RQx2aYaDkMX
GcGkztHntdQt49BMKP/4o9JF+WES0UpUhqv6fQbQtA7jtkqGO/7KFB+rTk+UGyXK6xFhQqV9u8yu
8ftoZkYTrJWzHhI8+143yTSUGKisYIF7u29RqS1Tt3vSleGrlY31B7zCMs2P6mH9lK1RO/l9O0CJ
TEZFp0ORTUI8Ju5EHlBoWaOh/6swLXkL9HV2qg+qmDT4bsZkfra6gTN4lv2Ww49+fpt8HigKdQPJ
XN8cIbg60TO1RzWcu6K/aedUJUdNkt+vj3JBNoszV9Yz6VhQFNmqHyQEp1DR0JCPZoW+bzolr8ty
bRHQQxUhe7DqRcngOZRWdsDKrIFi6o79Gy8bDGqukbE8pIo13edD1D/2ax7BDARntZeYyjPsfOGw
bih5ycYKdk9b8MUK6Um0tdZTUZ7RlrfrJKD/4aI5PLnrfJgrU1l9S9Fd9aYZBXadUeQB6e2EbU3U
QSazP3jgQu8piURfrK5NC2mO1Yvb2o6M4uR4PTFC1jcG2Ia0O1qdg0yo0dTpFxrFo3cTpxYDJIjI
rn5n4BwJJcuFmFmBvSp9kplS84Eg1E1gdlV0MnqqgDCfdf01NJ/1IXU650k1ZxzI1KYvu0Pk4Bjm
o1aWlAFqk8NR0xErCbTI8mY/q9QRdteodw9LVosgg68KU7jIyy+dVWLu2qmK9ntKgPIqrXBcOS3F
QvUGhXn96KL9XgEZAakeRBl6xH6XtOZ8EK41jA+GV3RkXEaCXkpCO5JKMGX56wvqZQABEocADNQC
iCZzC22c1DzV5zJfQmO2y3vJaT0YU1K8bnsFQEvhJZDBu/LRzuc94dmX5yUjg8+ggkji8IJpgVsq
bWCP1nxrqeNJB5Z6MNxy3FmLF0YhazRwV+Hmc1CtOD/DCDJNZcookvRDNiElu2J9YM72DwNEMa2Q
e1+yLwn8NqeyZjUOwnz9GsZVn97bYMSC1C7cv/Eu34+yCR3yBqq40bYr5KJmOBTNUoWeAZ/r+op4
ecPwLoA+iBWYMBQkzmdscvNJQfmKGcvLxq/a1PDNvFyDmBNuJ3l8thzcHBQA6cAKcmYa5G2bunUj
WmNsFh1chzlQXEjmQnxqyaraO6HoKyeCIpqHblbj8l7JW1jTiTHhMxOrS6X4maG49rFfzf5LXSfj
g+eaSXRjRkvzwaPunQRtrcB9qyEFouXVeIrvteuAaV9V6q/7CM7sYWy0bK+KfGFHsdpkJUEaL4B3
O5+/PMcgaqE6Gi5u7t4tUx/TxukksVbVy6B0O+WoFAsV+SRxfvgOkqg6BgZjRRCzJWKJcspwxMn4
dLGpHkQGPZ4Ssvp3RpGIQQl2c0kVz18wBtfrpIu7hCRC1FmtYjooRrSXXryMEyUxgHztL2TK+Sit
2haQGE0oAIuRfFytsb8BpyhuKgSAgsJDeO76sr/AsaTCR6NGVjHAC24D02m1RTvQiw0LkM/3otfH
KtDS9VNsRAhvs7n9uSYa9hbN+ghbynuDi3x944CV9A13LJ/acu1u1SoesQLDu0EZVeTf0gpM06Q3
J7NtiMDr7A+zV5MP0IfKnSPo5XzJ04fTlAoIsIVtJ9nuamdQG3MOW1Obwqkt84dkSe13kTXrGPsO
9k5gfQG0IjtbcA4RpkT5wdycEwQ3Y4Syy4zmkweCO0vjuzTportZVz/Ys5GFiJRAIEHz8ETOUQRa
ZQ6v0tr4cP27XXoOGjYy6Jadeqqa5wulWaLMVud+ArBa1r8B2xKQg+j+vanquP1TUSjKABKYivJo
NNPyttSc1sEPzvlSmlOxJ1Xx8vAkt5Nab4SBkgu5CZlnkVosjWc1b3qKRusMDxZCc4diEfoP3wbA
hShpcGtLRLm1uXOcLME0SjDUOE7x53FRhkMHfGcn37g0vVSvqQcRG0hu+WZ68cHy7NEWU0iB+z2i
OlEgRrq1y4pgzCwe1t66m53JDBR9vLX67J+UG/aAcBdSWFJFkirSKmJrQNHnn1hfLGcUS8KyztFQ
slhJeCzq8aMwjcantlfRBPCMcC6HIuinpbuLMrwcqjTugyIdzZ2TQi7s80uLp6FiRXeH7gtp9fnT
5DWlj1GxxrBIbeOp7ur1MA1VvMMmvLCS0HhHTU32PKnWb64RrXGhR3SMojR6gxB/3L3rV3vIfFUx
up03etF1kZRFWWyTkqSkrttazjRBCSeebqCzFQ1eo16RfhK1sfxp62lCxBy3a+XbSCgPhKz1gFo+
/jN6UQzmEe5zRi7XVLkJcC9eC3+IjeljW46acoebYNailCBKIliYLG8rV62eHBR+/hBjhb1TiSFu
NqosGZy/7L1kaXsVy9eiBsfxJNsdgHPPv5Ral4qJbhgmNoDNjmSd7u8z0sxfh9LAhq9P3LcissRn
V8njW7OanFdmrdQ+Ms40j1JkrmtzbO/bwtEXP8tVj5fSnBPwWxDSCZzy6wfZdlnJh6UMSoUGuJEE
DJw/bFvXih3NQxNOZukEybo6RC3TuhPdba8JRmEtIWJC0Rr5qG3TPnJaKRCQNSGgMViiAzmOSOrK
j9LlcwmQ5Po7veCzyeGo70IsA4MvUXDnL0Uw5vaJRDUhX/zViu0+XBtCE01T6jujncXJXa0OTGVj
vDXnxDypKqamXpEpp85q/pm1E7epHndHr4Ln0c2Fc1/M6q03KMveOXdh+nW6yhLTi443/f/zJxWg
lJORaDSsEjt57SxN+mCIxHur93Z7qykVzaHeiFqMKNrqCTrm8pQ5lSz6L0BUMjOr9WDtKuPt6pl7
quiXHo0DmHoZ2QVlmM2BUy7YoVt10YQzLu2w+IwkzKt4z9bhwmYh/GEUeAXUl7YFDKdRcYSJanyo
l1a8Rp29e4XN1BgMaWm9qqPSfoUMbX5M0NXdyUFf4EFZJTgJ4KIE3hww+JZ5FRU64ntYnYTCKj4W
duX5saGiw9Lm6vBuxiHsddTBfzW76Pc6txFnzudp5/tvj1t0JKnZqy6FdChFVFjOPz8ezpY+OcYY
jisu5Glrd3dNS+kKJY09dfGLQ8lGlVQsksDr86GQQFXS3kVmbc3db12+GLdLlX6yi3qPB/FiXuVL
2SQDJFdkBEjDno+EVHhV1E4xhk2ED6ma4Mrj5Lnxzl7a+NjkKLXMqOYdokm073O1XI+m8cNcAp6B
pFhGZh6hvLG9WuyY2dZGbwhXF9CFkRY9l0W/d3hemFOZersm1VcVn+TNnGbW6sGbjAaYrmUOjrKL
AjKk4b4g+T9cP9MuDQUnC6dn4EjgOzaTmnSg8ZzKHoCeCE4yMxZ3VbU0d/O0p4W33ZFy6oCEsi8o
lkOS3qzJ1TLmKYnptyeOWgaxQptlcK381OKa7Rur0T1h3tuHgIT2TDJf+IbJodGTotLMVUHbbPOS
+LUZ7VS3Qxiny4BnmKH5Vj3Aqffi1teStaRQm5TNuy6Rybe63tgDwLNBa+v7JfHqU6ST3LLdrNAw
ihx7Q3N930RltpP0XPoWpLkUXhHIp7knf/59b4MWRpSAJw3VCUSCjUL9TRvX4xGssLXz2beHMIgJ
rgC+AzUrqTa2yXoJ5ZcBb/km9PpaDRaTgGiYor0L81n54/vgkmEs6mLUTSXcDV7u+RtR8AQfEVey
ij7nybFqvfpzBLB8hbedaXf015syyHPLi38vF73VfGrZWYqmpjFFyODaxiFp8qVAJc/Ij6pI9Jtp
irXet5oBJkk9QmH3i0qMENWosc/AQ3Fd8ZXCKRW4t136qbcisqIMof83VUahmfJ6b4G1ytq0C4Rd
un/wO9Rvljn0H2rTiONDNnZjSVsVDpzPauKg6RT142D1PWFFZiWATc1ZyY560VpF6EUW4h1uqQ1v
rVHDWldX51HzFS2t7htlbcOuLKyg4Ss8FEOHYSC9gjgLUmh1tV+wHR57c8TU4/qm3oZFTDuCqfLu
l8zOl8e/l5mTmVl1KKpxPqhGXt9Mno8PU62lzs5Y8izafGLCL8r3JOsAqezNJ0YjZAGaXdQhENf2
UHh6dEDGNwdaQ4u6dpTogObn3u3+rP91PioUNRvvVVkhIu7bBBFDDcUTaHfKG3YK8NDUFPmhsFtp
PD6u3qPVCG+gKThlYH0jfozCYat+tZwEL+l1gZeS2kv0GRGedToudrq8boa8sm7Mqu+S0NRRuI3a
yM5pTIm1Ps5o5i+3ttemTwtE3dFXEljcx7TpI90v8XY4Rl6CVppBfj4HSmbM+AiR/OkH2rRw7J2i
j2FFEzEOoTPFaY5QhKaiPs/6z33Mweb1OLmpsdy2+bx8Vc1ipLdkV7emtLVcVKywGMYc3itsapzk
19GruBcsWCbXV85z//RsYj0CM3YJAnxcsUSQ5zu2bHq1UOoup97B58yUjL5pMQzrm3St8wJSSZX7
utoaJXsoT/pT39dGT8WsVz6vAlmqW3Udq2/GsKbg2yiV+kNRoNO0JJnj+FEzDk8D0OFHVRubo9et
XX80tcjWblC8Yp6K0cgn2NzSvmEql6p4c/31XuTeHEMsFmkFYwAA5AOcv16SDEafD20a9vhhQ04a
zWE9mIbSvIkWT3Hwiky9OsiVhHtCwJprD+NceyKoZ8hjx8o1NSrVUfXfIeN/fp3/T/yNk0UscVV2
//gv/vy1qheAt0m/+eM/HsdvbT+033569aXufgqH8o8vfVqV/yV/yf/8o/Nf8Y9X6de26qo/++3f
OvtHjPSvJzl86b+c/eFYAjRc3g7f2uXpGzlp/zwAzyz/5r/7w5++Pf+W90v97defv1YDQkz8tpiH
//lfP7r949ef5RXzn9//+n/97PWXgn92qIq0TL9StfvvX/bXv/j2pet//VmxtV8khJmSJrwjGdNy
4k3f/voRXTlXhePlUGHlqvn5pxIx2+TXnzXrFxukGJVX1jH0L8kPgST7rx9R1QJhAoKGVcjR9fNf
z3b2uf7f5/uJcssb/Gn67tefn2V0v981yGlKdV8Z80v46nMA8t3NralTlvSp1hz0vlBRUXdVPJ1N
XfEjRczAD1l1q+/UyMT4plhKD7KG6A7Ih6JwmRdO7U+96n7Ly+zOpPTVBMKr30A60m+GDoCU7xV6
+acOcWDwPQo2tW/NTusedG/C+bJwuvvUBlgSJFlsPrTuNDxk7rh8qisdLazEHIuPKH/pH2iAD/gi
5uud16TzfTTXFTyFum3ToIGke5yT9TVtzmYIn7/kD63u/3Wlnq3uf3MP/P+4urn29ld3+dPTt3r4
p0i/nq1z/u1f69z9BZcVFiornGIotiH/s84d/Rc2AKE6pUNEIZ+3wF/r3PsFk1KpCwClDP0Iycv7
a507v1BAl/BjoKgc5xREf2Cds2s2tz19XfYTNGpKp9SgtvIqtUJ/ezEEAOOecvF9hiPzEsIentcw
z0X2XqcNOh1ds8Nxa426bAw7p28bH8KpuO80tdIPBvWp6q6zxMJf9NTxZtDm/v+yd17LcSNZt36V
eQEokPC4hWHRG5GUKN0gSEmETXj/9OdDdUtDFnvEX+fqmImZiO4OiUQVkMjce+1laFKHJH1c8a3X
g7Wo9O+1jGoZ5OzPpMrWxnBfZkjJfaJc4E5ofQwxoGrStjzBmreyAiRezn1aChJ/VKJhF3/sdaR0
aekYcH2x8JR+aS+EyuRW5+QXZSG7mDH3RJXgDjbJlGlmLKSEVQwBfLnk+mWu9eYngWan9sWAAJ7A
mFlhDLd2dh1GlT3+cAfTBpxXyvmuVVNbHueUwDPGlZYxwgKRQ0ycUMdcXnET9Slx3eh7VibFQMRB
rxnBqE39LZyzwrooRVe7fq5Ww8Xk0l6eZv0KTAe92uk9vDGl5MBYoU93gJtE7sbdwggiJpnhqIdP
Ji/ZjbHM7NwhvpUZE89joRbDTpC2hO9cObTXo7nGUzD1a/YomJDjamrx07h9lHMXclKiz9WtSNHg
xeCnGVRzPyRfk75UrxRSOmtKDqeiEjAcOV5OCzquXZdO7edOmmNH3V1ijRIq6Drc4wYl6p3mzrnh
j6krz9Gv4/wdpbO8iHAveJxsJ7uyc9N+whzP6BBdLDnbZTWg5RJxtnkuDksGGu72n+rGzR1frx2V
emoGVAqSSNGfVnuOcc6Zs/U+ds1p8iY7mlVPWFirHTVNUgkvw7cl9RcYOyOTU61mmK2jSb7JbARY
Xjeuo7lblarRTw1mPxpxpBNWGhUkN/KCTNF9VLICqJXZaHRRm2NPJVe39g+nqNficissPvYjM+Dz
zBhJf6wJT8qD1YD36btE/sjAkTNkpiKybXlW0YBNJ6XSto0/amiBA4V3ow+6fq5jv8AFlcmmaPrU
pyrC5ENtlkQJBmlS09b4mUY7LAaNC8OSWe/HPcbNPiGspr6bcSOSJB8tFcGJVTd87FAcDFDb7emb
kBMeGZYCVcGLVcZb52XvNl8yrSfuDMJyNPtuj2rYs7XWMX0FE+WTweg6zR+sSbWD1tJHgZyxxGgZ
jSr8Z/K0q9toIsbda9DY464fb0aFC2Z5zpfBVCInFKDJJadTrnzuuzYpvM6clU9tOk5TkErb/ORM
k/rZHScZEWullTZPXJoGr1bUhvQmNsPHufnmMvxiypepHHhlli4N78D4ZJf5eK3MM7X1MjJGRZgj
5XMrq5H6MtfoG4nzELdTL38sUdsOu9lal802h2R5b3RRrJBRZkDLMFvpF8XM5DUnkf5bP4IV+lOx
Oud1TMQEPocNr42NUv8uGXLzEhxpmTyO7UYEdLryyN4kathPA8aHHYO5E1nwbQPR91sYej8PMqjq
nHE90G9dBZrZMs9RRJ/XzHodA/9Go0Wf4RpFG7P9rN0SVnNhX7TqKLCotk1EL+7MpMovx3SevRVS
qn6mkQ4dNFJVv0ktGh7L1rDW0JwSt/AcA4Iu2X3rIHYzU4p7I8vKztdKU9yaLML60tpMBHHdN4fP
qgXY4sU9hCy/1ZZZ9Qum43WQjixdGukk0/iFE9BIyiMQgRnH8ROKduNC7XOT8nzQyIVvxxxeCIRP
tfGcSqniI2PEsfLIGfT8PW3Q21NHh3aFv9SWlKPT4byu2i097tfV7KcwWmsRRlrkeoLI4XcwkTcA
I6xA1PvosBAvc7YdguZaqyYDFuhTONNB9ARttorlqz0vAw1QdpFkautbpD1/nfLEPBNr6QyB0a/1
X/XSq2bgZTW5fZuXxSTuNygcSKUhHRd1+CH9JumY7DaW3oRWJcWpM2TjF7POuvsmLQ0Ki19lyN+F
7MtLbW3y60thWYaYhyEvtv8gxq9vLFakruiKtA6LaoCGDLJB8lAuJp4ywJAjzlv6aDdIpNZgQqLy
P7/DfU8N/1shHvY/myr316PZ2qtX/c9uePz+g5tc/3hZGW4/87MyFJR/CDQtCN1AwnQ0vypDmiOe
IpLSzUyAmecmgvpZGVofgCVB5elxgF35sX9XhuYHdGnIBwwIa9SVWGP+QWXIB3u1kCAsYAex4Ykb
sR0R3+uFZFHzuIs+DgFIyeeo1VbYiX0aTDPFQUIf9OLe/MOy/Yd+iwE+5pDwWxD/UzC/vhxVS1Qh
IekDEnYtD8TZ6UOK4OlrDBfpdJ26ZvJSEMbZM2PCZKphqTcRgS5O1HztVc8SqYrRpD1oX1oN47q0
jJSPpPksMQfxYtxoJXtcAIKDzySWPurOJOpyh0EErJeocTTYv+kpuYTlaVFo2l1iyrr2597F13LU
SDGX6smyrHPnW2bUDwETf4bR1pLEnlyXGiguGvObKUkIINTdMbv5/e3ZT0Jevtbb0wD7Y5HQQvBQ
DlAOBR0egYnb7XGL5mvZyvremixThJai6r7WwGDxrHm0Kw415Sv/ZqCnN4qo9xSKBGrkLAGcWvHT
Ku2ZnEc7t7ISEmsV32cwnH03T4FPMVFqF28tV+inZpND383GQXqUViIUeBt+78Yxy6Bbu9bp1GTL
SdFkZuP1pXU8q70pKUEz50xN0T9Oi66cE+nEXAXSdePZk1aU3ipFfKPHSf6QIbpaoxQ45vd36o3v
GHeKPgvmPmRnNLiHQdrr2ha1AGkP1HkF2R0LJgNO3EtMCxxn9BaR1eeIgpWdoNXuxWB66xCHfSJV
X0uFdlaKeb7tJ3Xz5GLxjN2AZjdXPym5jHeSAKe/dsr/eDa8IbDwgbeMP96wTasFU+j1ykduMGH0
UvSArFHm8aGj43F2H9I2mj3bYPpMTlzq6bOaBGXKOEWurrnDQG18x/xue8MOltjGYkFZzT9AZA6W
WF+Y1FVm3AebvVJI8af7NDHvUQDf4HX7r4vBHtse/SS+OK+/bpY1jVPkWR/kMXzNzmznwJlbERR0
Dn7X6/MxhmlWyHzLYYYUR6d5l6GVq6zYF0VUvXf3325zxKFvZsmbAhZvmoOPY8qotOE4d0FB5sO5
VhX1SaxXmPskWxcSJZO8UfXI1MJS9vUjRN1T+HXaGRGR5ZWtkXI9Omt5lPHbE28ay+hiGtrmTx38
oKizO+JZCecVIdYhhDv3DSU9ma3BOllaULjpxSrK056q/nRw4Mn32v/G8X1V/yhv+/bHjx788hCO
/H8E5AFgebG9vDnDjx/TPn15fO///t/nty0+YEFACbuBjUg6f53etgFCA9jDObb5nWM+8ev01tQP
wJrw4jQYnLwJ2+r/ies4H5DnANODOLtQtaGi/MHpfVgGcmAzGoXr7SB+5R98upeDx9VpdfxQEjss
Yd9xclZptUtzxz2pltSIyNl0qwt7HJUfc5f3V9bcMsx4caf+4UTfrvByO/nrE1DfU3+jJTtkGmpZ
kyMja8nDKqscRbau+0ZSCoIfo3eGrIcb13alzQgQbrG2bQsHJa/ZtEok1ckKpQCvVesV+S5o0Dvf
5+0d5TqM4XCNxXX8TSRC4hRAXYNBbueYq1dttUCfbaqN5pLRUBi41xT9cUMbfWnNg/l5nCstPfr9
LX0zmKMO25Q7ULCg26Amfv1QXbts7CzTjHBpmy6src66wBbJRTzZSVpjs2SYE72nPScm7c2ThHDM
YWrjGMTzdA8GSGSHRpuphxnCfcpir0rSRD1RjEKHKZFotRu6s2jjk74VE6CF24ABwFYBAXHrvLqK
EWrc16s6LUR5F+Z5WVsF4U+j1Tzmae+i+qlikhMyGuqzRqwtWTHZmi8chCi5PFdfZ8wGkmjdsorK
2PX4pAL9ElEed6pTyXmXQiC2vdYmifo7nFOwdqdWSgRIYoruEz3NHnhY2Ue70I0nJ2/y8WjhROiP
ZSaMwreY5H6MFzf9CgRlWje9mRTy3sjnAh8Rc2myY4z0rS+xuUTGpV64yXCfG0vBWDGDIeOUudB8
sW+/VSLmPtv7plzMhltfRkOh3caWTdu+bB38um/mgQho7GneafKrfcNfbr2/1WTim77hAeoeGqj2
MEG0hwyIAe7xm95DCYYY7QtnDzCYNredLKOEzIyBITiVrlMUABIsCv2o3AMVIHeAFuMewND2YIas
piYJ+g3jKFvQrdDaQx/00JJ0MpuT2BgWQomKaDAvnQ0xicmHoD1Hiul684ap2JNMAazIqfgm96AL
BxcADOXTRs0U2U7dAzSAF4A1Fi/KsMOD9IcCZeV23cM645zB0tI2tKdxUyPxYhIEUqbu4EElwBCT
fSCiIoOSTTC5SZVtbChShNO9vyqdOG6VacQ0gI7kpujt5NztLPehjcfkx4Qai/hIRXWJU3JW/aHQ
x2ZHtlu/sw3FOZP5Yo9nmeIaXxrA72utQQXtpZ1mnJaDiyDLBpW8mGfcPr11Fe7NCFOxDayU4a0n
oPUexXmVAgdpdhfi7dZY/lSqxuqPICyXs0gGVFtyLkXg0oGnnqkpyac6H5ObusgLJUyN2h2wE3Ss
1C8Qm4YOEojsk2T0DYYbp1TmpwTQg7DXUBHL09nIovXczedMBrUm3Y+p7TaDnyiwEP2qy9cdAIcy
+trimKgdInKcSUFT1jXoksqqjo2piJ+YQVmYCLpFVntaVOO03Y+94TVulX2r7WobA/cr+tYNF618
TVqKfpXpUx/5S8l0MMznrrrM8FOa/VRG60fw3OqLA6L9Le6r1PTmRoluyPV1rpI8sy1PkIty3ww2
azybRPfDrpzy2k1VQ/UZk2U3Syr6OMwitWgx+ZZZd+SYivnJUFT5tUXv9Qz8rDieS5rE146K+EnE
mPWwuYiEcn4qLaQ3Ri7VY7pUM7oai3aB7+vCMvEJ3hww2S+qWXjs5YXjqyrUJ+LNct4TYWfutTWa
SR9oY0ljKyM990WJj5AHbllJv0tR36h9puee5dAfBPmw5eJZjaLikqZR3XnwfIR2lKpVbQTaxMhl
g8XXL41iKQkmC335aMbVXHpa0lcZSVjDbLGRKZsX8qhB4B0yp9WCFJ5kEkRDuwharg75D87kRXyl
113W+XousQGwnHqSu2HU6wSPRBVpKMhsoe7Wem4Lr+fdWelomqSDJ1MmbANqqrG5jM78OA+tYgd5
ZddqqDIYhHlu66gOqRtiyHVZq0/BPE5qcoqhX2769ZTpJaC5Uz46sSGvV1Zvwnw/0XR0AtV6ZS1K
KfC8HKNv7lBnxhGv2/CliBX1rlGAJHkjEOp6M/SZzGtVbcpAlmoRB8yBWwfkctFJCm3b3A3wGTHv
ZJX19nFZ6VkblJYzVqfT0LMy57y17geQgsyr1dKRJEJ1uXiH+HtY9uN+RNu1AQ2kGZD9c4BuOLBo
sqEszJAYCPOm6G4qxJKn2VrUHw2be/X7g/ufrga3EEM3jMXhyh1UKLgArZXVZWaYFpVyPeGkg3Ot
4hyNemEAQvY/fn+5Ny5Um6s0ey4eWRAaKFUOrtci9WnZQoxwXOPhJnHSMkFhOtizr7bkFHhmVuqt
PyUZk71MIS73XusdeD3g5n0WMlToiqAxrHoJMFADJB7Kjqwg3BcjXxnLZbrQ3ZgJXVMo3eIzZEv7
H1gUJe8Rkd7Ct9BDN8Y/BhJUxagMXhc8wnKGtKdvD7FZUmLEsIh5n4xk7DiI1ty1zqiVZu2kySS9
EaOTrkX3oSnmEdNw62896H+H3i8IGqBML5bam37o9FE+HlA69j/xsyOyPmDRjIwB1hgijT1s+Ten
w2YMjhqPkC9sqWFTvOiJhPOB1hbMAQopAMgeB/3ZE9kfACK27grsHLQAZ5Q/6ImwtT2sZKGUCFjN
zM0Ro6GIfb2etD7vB5dk3qNVqA2jtEnbFNkGs5OJXYLKsyrrDZNwxccKMtfAPKpsCBXNlXHxCnVp
et9Qx1n3peyI90A3bczekKwR0+fEPu9VU5cQ5qxsDWedCdRgFcqxnRYD3KphXO5L110jbALgOvpL
N+af696OyxBbkdMkSuTHpcj02m9621o8K3aKzJ/MYjaAGA1K1YLEXg6VxiYtcsUmJ/KwA9Q/ETCj
bsimoZ8XkVY9NAVwZFdHFh9Q06Mrp6jKkSDg0QDSsgY32zVmJ667SZXucaLL+ZNFFG/F4dqjaG2g
tEtfNpOhUBRRKnkUTZcVvs8z420x/4iFC10lbeR8L2DFHM8iL6SvriI/4T/B+9joxWdiLrUne5th
e2jD0sdBs3BFaLQ8Fr4Zm1oa9oM2Z6FYB/UThHPjM0I8LOknXusnO22aM2OaTDtM4X3Wvlpj4uv1
mEhmmIg6yh0RS5gtphUhYjThBqPYbMEdfB0SHk4H/fihtjsOO7i+BgCfpnaa14gowkusF1UME1co
X905g9gZYdJtEJ88OmGro7qrkP2XnoQC/6BJPfkWgUc7XmXV0ZU2VSL1ImitsFhXt/8q6Gp1Znma
w9oB41vPxynPHpD9uj6cQmcMUpFnFGtVb85M45T0a2sodQ6f1ewMP6Xj/DE2A3wijDvwlhjTNjvq
OjN9GLUIwzgrZnyvkC5leXOkTeWR0ecSM1zFnSJ/jJI2OYqG0bixOn2Wu6RPplNjMVD0coF1fs8C
7U1Hz0xpEw+CKCCUgR76+u3Jqs5S+b3pkaklZZjyECluyXDvOarfOTDfNtuQ8jdFALki7BuHLX2B
m3HcUqsd1WZzrdhrBhtkwl3TbJWwS9ztXErH85p/vRaZOv2FhP53p3+502+Twf88vbp4bHvoe81A
6fFv/h6Okf8eX6kfwAO2yRWwCywlk6Ln3wQ+gDEqD7JGQKFwA/kFgAnjw4bNwzeCEg/UzHHzc683
PrDV80ebs/tez/kne/3ePe4l/AR/j2MGhjpEKY6dw4iIohvUKqsSLI7xkE48SKTRcbaUhI9ZzHHu
5JgQQo/HKZolHZeXeJg+W2tn/JBWEj3Win2MtHssA63OXOkZs9Z8FrqyK9u6uh7zWbk1+s45X0Et
7tLNK8aesmI3aBNgTF6XX7HjV++qKR1+dLV5E8d2Y3n4eY7BXI7NWYbn51Unzeg0UUzEv1Vr6562
dMal01YR1GK3R/kyOuI7qYnmAy9Ie72MOlU+A6jbuNYwZpp7aSbemur9baaUGmOxuniGXeSyhS+i
h1GM1c8nQXf7nWR4tvGJt/QG3tGAdqnuC0+bDYNWr9D10atMR3pFP5rVkT52zklRiSWM9Hh9sKwI
8j5HyEUF/vA1ko2NS8E0g+C4eN4Oiw1tJ4dhfVK5ufYddnq8a3L3KBvU6zqaxL1FsO53wgr6T7pC
n+npsaoe21rp+vNa0wUVtV16FOPNCXSOQvWg2BunzpgQlrHMw+QlSb5x736t5H9AJjeY7PXSoDTZ
Vi38TmYdhw6TZb4KAySpDEyLbJ+UIeuJuihOsL/KH20i/z9A6JrKoOjX7X9TMl7DRO6rf31Mv1Uv
d5L9T/0chJsfNktjWjFkpRu8+mInsT8Ac8K/1dlK/p6R/xyEUzbuU9Bs/BBMzmCOo59bif2B996k
RcT3ECUMmq4/KBv3JJGX64WeDaYl0yF4mFhHHHrSl+kYj3hVyLCKsG6t12EKjE7aqacRXewN8P+C
Birz6aLZt4463KZ6Xoa1niWMklfVw1o1pQgEN0h6h4lkpjjnVpE84Zo4nCZJQ6lQEkc+5DM5iaN7
FTPdP22KpQ9f3Pd/WPaH6PEmBsMOT6U4h3bzRsQ41YZII5FKmCFR6yvL0AUySq9RSncEeYzoojMx
vTPWPywZqBWYXDFdgwLLAFtsjfELFnVsKkpfAtuGUa2Sg+YWz5pdfnVVLDl+/+UO3+nDCx1g1IM7
r6kTgaZRKH9ts1j6jnTv/vwafBsa6m110RC8/jI9uT0lnPA4VGqwKaL3YP31bf3OY9o3IS+XG1+F
ug8RCaA70KJ58FWspFartZZK0GJyGUAmPauk+xl34507tA9jO9y3nUAn2YujbBU30pmvf/89t4fy
5gNsHm4A/kyxDoOsrWoUbp2lSuDm1XlRTfkFA8bGy8deBAyT/lhdu//CKMkE2zHd46E2MjUhr61l
FMFhbBYfCvBTAg/R62Jn9YgLuypdhuCtadyYQ/bM3OD2918XtcHbL4yZ8zbb0QUlzaH/pl7OirGC
goUoRU6pOC8LZdVCw8qe46Feb3LLvEnzqdzJsdYZNBRPhp49I+A5rwnX9RJZk2myYMdbqWtypCMz
ux4MTONS80ba8txRrMs1y59Vzndc4/KgWpgtLBOB8tVAWp7IKQSk2yXXuYB8ydDw+1jAdG3Vje4a
odjWc90jf/sWp46veWTddY5xg435jaNyZcOGwqFPTDLM7Mmm7fGatYX9wNXAb0tv+xiIvKAHlvbd
VFW6V8/ixhjipwjYBa6i+sVZMtcbtz8yc828VfF8Di2tIF42cdpjq5s1hAhcCke/GrgHXiyY0Xpj
tJUTpB2/GtneObl8N6jyyr++mZYZFwtCsjODKG36GiUPS5KVTlW7yS/SvHvImQrqDC/m9aJcpT/N
kxMoFYNs7GwvG30C5zetL4rdlZ97up1g6TvXrwR3TiH/3DfzUecbde5Oi6rMQwjxZBX2JUXTpZnh
t5F31XpR5IN7tJjOnbU1w+zh64WDZYJvJ0mNTxpZc2VajgEnz6Uwy60Ec6m7FBt6pq3fII56Qvz8
CRtRLXDt7iGSSRFK5kieSMvlfnuukV2eg2I6XkGK7dXgRmGR2cIfaqeDsiDVYMTeKzSSFo8qgnPh
RHOT97dxNkBJM6dxggS28L0d61qoYj8XLHrlYvNZurslwXXNSe1LNyncndkuy65Z6EXrJH1CG5mB
EWN9q0Lv92J30sJOSdajqdPX46oyb4goNeEpsxTmdTbPJm5DYuH61OZcKVvd5SKKYZgQA54HJt26
DxQOqbvkiGua4tmZ6gc0sif7zw5HpdzhQn5SyhVK9bw+TqP2DLn8rplJPUWlUnnqypckCuDZWmKk
A/Gk+XG3uD5V+vgDT9ueQcfSHOdjcSMtptFONWPar/O5c1BsZJfdw5qVamBmVk7bjHFdUUxdIDru
k5uk8ZGelcuOapJVU/YPGC6xFMz0WYmNclct7UM/23k4OxZYi8IUjCq69EqCh/zOTWv0N+LGFZgg
wFymp84afjoqz7eXRgXS3E0DfwlkhmAxXvdhs7TbSm48JA0UPglGvESl4NQs82dz5CUrVvmECv8y
mcSFFk1XjereoarLPEYl+UWDJCJc2bd3KaG1CHGNGzSLrt90sxM4joUnopjCskC72ZfupVj0myLj
RdKs+El3uTEksHKNqH0wCesDMnhQFO7UYqefwTWGQJ14YAK02tfcRLnLkD5eJHay4IQGudsct1fU
Xr+N2Ff5s+PcqeuaB5FU7lBezthZOHeYXT/3XfFUxryymIXedYlQwm3z7Xs7D5qufcikdtOmNS+t
xstBfp3uER3DEKyNQsYzs99rkxk0lVJ6usGWsdrtfFqn/Xw6S5IetyGSt8Zqz9DFSC71flgj34h5
nHbHozE7PqSqKNmFyuTVmwryZce6eDJ7BmOmTMZNoRDjLsOwqx0r+U2uyUluOKnv1rzxXdY+tHby
NOrDQyvbB5iY3HujQk9i4TaZ2KwTJ+FzV07yXKTNerR/T5XavpMFenBmMLDLF+Jv2qqtjmtn5K2I
Te7byCJxRuVuXnIWl+KeunlRHznVkn/EoaX4hIx/yX01ypYdQbw/UHbngTbruKYZ/FSkajdFjkKZ
IzN6BPOnM9vKvsjdtsZmFue6XaGFzKUpdqTdNCG2gNOV6HmWgPXztaOzCTI0y0Mm4jpyUWbeU8vS
jpq+w+dFasoxAThOULTK4zLHybXuSI1U6ao6HjQ2/NysHiy6P14baFjnBmmJxK6s2kexphD9R+JA
z0Z7YafVc0Uik1dI4YH+zE+KQTmWBh9ZWMOyi9WFD7GM7PRSv0HKzr44k3wH6T23wM2y7nNbJMlV
rpRFaLbmo+uKHHmsJATO7RCzJbr6QJdpnnVzUx9FjVp/EYoz75wyWi4UHE3MQM2Spy5W8o+pqjyK
Jh9SZDvb88vUQoKUrkqoTUILx6kxvjPMxklJ6KOfx7wsxGzwhsMiC+dFwwRTEApvN6P6QC/+NOP9
hBESrnYVK1jnwIZlxkRpbB/2xyJ16w2pRvC6GFL5nbqdi0i4z+RWbEjHvNRX1mFp8xrUbBg6+GCg
SbM9M0Sv+F03XTEqTb+SUOUE+z0iT61LtavLW6XMnmIiF0/rmGFlv9FA2OK3M6W4w1SIiahlx8G2
H8+Io3yGyc9DrV3X+nDRVvY3Iym+lHZ+li8ME9eVKqFDQu9VpaSrHlXNb1NeOI0t7mhIab4rQhCI
mMyhCJIqcTY3an6+zDaNSuS0QaUCE/PSnWj5eJt1ozzSCnUI+tmcr7WJM6Sbuvm0rNnWqSgf8Lfk
awKXclHexyJv1q9D6iIUTZ7SmPuXt+lzDVjqi2Z7abcCY18ulKJ9WKz8qcm4m07aQSBkovcOKrgB
jK8L082TGkAQ0xADA7ytjnvRTeiSVq+c1yQsHPYqy1buJq7Eppk9T2mLv01qg6QirX7nunsN3KsL
Y6RFpgvZ8ZCuaQM3uPLFhYHdu6ETsRLY9niVpHbQ98mpbow3UV6gFxNwWYkoVj21LQLqkQurVz4J
u3nIjGRn5yVwssF5vho6JVueMYRrwhIjpaxdb2MAY1LLNOEnXXcS9SjanV7x9Ej5TLd7a9YtrBgH
Lf5sghbF96IbvmdacSxiG1IEy3osoue6RUaUyPSU/E3KtGKcLwndzU/lwrtcRmzcjF5Opq12n0DU
vW3NmRl8lpJdJ9MXJZQFO2TX51cL4eXEIaScmxDMqRphG/rp1K3+RJ6vJ+scNXy96uGgaO9Y3Lxp
UPeUXcBEemwEG4dK7qq2oTSljhIQ6aSEhBVQpAnrZLXj56xm9+Rgff596b/33jt4sIjiEYcAQLCk
DsnC2qATERUVSlBud4qHY5zgq7be6Ikbh123fhkcm/Eip4osjN0YOZdbOamtbOgSXrjf9zQAAh6z
v9VM6kQJtD3llmJg0fOnOeEolewhY+mcLGSqkEbVnlRa8dzU7YNOWgzjDPqaTL+ZSQT23A49UZrW
VEEc+1qSFuHYw103KB23clPB1K6UFOGdytuZahwSMEgWL2FuS9VG07Kv6UZME/xVc+7w8rybFM6n
PG+VYzHxtJm8X9Yrf5NG6mHORHdXuZqeet208cHjTfMWcYz/dTLSc8UTB8O0qAp5zcmS8xFbiDtT
zcYqOYvhyqMVdBdlK+zgp/KlEZvlcFTFjZ4SsmSRAEzxHJ3GeOD8ZUH3RxDbXSX5/2/pqf8zpfLu
R7UJ17vDX7V9ml9q/f8zhPd7k8P/DLndPqJp/9f58C19fAW5beZnPyE3wHtiVLeYJGq7DVl7Cd4j
eqcXRyzGXmdtcNdPyM34QH8MpUDFkB6kfhNp/ITc9A/kmgCmsjcz7mJY/yeQ21s1iLYN/CFm7L1A
gI9eb7jtQm5njRV/kC76EQrE1A27WaHZqRKk7rP5TaJPuIVD158Xop1MwPWu2OVLdQacW/7A5dKo
GPXZ2GniS214hF+vj70TJ+f9NJXnq6VmsKSqpumhQyXDlTa357p0jetc0dxHBJLpdbzAc1LSVPgx
BLTmoiMD2GscqlMsuy3kmUIu6pFkMlyGvdmMn1anBCZQB2rDIpLHcx8H+93qj5b7/2wt/9+rumdu
9GILf4Mm3w1t3v3rsfz+Lx8iQtX966Qr+K/u1TrffsVPRoL4gFcOq3XD05hFbrSDn4wE7QPLywKI
RuqAheW2xv5e55r4gFkKRFuI3TBo9sllf69z/oglCX2btnozhsBc+A+g5cOCBi6tSSoK9AZC0zdT
i9fLfCH1PUp6uhxtyvtPi0RHKoBotsx7JO59+jy2Wf1JFxUv+q/94B+g4ENYdn9d3nCcWSFOb1YZ
r+qZdbHLqcZG8og7pwVjp7cfM2p0P1XLYXwHAt5Q0ZdH7HYtrDRQPoLvq7A4Xl+LWzmM47ignHbi
HFSWTr4jFO6vd+M/qmi2T3x4FWZ4HM4UERjLHDCeus6wpSW4ClwSGfadnI7sSOTHNGDl6YRv97lS
RaFm7Npukie/v5uHdQvfEII0/u140IBeHlpWmtMQrw6GMUczyXGhneDYoawXlYpyXWtTEbY1g7bf
X/IfHiAbLUIQgic5Dbax7MuCVDcjQC4VOfoUNakflarO7c1W32zM5B12/T/cWSxkN6tXvpwFhe31
pVw3qdtJUWhvuzq91lDlB+5apifYZOVn8L++mrl6hltgcVz00B5+/z33sr+D57px2LZvie8oisTX
V7eULufaJt3MWDl+UtvrDhqOjq1Q4hzLSbSBrmFE6pTLcJRmK81APyqBcCa0Q3BDEB/7iZqa79yT
f7r9QMWQMljXGtre159qFWbSgeSB7BkkB1vNWvhwhkgfTqnq//wOMMXaRmP43dCxH7w/osmmtDDS
5Ajf5uqsGiPzKamc4iuDZPOebncMXGvyazUrT4b8XEFN7usD0appMzdH69iDX4vo3eyVvd/kwYPB
105gBse4nnilg62LqVEd992mMpz1ISWf2ZberBLFGaS1KypOysK5ozYVl7h3ke1RT0viSxg4l26l
T6eTNimfB2vmpxZRJEGH8t2Py7JGgzWQ8VXqNnREGQdd6xjnaaw8yRxqD4EltC/KnBbHmTWZtyDV
rnhnw3rrLcj2QcjYpnwFYWHdv366uY3DKhoQJWwp34/McR3ObDeT9MSVirQ+qhL1eY4q0kYXvAsC
3eg354Vl1DxcFWqkCBTKFziLYCdZj7X7GbKYtQRNHCdJKPTlPQnbmxgcyrgtPAxREaeYRRn2+vPO
mGcuxFtFAI7/i73zSo5by9b0VHoCUMCbV5j0SZM0Mi8IysF7swHM6I6jJ9YfVKU6JKUS+3THjWhz
H06USlQSmciNZX8TVn7fpiDQqxIVMsYVxTFFO+PS5bFSEXzL4bzAVbtJ1UGMbjqHUuYqTQhxU9d6
jfePDAt2Hx04N5HzF73qwKeY0CSWERCI7upqETdJI8e3GDaDDJCqyTomcWbc0DDmlyQ3wHeXiDLK
dg+0ude3YJPVAxsv45KYoT15Sjcxs1DQZBDwTB8ysHoPKSDAL72OkpoytG9BiX7NP0AOZRI1klK0
8PqrZ1UbjdGIND0Ez5CMD3k9y1tEzYw38s/vr4JdFErzLJBeZ7kaa5RQcmQkDiOb8Zc6f6tq034j
Gv5aLqzoST7LSlaE27+GpWdjCLRNkqUx0FFUhNkzKF+sD62qFchfl1TKIwOBoRatN7el+kaK+82V
WQZRDMDQJgfYr/a4adc7c6J2TjAaWopbDQPQGFcYd247OAvWA9IS8SPWXdYbn/g34nVrjOF4U0Gg
gf0asdnGZiLFqeYEWiVrFSxYO3zUxrZ7UrsUQW+nNSQ8lWQJyRSBfbjMXmpXMX5G6zNV61W52apP
cSbPX9MuPDWC2aS6epq6WYmmbKim0nGMLe1+kaK6cM2yjC9SVhZfAG5ij1c76c00ZOH2zzH915T6
j8AJvV/BkEt+9T1OtdbMiJI6QVw740YXtnPH1vECE48Ab03DBnT3FQPKeOtI01v2H7+/pTxwgMRl
3BRXtMXzU5SBJZV0cOBBldXDtm/12AulsvUAWlrbNGvG61wqKree2bpJaUWGVYxss+SydoNKyRw0
pf2YWXjfTrCyfIQVoSnLFmT8SjcRABQ4FbVC9Wu5/hYhQuIORfuEIEV41auIjPz5Tv6yLF+phatS
MXEalKBFOf7iw0TTpIzxaFlBE6nWZSGcuKHuJMe46BEVXQe83qo1uU/6UPdzo3H2U9FWN2HbRY//
C28FIXHkr1f8MxaxL9/KVAKlSrKKZ6TNWhLy0D6Nw4K1izZ0e3tRpGsrBg7S6KhKsl4ZXYhIJ0Vr
+8sbb2SNaC9TMxMbgh1msGjO/nK8HL5NNmcxb6RpT8ge7FFakffI0CcnKjTMXoBuI4UYneZO0nfQ
TZytkla5Xyeq8cbz+5uT/sNrEjV3nIWZ7L28J7GmsnSisAsapMcf4P3bZ5Mn9dhhPAfjOrJQYFCe
8PSej6x6mzesBX8TlFdpd6IlPRwAnlc1SoUfETJhXB3D8vAcdo690QpMwX/c7/9qy58BP6lxnx3C
X9ryh7v/9pi0UVL+th9fX/tz7qS/W22bAJWgVbyeUb6yn6BRA2q0gfCjBWsFmbw1bv2cO9nvACwx
k2IgZEMEWCugn3Mn6x1yjyD5ViVodZWt/Tv9+OsDAxIFfNRqh73qZsPUeXlcJcR7RAQdE+TLuFGT
eTvbYfDsxvxPtN6vL/HqiUCVEeV6wSVwEzirNfTVmlXG6Nz9+TJrEH8eA/5xGXC2pE0meeqro99D
Uo56GbO0EGeUSi9OSID7qDI/StXwRm3wA8T1+lrIOQDWBjzDOGENAs/KEseA5y0vc+jb43iMlR7U
wbpLRNkqBLGAJmuijccKKT49zg5JMV/1s76bI2233l1HzFtZMt/4+K/rlfXjrzZnir0a3QIif/mW
FDTn8mqZ4KTF0qXW8t3q9ch68xitXyy6glE+Xf35jr91yfVsPbsLuhrNTAnImYUcvS9nLov6G44v
Xjmk4A0i15icv+m7/PpTvqojehuoQtvwKWuYIilMvljPdn/+VL8k2PUa5LNVtApTGahYLz9Was00
3lHPlxtWN4tcYsKh7ySuRcV9Ngv9PJrDsetTpOeqG1nX37r+62S2Xp+Sd+0zsbNBYPnl9VvdGFS2
F6Fvjp9qvb1e+sKfu3yXlc7JDpMD5LNDajgX4eS7prAf4q5/o9n/UUO8Pt8r/pPx9tpnvd5LOXiE
RNpYgEEqmC8t6Ue1LU411TYqTA+sTn2MfJBQE4EWoT2ogPew1eRgAwvFUj0owS9EECRSHjyOwgkV
62MG/mGUs91YC9cYqjfwe6+T7o9bBj1DJf0zdniNV23wCjb1uOIrm81z36VeLoGLVAdPE86d1HVH
ODHnUu4+//morKft9W2CXrXKnDkag9NXM6kitHjgRMlpLMVnpy1u6moMWjO+/PkyK0XgN9eBIcA4
iKbktRyBFtlK2PaY42VA7LP6ptRtNvZsJOu+wrQYFueoH+i2N3ImndYQAw0gYEN1At51EmV+W5fL
lpLIlZLFn6zo1sxEUICY7yWkfjRQVvIMRiEFe1LlO6durll4+3DZ0dosUBXSDkhdB1x8NuI3GgPE
dn734YBcgjgGuky/9fK4L7FtZ1JvOX6pOPexVdyo03iMDOdsdqGfIy7MqAi5bnxAlqTfT2YduX32
NHTRakpzSDWdljz5OE3w92l5a0YQYrpuOH5AHL16ptsIDQ8ICMxeuJ9WW+xKa9xgc0iENHfLkl7m
lnPZVi6kN0CmqMMp8xag825SR0htix910RYFfJf9frDeSRkQQagSWVFfVTrx2epQ22uMXcsdjfj7
2BFXRtNch8UnIANXsdbtU8axsypthim+zAJ8leEsflhBTcjGFGxHcXKsMQg7w3Oa9CObUcR3DFcv
qhue8tMwR54FujGacr8384/N3B8Ly/4qNAnu1LRtEqQi4vSwTOoBiJcbQoWXNXW3jggNuX1S9eSQ
pOXNmIASluL2mvbzbEfzdjTjrSEQ92SVZEXh3eI0T1KNbkndTleq4LHV7cdCSS4gJa6TJjf8esnu
R0zo3bbMb1JH38GtDqQoDoaov7ZtiYlc8tUGHUAy2lZREuT1CKVNfZ+kfKOm/ZiueQG1TDQqg97y
zCENjK2hnbPWdkeCxxpIKvN7zL1d4+56r2vMirQy0JtPBG62xSV/pRlfp0jfleskh7S3s8z6oqTF
qQ1zv1isO0mIY55Im7aUTuvvqsZlGy3dtZPFBysOg67PT9OISZ7AEsEy5i2EvHskz4Mxig+r8tqK
Kiuk5SHUjLNpcPCkZc845dxHA/w0kDbOtC1V55SiBNZIzu0adaRE3kaKdrbzeAuuDcq5sYuy1eov
vohypJmvndKDS/J5LqQN+tbrfy7SHaTNbtinuXNHE/vA6CqY+hZwGORCVyjFKW3kbY1uV2Hx3Crd
vkOCQQ51LwdxL+GzV2bpwTSiQFjjUauAqnSzX4f9Ph8NUNvoIvTcWPAQSTRcQj317Ka9ZrgVVPrs
a3OO03nhl4LXRBxCS+DK7ShfcH3IwNogpaO2+6HTD+tXHef8f2Z7mS09SmO/F7oIADHt5Gj08mbV
HpY2ejRtGDHYbgekoByHfY8PC8XxIZsXJunhjzPAVvEw69H3GTmHRgVFGi++pUZ3JiNDPSe7kFhN
9d5WBjCw6cEAPBhxW9v1q2GrorTJx47BqF4IsEv6biyKHVLkD4U6vRGhfhfk2Y0xNcC0dvV9eRWf
2sbMbaaCvma31xYU16ictoOhvpH21TVZvE4mWC3p9ObIWSqvPSjSUM/rBtlqkGTZ95inuDUjsCjV
TW7Mfqfoh2QudrizIRxbYdAulTdID39Yc6pshO9jqJcublwXFBzeWyDB0KPx0mn2/5yKlN9Fa0by
LNEhFjOfelVmQkiNyyK0HV9SZgMckJy7s7N8EYa+S1XtMPG/kqMcQNN9XhAVAVm3tVIGs1H11pTz
F1m1NemjZ6D+KJTY2q911LPyUzVykWu56fiziC/YN93r5fJ5yOZtXxS+aSGmqPXHUjRPidV7jUWw
AJj859vx27Px7C28uhvTWEhFB8XbN7TpymoiUHwVkmmddf/n6/zucFg4cjFqBbnDGXl1CMe8SSS1
1xx/EfnHWtbPQMFAMxq7fnF+PCPlGAaWNfsDYajR4g9ze607Eh7wpMmw3UvyuGkd54R38KEYeGzj
4Y3Jw+/KZvI3u2dWZg5/eHUvzAiPMrR0HB/jRVeacfxpCTxs0VLcMMx83Kwg2kFyHqQIkHFBevvz
PfpN/7fSpQx2rwy9cdd6eRww+dDiZpIdhqOfpi4O7FD9klAH5eVb7d9v+h5WDmzD0OxkzvIaQiXV
6GVkOWLSarrHFSEwU9VPQ9uv1Xmr1ToR+R+on3+76mWW9WtwWMEmDnIiRCDj9aQtN6Ex9gmXBMwf
ZCSOwTA8u2XFTKHbKmrsWg0bQ364dp0rinjQ7NoNRbZbTwSSNp7eGIdZwyhGxyZzUXfGnO9ME7tQ
xzigxr3v+ujDkkygR+XtUIxBI8YgNQt/4jXFNAYWVVAbRWfbLE5FIj3C17lb/ZDSprtW5hQxIOeU
ZCS/2Dj07ejB1EfIMDl0BUvDNr1F0t21RmPXmOkn9Dc+gdh8lPGSbnnT6+v7CZmqNA7wYtmxZjvY
+LRr9hCg5XyQpvjDWo0NXA9g4tFo4qDO+/1YRucpTdG276/1OQxGqsAZNqUC3NmmzV6fEuj/5MP2
WiZiOrm+W4slIQZvyKIPkS5BwVix3emBUd330c52Gr2yPkyXxlluhhJF9gwDALOmREy6Pb5pwVpp
WSTbfhzJbvkujKUglqWLnUVbQ4m2ZDs46dMXXe2PSzRdrfF7bvVDqH5KmvCy1HlAxXvsHITRQzQV
1lIkHO2Tlkb7fDqbcflJGaJtCBemqcJHuaMEN+0TYwhvHtk28T2ES+91NafASW4jqs+GqteqwO/1
zmm2dDdv44NArGy9h2PfXMtFdHFQplJUZ7u+LlkoDMmo8mTsEHc4Sw7/CelONMn3iftXpfi02fft
ONPpGZ6OV1wvA4ok4avZDF4uu8XoljWsc1ksJ2h76qc894U8b9dCRk+dR1uHtm+G2rmTJlB21kNI
PxI6/bVVzldjMh71jISf8p1y1iJnRHG0OBkmMM7ierHSS9pSdHefWEt67DBu1pmRHVJWGWKr1NpB
FOO+noGkkoV6HTpzkt0uc+JFlTiWNKeVkd2WNKx4Q8KyabltvDhGyvWw1PHdOgtZz4g5gfkmTI2C
8MQZXFMsvKT9bIEo7patLhecVxE4er83ia59yPkEXKW2y7aNDW/9blppQFDMhGIj3VkVN0ii7WRb
i4D8Tmmp5MQ9j/TDn4Pdr8kPBigrAPy44TY6zAteRjss99KBz+5wa6W7tR9Q9eG4UFWux6BM9V2S
RXcW2IFEn7ddSBmoOW+0pb8EXN4CQ0uWKgYcQZbiL99CJTdyK2uYFa6SXmPZg4zUMULIdzOGgn/+
uHS6rwPgOoxh16jKrOKAy776vJCDpBK9ftvXjfQgweVhI9cj7t7FF0tefG2hjEcf6xZ2edAQh9NG
eWzi6RNGCpd6buDAa+ohrKXTiGcxjQwbdfHZ1BPPniLT0ytaTmKDkpKa5pFKHWGrU5olh3HB6qK3
1zJnvbk0aXUdbYcEc4qZpiCpmHyIrTAHbx12LYg6odMzbc0afo1AdhKF510YDkfW7ofK0s5QwA6G
xvzISi70H5eOR4fl0ZVjcqLYP8GYFS4adRT/s36u8qj0k9h0Id8u3hBH71N7iV3TXK5KZYbttnag
OTFKU3tILiVRcClOemueRR9/KLXkVsqqm74tSteewqA1aCpq4iV+O8RYzmpJ46iGl1YJ72QYDqWQ
AuLwj0/fYxeQl9KdRLJFHy2+YGuiurOc73S9/yy18bd5MuEO2drOLOsb2xz2I4+vxCgCesMlSzMT
Zkl4V5mGp2h8A1EjnYoset9rdIR0juWIsSxuWgGR4BAlxRZw/iFENW31u3PB9RximjW1pAeuxk3U
jJPXRdEFcy9YARstI9f19gn04h1CLwdGZrdK2G/kJT81snYA6na26adzyQnW56ID3aCVOuIts88x
O8w0+5rJI0qfMeDp3NfxoU7FJmujyxpm4RU+KAKiUD94Y9u2rl5L/o9f7qS7ZMozF8kOzwI8gE3b
rldJisvKHOQHQ5d5wCbv1JpdYIgoGOP9r5YJOnKwjb2CYCMUlEbbgbOxXUiBwC2/DzkGSvhWx64e
wqKWMvh805WGa72BmW0nl09ZZt8l7YAiY35rElusvjqtjXdKUF5opGq5/xy3uQ1bUGrdTFrmQz3n
t3CbHlEvuXSqfWkIzoEzFAQsu7iJuvBhbbHjFIHwCR6BhLkkdhRQeyJPMjPoFFFg5mTKit2ywOim
preupADEx16mT4ZJ+ckEp7rW27niJOhMdAusuPBYKdqBkf8ht6BudlQnzTJdZRYaCpVllR5UtJzc
nn50yhH6KDJ/AyuS45rp2zJ6o3b+TeRgTUrNDNiQ6un1rL5nvFXMHf4HtiOojriZJF42lMdOL08Z
04k/h6pfL7eyvqn52c+y/nsNNJQTE0EeGG6+lA/HtT6J6ZrtsnxaTzoObG9c7jeJAJlkB6EwujIm
oD+IHM+6oBn1GtCgwvIrgn5Og90mSF9kiwwNo/cQ4/kkz/GdsLNTEhe7pBu8yfmnVvt/wj7wfwe7
/n8iLH2djP8LhvrLkhCK0lPSfnsB1V1f8XM1aL9DsAHcFfx6/qCt3+3P1SD7v3XFhw4DhkAvxcPU
d/xLjvJfeNx/rQax11JpDjnpADRh7eh/ZzX4CyQdJLC2LvbBINLQ/XK0qllNgbcVil8DLXgfmyhm
Tb0+ockCjYepJR7hcJcXz2nz5hGolnzX6nq47xLTPhpOU7vwSj6EQofN2GT24MlKF4JwlhVsOOJF
FIHIlcIVBubZ3SgJJCWXIVhKuad0zsyHYYiQJhPwWT9muDKeo0I3v0lJlOZoNGLSOE1qCiQjs8l2
s2luZvzisF0q4g03Bva+qET40eqU5e7Zd3jzj5HMc7+R1+3feluYBoH8V3jkUNt5Wfe0ebQgxqUq
fjc2IbNNrfLzcqwDo9Maf0L7ed9BKAkKySi2P678n/Cc/V8Mh19723//SHlgSL48vRRWWV/x1yMF
iBGIjwX8QkZX5dkj5bwDjs1frzUkSk2rtOLPbTuP1Ho+WcSrbE+Jl39t2wHGswWEAAJonJkjHgF/
A/3+A7z7fMgHU4SdPo5WCijwFb/z8uzM6MFCWUfRHnqW9HVpxvgKf9e+Po51K0MowhwM+65yU6Py
6pWL/HGx1fQ4dpPlQMhswgV7qMYHc6pg3NqN2m0imbhDKQCWXR2N0djT6669i5Sx3eAv4kB+TStr
p8QOC0S0TLXvI6q7+4VxkYETaEXXUiTBmIKBO/dxcsyg3UKQT5aPtt6g32I4orMCuaNVs2MqlkrB
CTjXBflbjAOK4yljn5i+lFHE1IfDG/y41y3G+qjR43AzVll37tnL2zWsGEO5L1VfGrD0tkvhidF8
lGFor6T2+r9E0H5xMFUtzva/f7zunj4/vUxX/POfz5b2bgWesepES8qGVMoD9DNd8SM8Hf+li/Yc
yQJcxYBjD7GEl+BOxcP6DMmCVxXPFl5z5Ku/J1q0crteDtDNFRYMF2LltsD1erVIxOXEtBYcf3Hz
cKTtnFk7jIkd1x7Ed3VZoPvdszvsIH+KL12k7B3sc/bSUkMJLWy/WtoTUVw9I2rLUE3Tz0b/8b+i
92uDKGgvfz5eK0/PRWkv/u//kX8r5udn7cdrf5419R2rlpVeh37TakjLl/3zrKkQ+XC5IYfDh4bA
avwVx9HOWmkTq7LNej7XY/jXWUOFj7EI9AVSN3ng78TxXzfya3bh9wM5sABjaa/ieIdHoyUNYD5n
OcYEM53xS+qlhD89cOi2cqRum9765qThvZkUucvwFnA9LFNrwGCpV5P78GS3trPRZwfyvmr5paPt
yxlb0HToH3uoBl5WVGeHSYUlQUBGFLj0xjEc/HSB/dEq0ri1JqvBWnBqgxkxzKO8ZIcslL7+/VP7
/4OoG0GN+POn0Lge3fMTZ/fbC0/of77w58HV3lF2EM+gS1BMcAb/OrjaO7yZWFkBmKU+X4/gvwoQ
+x3LRUhN4M1BOf8IrT8PLj+S4TzhQ/GjnvlbHik/TFCe1x/w9yxILFD7qezJqWvCfdYt9lUVQ4HQ
NV8UWBG1yurLbDSPRuLqVf2IIW3mhlV5P6B47eN8oXtZnmAczsiAiUD6vk8G4elm/NZa8TfjPUaJ
qG8Bk8Q4RVlvzfP3JXI2N6UxaliF4t3Sd2O5M1r5OOTz5xjPggB+6Sep7xU3zpebum7ZfVpY0ObV
47xgam8BX8jBxbe1/aAorewKYEaMJc9OxDjIilBZhCFkuET6mwXbUt8SFgIe2dh4baulGz/KUBt2
7AUnURRVPPQntirSI6aNfiPc/xnak3xkOpP7f//p+n+e4MqX+e8rDrfKk/EVbZsX/PNxMrB+Zryx
0q5QNSW3U478zAPOO5jaiCbQi6Go8uNJ+2c9L/GjlVwKRJbSYn1w+I3/fJ4klfxB2DZJEj+f0L9R
0asIpr2oO1Y2HCKxTHtWJW+U59cC6/nZtcXYqoKDHYxDO6H7Z6KCZHqp2g7juYwSVdxLLE3kg5UL
5IFkLCoY0lSKPn825l7/HEV1aH0Cu5+yv3FQD/Q0E/63m5t6pA2AX5aMFQeSQ5e+QhVqI6MJA2qr
Tx3sT5g1I/VaLXOpXDfAFBBBmGqxuEarGc1Jlivdxh1Fs2JxXyq1cRapaMpdOLZGpQVjZiyT7i19
g7dOj3RZ9phDEM/2elO1xUZvLfFdFHX/KY1abJvtHlhPMltmUKLg4YdOcjUx/79vh6L0UElCujqt
rqVBx32zQMc0mZNHcxiqL+g4GTTLbeUjnfpZxgXiuEzSIZIR148teFZxjyLIUmYYgCR16daFom8X
eCqAXetjlhmdZ0VZv1FQpN7Po3M0MN6+RnIywkrZ0jyqhNtuXhI/a+sG/jzAVywpxiu4ETk4Epue
yopvw0LAX0vbKwMQ1r6P5/ZuGGszsMfI3oPERF0KDv5GM4j/hTL5SmNdR6BN980oHWq7+q5I861m
ZFBOqwhg0ZQ85MOIz8uI+Jc1p9WtkqufnTTVPRwLdV9HWuuhxjYmyNSiDFI5+8z+4lM5obtDCqi2
prx80cxYupa1oQ7UJG1cvV0moDVj6qpVMt5lzoDEjK5c2DmYiCNKAxP5KHzI1Dn7lHACdklt1tBU
6QH71ha4aaNq4tqWGKb7RJli+atYmuxRpedL3UZYg3nXlMm8Nx1MQA7diL/413DMbZySq0pC5Ecr
DKFepYmmO5s6Mfp+m0qmjOrfotuBk0cNiFsEQu6kqS+VHLqJhMacr+hNoggfr2V7Hs52r8fmjTX3
jl0FNrwHw2Y4HfXzfIqsoXPUG0aikoig3fWywoK4NerS1xcL05rGQIA80KNluERyXc1Hu5JhvEZS
q9yJ2lCfLGTgPakH8TWkcXPLpAe7GtG1O5gclqesbslsPEMkhpPehCvG8VikATVzQJwkFrnodwid
Nec2TOvvoFd75JTKqvFAvGDwWEbz1RBlVtcFVY1ISvfYJdgme1aahV42lgi8RSK5UibtJrIqzcfh
FpMRW8Kt0EFGWfezEDqRa4uhHlddJc0+qEo+wzLqGmladqjLIycYTdJRKLm8sx22NsAT8QmTpDlw
sJZy4yRsulNXN1G761C5kf2unELQiVU2O5+duAl3uTHWA14WYd8jdBSFuyGUIpS2uoe4rYxPkqhi
F4tzdMtqIYnNPNTxjV6Z89aSJCVwJMXZ0EvLGzr8HpHkCPkivHlctdBz8CvJhwU7eDfsy2aPiS5J
NW0W1LLaEId0tqxwjpdDpwO6AtWDHI993SVqcmzDutzXUcsDu26ZbLkVGzvS2w9VMUtHjN2pOdjX
nO1FpE/YX4GXR6sqiOaFm6GhBKMb6z9ZYrRXhJ5v7UzY2w4v8AgFJis52u1ob+Wqtbe2KnX7nL2k
lw4GfR3s21O2OEj2lxQ2lZPKO1lP0qOIhXRkvqo/JIbMvjxCTbrr2jyYl3TfxVNzJ/OcQMrkkhmu
RncgCGxXxumFd+U8Ru2KCRWjk5g+XwfXTfr2w49vsOpqGc7dovm2uv4GyRTf2qmlZinipwyts+OE
mcChrWKxj+JyurdnbgmxN7zGaLLzFKvLvbitk3059v0GJjCfrxFiI+QK2cMBmqFV0w8kGDu5Aqmv
68Ya2b+wI/KSGv3sejI/2uGcPv24fuWY8XthmciBdPwLuYmcqx/3sMKT514GObK34bxN5yg34vcy
j97XqDPsc6nF2tcp7eXbLrfSp87KS8jHS/qUDVr7AW/O5fNUjNg74C+Em/Y4E/qmzvyYKdK0p1Z0
7q1uGu/apZQekzrGvQpdQ7xnsZZtGNiehGJmXqHa4nuCl8k562zr6CgI+yht6dT2e1gpjmTt6zCd
kMrlHmM+yKO+VPl40AD6prGXYZ6L0iIyF2rMxq0e+oPOGLl1a8vI9hLLs/suMcCdWQCYe2Feh5V8
1zfZZTbL3VQC3q1sEWBsuVXzbk/NuFGHeTdo2ufaZvolU+L6dtSVq0onh7+2r4XWcNBt5caOlveY
HFVoTjaQ20wdRiDYy+0i9ZKvjwOHaV7mTdKyhnaiLtvog8E+s7I1ZLzxYbUZVQdR4sjgE2P92GlV
t5VjgDjmiGeTWVqKixdvtAMvHjGcMAsFg4z+yWqwV8PJaGRzOD8CSEy4/9V9poafhjb8Ap+v8hXW
smjANFfkEofV3FzuaFaLIB0Ep9siFDM5gwyHRsPO6RmlTxVmDGq8dB/muK8Da7SkI4b2EnBN4JZl
q7CxRtBccZqZwK3b3ye526CZsQP37RZzLkhZycKymk221E4ACjQwEybl+qxk12omWefamGLfxojB
Y7VtH+e8lL0s64OiMB23ruOHsAQeJwkMKUTTHZo+fd/0y7Y21WlFh5nb3tYWHCuyL4meYFphKqWX
V2r7vQc5jtd8hwhDF47odCmWmyvzbhmkJhgMtC9kZyp9Gi9wuejhRXq1R8ie1jwF3RTl8ExdUUx+
VQob/cmYMGhY0mGUYXHK7bDneU230jSbwaDU+95ZY3UVe0iUlk/pnLB0hid+K2BLbCMxhp4RNs5N
YfTNRemQIdCsXPZLqP93aNqr2wjPp12GrigQgjyZ/KjoEp+Vh7Xg56CXuxHw3G0YabQswk79BBXT
fcZAFdl3RE6vlq7Irx3WIhti9Ri7yizJt60dtu/bWccCrB2TYY9AKmhU5K6RUatII+as9gfLCb8m
oz1fsZkQZ7nsc6/KdMW367q4TeSm8pamieBEYmwcFsCkSXlQqkN90LYMfTmvOsPoEMOtTSun7T2y
Z/AGhYQ2y4Dcw6fSKaWtNRitPxlt5y1LJPbjWJhgytjGJ9ihHZPCzvZG2SlHzUytnSBefZ2GquZI
ptI1vNqRYxplJ8Vplw1xUQEwoIPLNycxefVq7+YvOkEmZrk6+2o/s8RBeg4f7rTHmClKkNNF+i4G
Z4ZCms+GfqBWrOozVp+tn2ZZvmFnJbmAttq7UiSZN2tUjKYNfL7OrPkTVmS9m+ZqEnlRa0UXGnHh
W8gdBOUk4m+pURmBgLGyBTWCxGCMCkQwzErr9kWN/D+Vuh8uYr6phercIta0ltAT2i6ZdLUum77w
i7MbR/R50DfEfyTKlocRiJGJa58LrTvdL8JhMT7rvpnN87cI27mvdm3JuNRYXlNHyMBmGtidNIQh
EIZiOykpGARhWokPvaWnPiYn2Wn43SmY26P/a7nk5A99JrozkOjqVoclhDtf9dgkLRv8WEbqsM3i
e4eSEXy1kezNypjxvqMA7efBDNKZX2Rb5Xcy+mVRW9gDpDKXCfDV6IAWl7EqFCo6tqRlddi1LdmE
vUJxq8/IiVLVENWayXqfOz2irLZ2iIzuq+UMXxBppPYyJIx6shqoukCIHXrEYvaEy7LdjGr62RQp
eNEofbLyhey3QMJWhua65RkDWIJp5GwMZNoawjalRgdQwgRUlsk56Hd5CcbeOhdlqYIrAz6CTiKk
DzmPH9nj4FpTO7l9jDTiMc6PPaWy6jlU3+weK7GZSuJoS2/nRlJZ42ynPmHGwOdLgVr064mgiD8g
AokLXVw5u1BP6tsJyy9vUPLmWMRZydcEqbHNnfEw4LyNlNB8N5e2udObRnYTyDzu2IkcPiIq2Ib5
ZOfdQ1riHiNb2RLM/QAuJjNBpjQhSG8ZCdWNtdQXyaKmtCN7/VK/afhT4jxkDjcA26agz5pvopMo
dJu2cGE9oZmkjeUdssXD7YjveeWqiakeFklFSbCxUw7bED52jFBqkFPC3AiqJXfGZ3GfJa2+day4
9abc+TLCOfMycyg9XKEKt2vVcD+S6na5Jt1nlbbXJLs5hLqQd72WmNdj1pwlXVm2EsrlB3ZekY/p
EtN2HeXOLnLMTS3BRM8HUHSC28guWIHDQZMe7SND5zhTgft9ssiXMNak96IvU3cMp1ugqk8KGMmH
UoC56fX60klaeh/pqrod9Vb7SF/VbSZb/or+sHmAWUostIA4TtL1IldXBbrNwqbSKiNslOoakZjM
LOa9UmktkrTx52xKTghm2u9DMPgu5Trfo7JOixLnkJkjuuthp3h4iwK9wa0yGNU82xq9qsquk9f6
Seh9eRG63W8aNJWRK2eHnamZvBmdpd9l+RIGq4LtcQwjyjPpk1XGw9lyRmRTkE77FuKE+KglSuEj
DMX8VxLGjvjFuDerEXow9PIqT2SxXXB5PAtFIoWFtuyLyc59yPZ7KeRmmrKIboSFe+Eyd8Y1MGdU
FE08vSHH9ILVRRa7Jf4TZ5B7/4O981iuW0fX9hXxFMHMKbmycpY9YdmSN3MASTBd/Xm4u7uOvaxt
Vdc//ceWCwsgwhfeUCKTqfrrjMsZC00TVda5lNepMZf7tqHqFgiyeCSDlvfKgpSUTclwN82Ftp/W
PJRgBR8Xq7dJvKXCic4CRdoaM4Af0D5kPUkF0Qrk0ZASKbkIyK5m4XsntdVlzcEe80Z8sWn2h7aX
iVNqS4v9PxPr9NbrjFFnKDPsbrGp0V8qzW33o4zcx6Jz9bsYIcjLzG8oLkyjRmDu4zgaz/FFWuV3
g1y0IO4dXF+N4sUDI3fwrAZ+0uC5YdHL4TgOkOS8RI5cG04qd848RbfMLl2Z+dfg5HKEGszRfkAe
5kvrWEswOXmiEBSx/NuqqhZAakb3vYbxGVaZx6KXIsrx9iISUaqSxGeOCpYxBurZa/pF5UDQ8xQ5
FNGGf2eZxfDQeUZMzo6D8aapzfk+wVVsSy6cH+oKLxs3ztQlKWq/rd3YPQ6J6DaqHXMEKsv63qxm
ngGLexZx7WI54Lbcwu6x82sVecP7POXc46U0Dm5exA+lbepIdHvVdqot7bU3nelQ+wrt9bZqbkot
l190aTWnVGkJsk15Nu2E5HLpLTt57pLsLtHrK4vkP070r4XddE8e5awwhwi3a0Zi18qP5B5d9aeV
B7bN7bl8lQb47TxusK0XY/oiGxeuWkYQIMTyrTXARGQFhGjV2sulZVc/dH8QF/GYLJcRakiBAGZ9
MPMJU+VFuUECI23jZ3F3sCoRb23NKgMgaG/1ZGI7m0XfB4mtbtGWVy3pV7d09U3rTtWd68zOX5Hj
ASmLY3WJrLR9p7VRundTtWDlM8TN16qyi0uWLt24hWft0YL2N7qedHcuwfitItk6eHVEiZeiQ4j9
a4HnqlQAGB0Oy7pGeBStuhz8oAWz5xmn842eOPZmSeQMIyeT2f2YdBMg8crdj1TzQt8ux71fuRr4
GKm9+g18Ld1ekg0iDeUDPI4pjJO4YWESuQonV7uOpr8fZAb8q9y2DTahCWJOoE+SbMvZGPYYh0K0
6yN5jcVadD35eRcS0MLdmirraz3zo7ohzjrqHNI5GI0s7xfC6m2VCO3J6UlPknbqN8pw8321Vgn0
WOk7LeO1nXP96Eu9P/C7kqM/UUyi1lBcWRjN7mNMh/8qlhRhQrcRuzHviwOWod1+kOX8pWu4fPQY
FFDAxWe9OYaEQFgv3jfPrvNt1lTqsNi9BziyqleIv3xFkHne4l4NhjBVvXjHkqF67j0sizEaUP69
aDz9Ri6Z/lb5UNfswWsRnnWtH4pyEsX6OQbuhh6smrNq5ysqNEbEpvSTqXmmBBV9V1VWX6MY14dV
79aXcdPLMB6r8S311YsZW/n1GKfyoNAXX0EOUw0dYbLujQm6mzVl0xcvbWDJDJb3HVRScoF04HDI
ebjLcAJsdN/ZWvYwdBGXcC2bcCzXRBsK/AkPXlgvMkkBYvAI1QlZMza7yNXRYRHeFSjO9KLJVPrd
zEf8Jnh2YicYjDIDpru4m2IwMSxeRYEJHlr32nS0fL4YFwT994mDOnFaOluoQKiONy5K0CJJeXQy
MVxArZFHK/IEuVos/Ztqytx7qm35lWjy+FthyCYN0LlBuWxc2hA1ueGlxGR4E828/y01t0crdqIL
31Happg1Y2f48XiqEecNEQ0Gw4ks3Q+FrW5g6OltJ+Ph1ijd6VRjkRU6CCzvIyG5G/PlCmGLeD9Q
b7zM3Dy60/hsBKWzD7cXOBmILS+cVdFcNZEenbhby+skF+a2tOV0s2qYBO4c9+8+gVBTYw9g+N81
W3+wKK5eAgN/6YErp+ZCPDQgBqfbSJK5K8MxMd5LHAmwFvS/rsTSokCwqzXL+ILiYvHYC8sgCjI2
eu4+OWMD+BsgEQpK8U4IpL9GC1dJwWnYmrOxwbOxo/eTxGGC5G8QT/gag3bZ23Lgim9GAsy5OQ11
3D+0Gup7FiYIQ0LjV7XFshsywCoJwJaTNI1hU/Tzc1yp11r6eDrbattVw64mGw1EpA9X0EpwWURC
lQO+BKnQoqsG6/JVXLi6cLGhALZcoNZkjIRrphdvYqzIQiPrsyOAp/4wTx3KHS1MTt3PT3Ub9dBI
uEp5263vg5tl2L3x8qfKuDNrOR4k1DBrQDXcSM1437SL9cPRm/bByTttu+SIco4midSCO2do0iU8
oCcJsLjP8tBJbGNLbuVTulf51Vj51F7LHlqotCuyyCx7VVA5NohC6rdZ1mtXqdQExh+LsrY8Kf4N
KH/Y6enwWKaF2IgOuXZtHlEI6nsRStssdtKJkrsB69KtPrrapjO7qyUmou8KyrdKtfHR75z6qqKW
tHPbkTzKJMlua9beg/bYOkI7mX/PjO3wOFXzvb+Kw6UD+lnEnUR9UrbBmlnhJQHTydZdnCmnU6SM
aQOrtLkes/po1NlL08VXQ6O9N3hYbbQUCpKOI8W1Hnd3CG/FweD2cxjrkXuARuVs9BjyvWV73z2n
a8lWqldKPDIcaP6SRHnJcYbLHzbRGreXxq6eqP8uqtwiGGTeDY3JBhhLStKmjim3PofZghZdoQ1a
kPtm7QVYxtwkHO7QMpoVtpWXR6/EhbXvdh0+qIhWowtcuKTB0gtzK33psrTekj5EgUN7aCetpdvZ
ORAyIRd9Q3Piysrqx8nOeN9aarKV6VxWPk4gZkvHoEoSuEWmO4Ggn9Jthig7Oq1U9xJ0xupoMiDC
5Oajq3VfFPbIkPQpzserm0xPuzSq4dJnszduysTrLixvfMIdBaqzqlERbvTXzDNjrpZ8OODR+lg7
hFyyN6crVMBB0JOL7n0Tqk9jq3vXaeiOTMVwDUk2XgXwtWbr1xPOnNW8843h65BAno4oiWR1tuem
x8W8N1a8XOMd1YR2AeFjtk/9twU6C/U7JOpz3X8kjnyJ0+mGRKPGJrBOHlJVvc/0c65zMLg7hc7X
laWJdzcCB+c3Gx3/cdH2zd6XS3UYTQUHCYMHXkzs+xRbwhXpuJ/XNMBHF7CwmvehL49JbTxFEkWu
Otfvl8iqTzh2ZZdtSWbri2xj+NU3x0uob5XkPSIdaG1FVnfMTXrzc8TzoVUeMs4QmMiS4tPo6s3e
0MRbIZrHOE+/Deg2n+JGE4ccMwhYTAWdJALWi7iP7b1JqHaJjkKbkFePh6724bE5i38zm8a7WQ7F
Q64b07HWsKOyk6a5Mz3cgr0qqTdxopKQ5L29w1EDO5pKfUknnpHLMR7hpjxypY/HohybwCyw0DBK
GjuDU8dfm6kRkEErtri+SnJ4FkTwLGM2Wrbp7GEP8OpYjMuXUonLLla7xZxw55nUCRejG7zYsyC1
o3wniuzLXFt3rPdxMq2tXa3bEyslc5b6lqrrvsvThwm1iCmj9SdVFd2mCX80qPKild28Qcf1nk7b
vTm1O2Ukx8bGq8UwYLcD4BXlwC+UTX9hRf2mUsmt8sWzFnPUm+mY5zCCFqne82LCT0YT37tSP9qc
hoGtsR9VdtXo3lEzvAfhmEU4WOVp6mI4PvkWEEaw4BF5O2W1COivqcCnQrlBNOdU1Dh6+4V0npO2
esXAifC3ar7ISbu1c1CconuwZDKH3SKOI53IhGxxS5+3edWX7DrBt0gr+w1P1GYqmic9QZCUKHZX
Oea1KZoORuVsHHFnmq/jqD7UfRqFLb7P27QsMVGe6XUZwJXGePqOer970lovP4HBVoRZ0St+9hhj
aURQ0D82jqrHoFFxty3m6UuZ6Khd4P9skLbYg65vW4mPGD0iSkDgkZoaPz8aCDtPuqfYS/wL2YmU
DM+s3BcKYqurepZi0dCPN9C8LuRCHAdtKtuWTp/uKDU0r1Y797eTa8H0ytL0ygelRyXBzaimOlh0
mc6eOkt6hEjj7HoDhxEEGVXzbCEc+92SBOzdRN2FTV4V31LHJlsnrrYi7vxmdX7QOyzsJkI5fInf
HWewQiSaExoy2IRM/hJjk93R010d1vOI0lMyWO7W5MuAVMu2ALV4vQlNrEhs3K7d2opKckw1Az3K
hxRHhcPgwpe1OvVm5TmVB5pU1CwCpdIjXzAkGqwpqqtqI8ca7Upl2ydjLO9F6Qy0NLRdouZnK6pO
EgZHoHT91lFLvjXcpkBOVj4XibodB+OJVmgeOA39f82xso0UcXuslhbdVdt7a2MpSMx1tR8yp35U
9eCePCu77xfn6EW+uVPSjEITNlSgrOXOaJZmW2I6dGoHlF+KuaAfL74MPa5eo2xWChOdNkvP72y+
qOvCFStTm8AVPbuZxmjgUaDFQqLDNSLKN2hWXudwTl1UOs0OPgpGzX3A63PA5lQPEFLd1cr+2nni
qxqmImzpKW6HJhVBm/XPca3efL1HTMunleLY28GKU/axeZuosdnVRUcrqNDf0NUrDxpUpsBy6c+5
Ofas9JC2g7fIDXzUi7YfNrEanWPtZl+wWtuWeWEQKvbXrTaaiHNJsVs6ee9FgpTbvu8dt72JJ3fa
tNHkXLa1pTZRT3kbdYk+4Po0Tx6Cn+4Y1/ggLsmpH1ILZ3VZH/ycsJ32OcX0iCTUdeoybGPvWfhZ
d101uX2Fj+JFB3l561bxQUTTTWaxDfX1oYlIMNos35Z1t6VzmQZDbrZUgOjg5kZ2M2InHsCbMILM
nSv8TNJ8p2jYbxOLQCH34FfRKk+PhUfRWncAE2qkBRgJDpd2YT0My+BsJ3u8kyaIEd3VnzEY0wM7
bnAJiOvkmA7GN3OijFGXyJtU5XY2quJKjy0MAzCwDIVFouLOJtlNqbkVVVwSu5SycEbd03wezGYq
yts6boT5YzGaSG4iSfc+cBbMcY9mrZDNnqYFh/dGdgUMccsUbSjsIYd17mlCXOINkmgNpQpJJ6qN
scja2Z0/thvq6O23rEF1hM/WLS8JpbrprqOUhFcWxchxzz+O9lVP/lljkuPMyS3ve9TetFo9/7XA
UWm3tNob6vUlRJwDugNtvkujaoDMONEqqcMylrW+yexWw6nK7gkIndlNvshmjM3rHv2+5t6gKUY0
zb7P08vJTmt1P7SRT+AaGxKDdjBK1amKE3jSPu1uive2rxxUalCr3tcO7jfQK5ca1ndM7XW+HpGN
ajdRVFPSsk2r6zeZl5EtBP4wiHQK2n6crNdKjot+8mexmIQ1kyWQtHDY7zcp4An28VhqToC91LwZ
RZYOgSg9/xY0hXeNyMj3Sdq3XouViTUMTlg4Vbrv825EiAWfLJk18tBFUZSxnVT8FXJ+c6vlaOgh
7NMvSIjqvKWhXgnvCNDjfhlc+7GM89e4dXdOllAAF1FolApiZm7eemP5boJN1UDglIgst9YdjfP6
FGte44Xchmp5tlLlecj7t8Y6/uBc+FX3NDY9bHyZ7LQ4ekssJfZl4e79rN03AzFwW1zOdio2USb6
oMzqlFYIOjHRklJ1dI0dzYvi2A38Y5X1y1GUkNJb6QP7cfvpWS72oWmn+iLqDZI3wt6LsZyxJsJu
7gIv6WTjrotU2ZVJ6bvdt5oJd2fyoe6azfdK864Twy/JkeRpbIjxyI4mLrgFci6mkQmyR9yjjtG0
oZ5wQsbeFU9R53IfT4ZzVVi6taF6OQNlyKKjNrTWC/7OaGOMy0vT5+81Qcemn9p9Bl/o4DYyC+Me
faB0sbOXqvHfjdnLjqpW17Xb5vt6GB+TKZ0uBipfdxK18a09uu0uS/WvVQ/zI006XhlTox7dLk28
y0jQKoxysvqb65HQ+suysyb65FOy2i4l07YCu0ZSJWlEyPlE0848uD6PoD8bzdYSCCgUceEQJbiv
KsnIlKtuuotF5ASOXcahY/gZ5eMoTkE0+Fee295bldc8wk/LgTEvzh2YPv8wyhjyZVbIt2iEHTum
qAL50p7ozXTi0A1gvNq2I5fI6NQmrREHJrMPeGe1QLWyOnLaqbt63kUKmOZd0jiguL/A5h3H5cYz
Zj2sct+Geq4ZwRjlX3KH/LNLedpqI3tAvmEKsYz1trRhH5apLK/8HPlyfMOJBlc89sYus+m5tsyS
YAaM1ImGt5pBWrD2AWVRJAaAli/fgIcZ3wsg2fVd75McGlT1xa4qxARaYK6zbtfriX6ys7L5vgw+
9cBgYKKXVlEudYj720ueipQOY908gWyzLwA9gqtFzj9QS3ta1isL7GuUX1leU9EOqy4L4IKh1Km5
ND52pOMa3IhOWw7EHNlzljcJmKdkPBldNJ24wAis8QTOw7ZhH2yrqB2TsFWCqKvD/0I/ofbH6TN7
NXnvJH1VFw7K9reQw6vLFl5sbcnxNMW1da9hFX7yVGkg26k5t345zTt6EhlSlkl1nzTVm9HGxhWH
uAKpXmh3WJ3fIdfeHNtWsx5oi6waaj/sNlv1F7JLZ7C5ChfLumuUUAN+l5G2WZw4i0DbJEt/4Tnx
V7Oon+g8qs2cLlslde2YRaTIRgpZHqJ5aM3UpniHDx52kz8qCcag9t2wm+t9BlE8nOQyHrkhdrYN
qMfjkGxLLZsVmzy3NrD2BC+zk1/FcBUHn96eXog9na8mMKzxorF642iYWhdGoJShI467xctZ+3Hs
0lsYLgPhfEU/sk/cQCKNuLEBCDwZTe9ex06JRaZo0ZGvs1YPXc/ooXrnc9AlRvuEG+6z6Rk83kq+
kwD190DwQDnU40PCtbuAu5qmH+i+PlIgSneKfgud+vu41JGqbn0c19T4SAiaBaXOPSFVDlNdNS+L
X/qUZ4vxFHU6n0b09MRHp1qzi7EdofEE8+T32WVs2zZm26P7ZOaOdVWMdoE9oZ/uJx/vRXBAs18u
27WUz9jUt1ZrDVUpp96W4Gv7SzeRlbUzhPZd6Z6zpU7kHY0p1a89NVucOnZYJMCpjFg4h+C5dOwq
bedggg5A/aef+1Asubhe6v5rbsvxSuUi32MxPm8LFVsXNCO7a3OSFppn1XvFftw0Ks0vZAtsNSir
+IeTpCCF5HbsERejbD4bnDQfR6QB89iapsWhlMOlq7kb4Q/JoTQBdJj9IgjGkVerTeRL6HF2xD/+
qu5Q7ySNhg7kD633k6/EQdGSM+YeijscaQStkS/LxIMf99du2VyWOIVQGUOIoCljALZWi3FmYblq
Gy9+c5llrQZ8J0sCG6TSpq0k3dR4FBsnQTZcpl506FqrOSgKb8wX4Ffqz8+l6OuwcOEAZqwSYjlI
G2YZtuRTdq91CKz1+Ux/y28A6U9R0I/Qu0dh39blkF8UlU1Pi455GpXdhZaPsAad5kCrbtokgpC8
rilUmrk+AH7wvhSJnlFB0d5MMT8sDTaMPeX3bd4Ol+OYaTttsJca8RzSQ9uzfqzF5+O4uD9E1lte
CFGg3+aECsjRLcuxYrGuokrh2hj8f0D8OUnK+iMgPsTj7hfK+Prn/2GXOMhCo7S+ot3hNv0bCS90
/39gpoKHMFe9WGHzH/6DhBcA6FGVw3DJBjZu8Kf/h4S3nf9BKRiMvAAm+zej77/hRDHIT/Q76FAI
wq3KuQDiXbxbzvW3wEGZmSam5UIkdkf1xasd1Cdar4iejKqsxVMSZ/X3n6gCH1Cxz0THMD6CFuNC
F7FdE5oA1K5fsffpZMdlFBfeyQ1u4uD+5fL64e7fW/If1bdWPvf/cWZ+H2NVfPiJM4PNidU4du6d
8uD162McXEbBJzTXM1W934dYqY0/DTE7TSmpFHmnbnv3evV4m21ul/AL0lP/Ol3/OJWVjffHuaxz
/WkgsqlitmcGuvADsXlMNkyG9mH4yWf5lYr523zOzZoiI0GfqOaz5BE8onrvlgo792QNlgPXaMPI
LDe+d/DdB4H8iV6iODPZIe53YQ/21bROeelTz1L/Ytv84/Q/+ZLnDFFr/s8yL7ubGz/cX4Nz+n8c
AvrXLwtMBX6ICmZeBl+T8LEPro3gs+XlpP/8EdnxK0kMVWYUCBBv988IJ00cEcX6br+vXdQ3NcoH
Gyc1zUBSer/985f8Vc0EagFDORQuLR+ymOla60/5ab80WmSADpL9XrOj+jG2vVNF4HkAzpufRpBu
AYgk/ZNNenaRAOTBIgQqmE20uHLxIQz/PGZOqr0g843yVidAoerQNmyoNWvFtjrxDqf/UlX4x11h
nq/nOuDqbMVlYiEeuN6sPw9IOVoarWEwYAmxxmgx9bCq1gnBC7gb1YwSM1EZ7fsMTG3SS/fCttvm
0ImRHosfSzLgfvyGu0nbhL1ArxQkPF7VaTpRk02nZaNNEe+5UxJR2KV/5UZ0fFWZ1oe4bbx9M/G0
wuXHeN4X5YUGIokWkm9uTCXlzjY6eqWunmypPoGaccti2wylvfvzd163zE93nIVmDfbC6GfrcLU9
hBB+XYK6L11aZT6W80AGd35RAKWsEUX7L0dBlgECOPr8sKgBzJ5fcxqVmVxf5G528O8e7QhRSk21
n4zy2+f0BdIKkIYNSHm4c57xwEmjyM5xFtz1vd8+Y6OrnUhxxweFtObhzxP6YCjQ7DCIeJV5Zs+1
YY08Kt2EGvFujt0K+pGWPyF+prbeYqn7/34opHwAgGGDhMzl2amAReHVqamv5cbY3rqUhjaCls8u
MZLPLOh+2wwoLvB+IzfK5wKtdbaAZFJLE4Go2iEyY28Xrxk3fYE1958ndH61IOzgI0JNSGKy8zjq
v265qFNp14++OuBaaPxVNWIhVcX27a8iokuyXaAyPPjd4P+bcvmPx/3sbbLQ1cHWCZkPjBt0yzTP
ZqcbiS57a4j2cUyeC8CtaF8LOx/zXaWn6Utvu+2XlFgLOoPogAn9edbnlxu3G6GYhWgewj54NZwd
tLI0kmawEOMQOTyNcIlrYR+mrgZYSpFHvzcGP/7M3u18pXGrQxgf2yUT4LSN/MivK+2VE6DdSnOA
69TpgVs3fm0cEHmE+DDxvKWGplD3nxyN801k2Xj34V5FDcNCM+JvJvJPL4ddRktp2l59KKs5popi
11fA6tN/SXb848c8P4B/j4JMkoNKEqqvztmpEI6geJDT4ZJ9V16IkmTLKWDxUanTPglqPpiQgeYS
ATaWYCClz1YxHmwxT5BGDk4LTHJ0hRa4y/KZfNgHEzKgunIVk0a7+ipS8/NblNVgqSEkNYexMmqC
pG4p0l3sW4mxoZrhWJ84Pfw+HG86Nos2osLkDd466Z++kgL0NuVoBx5GHeBijRTThWeWKQ4eY/GJ
W8jv64ejBNq17ENedXQdfh0KukZfJ7YzH/Qoaq/tCFwZZfnpk1D6o1FQyUUdAuavjhrIr6No2D/H
btnNB7yKtV0/pu1Bk9X3Px/iDwYBEsJz4ZsOTlx/O0X+tGodeIvS17IRAzCxbLOxpqicpYn668/D
/HZXsFrIC2NoQXhCbne2YrU3URARxXjQ2JM3rpLRpUEr4aqZvYWa1zS//Xm8s/CYXQDzha+jQ5WE
Pu2dHya7aGKFryJ6jlaMR0SvbYUJFiQrS7mRPh7nfdMbW+gHzrE30/qTT/fBXnSx04HStBK9xblH
XM596SbGADrBRiwjalKNcj8EhoAu+fD056l+8AVXHW2OGFci+jPnedCsl6i9iPEQQ59A27Og3ufH
emp+8sh9NCeTGASCDwI4oK1/3Y60fc0ML7/5MM0WEo695nYHr6I2va8ZrD7+eVbn6bBFFMfqraa8
vKoCFflfh+sAU6JHVmiHIR5NbweJRXq3uhbXz6DhtetlqcruS1b63uMYed591damt5V09BHMVYWf
fXI7n/kkEVI6Ni6utqFjyIR9yd9etz8dlHhyMisbdf0Qsw4Dddxp8Pe0EMEUG0titRvZz3a3TQ2C
XnB8xHK7PHEGOLJYGbp7yvQ9EBroWlOAFwMG5gmAsmcRp/OtAbsv2/x5/X47APxclwfaxn4dO4Tz
5ZscN1OlucyHzBXuexVpOhg+Q/VAAwz7YjTijPae110p5CO2hj6Pn9zGvz3U6/hIObJj+HrOeWKH
1GhjW6WcD/NKQjQqFJ/FOKR7syzb12iw0kuA0eknm+a3LcqgVG6QDLR1pHzPbW0XtfSTUWnzIU2z
4WvuDyh+xnlXR9hxVN3yySv64WirwwHhnyN8f/33n3ZEM+ZTOzj2jPprOhzdzO3SIO4kYMbE0D/Z
fh8t52rgtEooQrU+j3s49tFIe2fGplmD9kPKxTU9p+rg1ylSoK4xbSfXja1PzvyZyMq/dj03C9oU
OtIVaL78OsdEmMkCMxaKYg03VKIaovZGb0a3sE5GC9uqCqFOCsmNm7/o8djcWJOzjSszD82kBbA/
DemVIG0p6BnF/WdGE7+9KnxvwkBklG2dwtn5qmgIFxWjDkl6ZXWESdXNj5TgtRF458ov0IvPMpeP
PoNPUZCysc2nOPcuiFxoYfpY6ge7cAp6RZUPn6GrnxpLxlvVmta+Hh3tEzuCDwflIqS4CWqXeOPX
b6AX5oAUtLEcJC4RCBsDtgCtZMgHI22T+8TUaf5kcDLcTz7+B/ub4oWJBhkxPkXaM2GoSYKBBMek
H9LRh/WWA4nRtgXy7u8OH/flz/fVB5NEKYJAx0GXkEjh7MHWMHksctedkTTQNXZRXxSBnTrqmtZj
teV3KIBHqvtvA7n1HSNixIvKRhfQP3s7ncGsC7N1Flj2NBwQEYLvFupj5sbbP0/vt0f674G4jdeF
xGfr7Bt6SWKaNFdhvmQ0pUmo8gNa1+qTL/bRKHSqfSZl8GSel5B1+EYTfRiBlUZbDxsbQy99I1y7
LD8Z6LzKu76GkP4op6E5sgranL3OlVP4WpSD0JStroOpbWclNw3UuSU043X5EDgpH/FhsDyEEHq0
xZvW6NBiTloXQvJY6G6gN5BYDqmX2v829fzHVOqjdSBCd12uZgpi5xJMoFmqJi0bccgKr/HhV6C7
ssNVDb7+nz/rR0fk54HOPiu5KqQgk4FsaCsxODOp6UEzyeJetBKY2Z9H+y3d54oD7kJb1yNto7z1
60UgZQ98Madra2vwJuOVa+hk9Hm7aSohTXXuTdoa7cYvsbL9ZOgPwgnYBKtZJxqWmGyeTXTGfQMw
NnfBXPrVo+0tvY4Srj/d8y4AsS96X7+MtQjkhW83aGgWTfbJL/jgm5LeMXcHXxTUE9a34KfX1jVq
JX2ngyJeZkUd4IDXjTDAOhQz/rzKHwzEzib/JBe38DQ9e9Yr8M55lfcIBkDu3BRFA45+7stPagof
PF1kKERIvK1oOp1bJHWmGnt/AmwP1MOhdl+OuA8MY1q+cRElOWDZyHr988Q+2KxAXsDRcTIsGmhn
EzPyOmkgg7uHmt75po3dDnIIYk6kgNEn+c8Hs0OElu1PpExOfv5OEhl5SOoIHErKvv+KUn51a+Js
PGx8WaKK1IIC+szJ5rwftF5J6NqyQVeRRRtJuF83CD6mKDgIjNRKY5HuDkULA2cFWea3rUjkxTJW
zX0sY/WX1cNMANGXijvayk69+fMyi1Vi95cK9PpLSHFX/x5PsNJnlyNFeLsE2uwchl7h2AIrsG93
8OjknQYS0cGuozWrvWc3PSh+5SPIn0+G/dbHaFfvjLx3cLkZqsHeOqmXP2dxIutNxwtSH6Fpz1D4
8UTxoEyY/XNVoaMfpmlkpJt4sDLY5NWCUQHoohehpeW1nkydfDWXHJNAPxfTTem4Iyo5nQnHY6Cw
5exh7kXNTisyzPJmQwM9kuSy98LFai2oc8Psgpn1SvHetkP/FwGorC8TwwZbUoxG/iyhTWts4B4f
77To6ntbATIOsk7Tl6DpgMxua6O33gbfG0Ei6VEPP6YSLMk4a/6r8iFehbY15S0Wt4Pm7SZOxhhq
A2qQYZmb0Q39oaG+zxAdjPA7gJscYORQ26jtg8EMLJJAEZTSw3ltqazpq+gTrb/JUtVeDSPg9QCe
T/s1awjQQSgI7VuHsop3RCxgnDetb8/PPSJEj01fwds2Qak/mmmm/ZhB9715XW/JfTeY450DZdrg
Y2YNUPjI8OdNlJPZEYZPtnkHh7iNNwMOFHdtqmuody+9f9t3jRCBQOjqLan6yUXCOGquez0aMK0Y
6uGpVsqObhwV83rYTqbLbYFe2bUCKgI8j3rWFLbmqLXb0a7KryPEc3Nvdl7xNI22yLGcGNW7pQ9z
DJcohoqDqksi0PXQ7TcvFiPzkU1VXSRlr1ehu0wyQWcjpyXiWMoAV6v4QbuujD25Syuy0jt9GUGK
lZUEwekMmCyEXmHqYP7KbB7C3tBHAzGJAbZmXCbGAZAkHkuT4ddRWBtlZ+K/N+p5MAH7favhnfl4
CYvRDXO3HcqTpzXFt6lU0xsh5LJ608ByqYSBEoRtyNbctcBlvseeXn+3zL4Uu7pVBQikSNcqDA/+
l7Pz2pEcV9LwC60AeXObVlmu3VSbuRHG9MhLlDdPvx97L7ZSKaRQjekzF1MHzSJFBoMRv3GV70qo
2mDZm6z+JEgjyCI6lV+DfYY1gdoOgIEVY4DtpiI8c4ABmpvHkEvyv/9B32IYmwSzCrau/Ksnqp+7
cIrBot+PACv3tBTsszSHlygYVPnzN1dVYgivUoLG9M3BgKVSYw2VHtNxjL7X4TjgHmKhrwRCMySn
ReBr6+m/Fn4sLkiTehtgxWV7JTfwzRxUofstYfKlpmNxyLMs2ghzMpy+bbPJIEeMY348D2njLCY5
Tl1rlEau+3qj9ID9yA+4+V21y6VvRlpk0KEy5+/ImZryv/vru3a7cD1LcwAaudyi1+tr4somUwXd
h9NX5aiG4HnZGOr82RKug2uT/eP+eLdTlfZAUs1Tvjb15c0SQHIDhY64wRzkbQoMVQGB5VWDQEEo
naEOKI01j6doVkh/7w99u5UckxoKOqKUNW77uTSdNDiHY4JBVJh4uMQ4xt9hnKrg5tTBrXZ56RTd
sdOJrTs9irytt+dKGY7CLa06+WjhbbZ8uICQRNfGTvKLjRtIiOYPMgT7IkZnDmouefax5UkH10GJ
G8OnDyCUU4+0BcjpRm1fTRWy4saS3KYxtPKoaYEWIAVmG1x//VSJKxD+yEdUdUMf2mtq73FqNOuh
r2P3r/vLf7vTGIuz7NFmczyeOtdjCRiPRYmcyaVwje4YIVpxdDW9wwhl8E6W20cbc7vdabxZgAyw
5FSuTekG8DZy9HAw3BjlA9+Nk/QMIsgFnjznz0YyaWeYhBqmRUazcZJXFlQWCKEMMEfgGItBDXUE
m4Gvj0/kzl64yHHFgFB3DDtV3ZjfbWhyHIeAwZ6w1dvGSR1GmFlCh/BLS+gnxezShxaI/endX82h
OePplGvpZC/zLy2YeSyIDlCOChoQCrHypYkGnJoGdeCUatFGFUHX+SzXsZBMnn4avUGOCtX468+W
IJ83jLzaqA3rZUbpC9fgPfUMo3och8r4VFYFzJ0BzkIO/RCqwhmGRPShGWrnY6yYqGi6SOPh8BbU
yh/BhD0hXGIjz54T3SxAoyJY1mF2Z7WfErXtgxenmMwfbTB5r3NIKrSxfCv7ASAArz1adzgVLLvZ
8aSTWlpt4I+qPiIfowVYFBoeG2g3hRbUwftfa3U4CXHwGFKW8q4XT2lcT8wgf3xRde4EUbPAZZGq
cf0HYPNSefczEjiObEhquqbLuHo9WoUEluJA+PDbHFpzHvb2j87O6w2s0co+ZxSTqwJdaoe76noU
r2aELJsCv7QVoPNKaiTdqzramrsx0Mr94AK2prvKPSED4vVAqWP2lW2KwJ+dGF020mWd7A+mW910
2JLWAY5/8D2ipxg47FZRYO3LyXIAz1e2PbYi14Nn1IuVvtEDX1Xa+A8yolb/niZG8aorAIT/eP82
oTRI1sEbFsDYovgRNm44eGOv+ErdKru+SrwEzmulXnrsujZOwErYZ+NT3wVYQZZxA7sZEfA10avz
wwwht6xvW+jw+nBq6+lvyKj9RlRcifo0K8B9Ukmj4btsJ6Po2Y5erik+rfHog65WNYb1CP41eAXt
CtErlxpC5cbOkR9nEbMYlFNryXIO9gTXH6/to3bk7lbQVsltFV0PNUIXttIa69jZiIYfbESGPbQS
i+EvRQ9cRMSbyXx3aRsnRDAVgGYQm6YKe/1LpMVo5xYiHT6Fy1zz0YUDGNaHFvqhaA5N6mH2Qnwu
0Aetv9zfTmsn1AFn/H/VJLAz1yNzFKO+w8/Vz6rZfsxRJ9iHPGc35rc2Cra6dGZlukrJ9HqUBr11
q3ZLvmw6Rc5uoA+HhlznNc7GQGs71v2VoNH6pkGxmI7de2Zq4d7qZw7VpMRrxR5Zin9NHFbhbmJ+
fn/11k4+xwJ3YnCbYJ4Ww7VenGTCcD0QMQ3y0OiB0n5qUddK+t84HPTQZe8VWBpbZbFFXKuaVL3L
UAZOW+BhnZt0n9QoN0Ey5lB6doUpmF5Sed77gwDxFN11cl8HDMZi4Llk67czc+wQJ/Ypy8Ij1mb7
FYFP6iFIaxzfvaasJfetQ49Av8lrrYyiunxM+plmwRMKIEBNkWtQfGyajc+3si1pshBGVRD2FDkX
Z59WfmEg/ef5IrHil0wvoofO7pPz+ydECkZhDugie3+x+UOgAUNJJu+HCA48uk3SHmFyhz+90CoO
94eSVhTLaMbdgIuZ1Nd32SnXB03PRK0NWeL5idegmUp95YTWMByWWrXhfmJIj25NgAxr2IHSQy18
J2zP/VYbMw7EmeJu1D9XrmWPtyIBTZ7+GxhuRmEjr0d5/6MoRaPQLcW5RAgXFQG0cWMlzI5xbZPx
caFVG2uxcjalYSOHUp6Xm1ZxDHzM6XLGptcCWW2wR+BQbmGCyrWVEUfU+0u/OhxvVMIOAfzmMR4b
cAsLwyJbVDxxiezRwNjWtIePg5jgaN8fbCXM4TJIVs+/TQ6K/GXeVFbgZnkD+goe6Q5Qam0cUZMx
dAMTvRZ2WqZ6G+OtFJXJTOkMUtDV+WeZC9tKP0BOaj2/yeZ23uWtjloCuhsmqpeBWisnuwzC5JEy
f5Oe87DpYbLjVVtRD0V4cONA/XpsL+5sfhVqEQa7iktlcaKSwWzMxDUhYCUDUn4eRZgKae68jD7U
ZU25NcoSVHuCWUGiUcnS9LGHDvoTUbnuO4LQJboFXYZApzuiE8m9oOX5WW0752GirD7sugDFwo2o
tvbFZHbxqzQvO5PXX6wI4nBU5yjwIULXPxGni3+oaVr+AC+XTYci6dGwur9Hbs8eTzE65WTFHk/a
ZShwOOdWBH8cUMA8VGcTTvWPABVW9QC6ImuPDcKz6QFQjvllbhAV29gyt7HVVQ1pKwYZSb5zF9dG
ZzWph6m4S15l1N5+DNEPPqUjAL+N+2l9IBOwIzAbgs1ioAjkb9eGruNXYeiiXZoVlw5Ly43p3B5v
psMtAWCNYgt77vr7YTxTo4fWMEoaZSdt7s1DXhfRCVziuLG9VyfEE0h6gMs8eLFVoqnsInDKjp8F
gGg8+AG+0Ptuf397rE6INILCIVUdsrLrCQGyVedmsh0/cmo04j0N35xeRcRaqd+fJbF2PKUpRmKr
cgOA1Y3QirEwodRPqNhjUzAdBbp++3kqtd+ZlQsShtuc62+56TEDcriMVMefo/GbBlgIIPbQQNcX
w8bVdnugJcLKwXvMAP5BRfB6/WILlOFsjw7ALhziY61wT2qeDvvRK3S4Tob17gDCnHgcAYA1gJMt
ayso6uqYNHOeCsQnHkoV3dIqm5tjYTQ9XM5hK+SvzI/dbnCoXJ0/Sx5EkRYRiQMSj7S91I8dre5P
vNvwsQjy3vpHDcpE33iJrexIOBCANwHsSZbS4oiFQ1unnSJcP1K6aReXA5I6rP1hQpRvIzauDcWH
Izkg1dRu4Fz4bLfgxwzXn4vZfYistjnQAhoPhVn0G0OtnGaqhhxkmQLJFPB6n6ReZdgtl45v9FRp
27pBSgepmo19v/a13ozy6/5+kxAYUHpFOzWuz9EAfIk0OD2/qf9jwuHCH3Pb/o3dyKanIu4Q2kl6
rmc1kL5NdHP5VuWMHElRep8me5yQVCyLk2km6vtrLNJCDH6Hx8agnLQIiorbO9T4Std3EGE+Og2y
LDaAPLpc4xabRH6R6+yCIjDcV9lGpwrsLYbqrKQhIShYy1qFUo2XxSE12ZFpPiNhNxiqLzD/2FUw
FVALqPV/7wfmlRye8YEnUAUBXEe/5Xpt23JOI8NmbQcngV8eo6//E2W6Diua2HUQjNLtpvw4VbjM
nl3scCoSIKP5ktt68yAokdFtHiIM2O//WivpBLEAhCc8FzBVy5yrqKekq0fDoe5kTej62KX2nNSB
81fXVc2wp+3soc1s9N1/WmXRAr4/+topossF0YUSG0zCxX7LJTS68kh47VqR+miIUkMjVi73R1kL
C2wuA9wY1Ej+guuVj0LHHGOFtoOTVtNLjeLsMekn9+CO4p/7I60k1NBByKN5ogFF4b1wPVTLf5op
8Lg+kIf+w1AA1thr9Dns/Vhk9g+zaDDCRlZluKgqj21PG+j2tspWE2llXaFIuhiCE+JvWwQdkpoQ
bCbPL7wIEepU9Lt+Kt4NzbeZLJcJ3SoPdOEystcYrehDrSG5XyRx8Ks6Agp7cttsI0uTq7Y4uhKY
DsWCLoMsN12vKrr1EleBfRIkgzI4ZOjMV8j517igZYEdPyCjWD0bWos3zf3vuRJ/dV73zA4e523n
Y6rpvBdlxv7MUu2pZbXxr4nCZzOs0SueXHsjR1zdPxJvCLSPVaXvfD1Tp9TJEVONKolp9D9SNxDP
dhO59EjoHURDMB6tmBwVuqt3btIkPw1au7V51iZN+4D9gzyAqS/LJ6PZznMT08XqUM74gSJi451t
J08whylweT3yHxC5u7/QK0eUFBy5BBru3KvLi4eyx2DkHhed2zqY0M+IohmlJ05JPZW/MRRjUbqR
YZgs+XqJDQs9v86KuOMAMrziJWD+bAjO1i7KrbDa2Lkr4RWs6v8PJg/qmwtcVYexsCZeMXYXqeZe
IQv/0c0YHI3Ax5B8Qiz3I2AP19mVIIRH//6qroUBnhuysY/vkrqMRrqU9/ImxfUVfShfYjMdnmAK
6Bsp89q34w0lA40uizLy52/nmJJPiG4ivE5WfTQNPFvw6DGPUSWCjeVcmxCVUlrIAEVvWTNmFM6z
mpF1BV2CLwbqYge3MMrfGAUIpnxdy0buDSigTeDYIULmR1kenWfcfQ9zXImNfbhCucHbkrYgabEq
QfeLjUgBexSzndt+WWUCrp3WfJ4MxUP82KSmZ6ao0gVTdBaI9xwa9Ld3KGujIOwNNC1Nqa6kDBhT
OVX9kidI+gZzYm182bW4S52Qvi8vL7RHFr9h0MtUMYL26iV6t0fbCtH3w1EtIvU4apa7seyrwe/t
cIvDApcyj7HusX2Btt5fQWsa/3JU+/zUlfVg7/PaTH1EBMs/IArgjwB4pjePXjBjaHT/3KztaNhF
BDPZJCYrut7Rpamj82H3tq8MSfvdi7R4D34r/JBaRbSxC9Z2tEtSSptKsj2W0YgvH9mFi3/XoCrG
HlTJjIwvmMf7E1oL6RT6PQpVFOBv0mxg1EPsEmb8KJoc1FixXjcAa1HmKIuPFXZSGwu4snEMNoCD
VgPu7jcFYkhvohVeYJPWz91jgOLzsZ5z5YUVGPejZeGgAG5qYylXvhqtb4PUmpIONbJFC1VPvSB0
FQY12izYpYXQD8OgWL7eWfEGiHplPeEgAJyRvRMO73KnRjOa51XEV8OkZ29ruOT06N+fUc9O95D4
2sP977c6tTfjyZ+/CbGYMMxJnySOjz9KvK9jXX9xymbkhVAlG3fG6lB0MwxqR6zlcu+L0ck68La2
nwv0rUIgrx+GShleSzvYmNTaInLZS3YuKHGy8+tJUeVvKoBd4WXAQXUXxEN1rBu3fZyRNNsnwK83
kit5ahdZpAF8BdYl8g+STno9Xh/nijEbbXgxasfJLm3QF7g8aVq5R8p4+NO1Ry87Sv0IfCwTQ39s
0z653P+OK6ed0gboDHpTJLTL6hxKjir3rxteOtFoR0vw+OMOqjZO+0rSQeiCjYxAiMSCLHaLpeME
XlVGSJLRiid0Qvpn252dZ6e2bTyKMCc+sEItKqmtF36+P0NtdXB6tCoQFIuSnPzqb7Zqy3s+V8Yi
ukROiYPCOIG7phuECelT1wxAjNHgpT44Cl6TqMU0UfBgZT2dzl7JRXnQg8481yMmPyep94DPoJs4
WPcqrpseLFfUKDFgsKAj7WtWWxSCtd/dglPD2sn/LfvZHShyQ+B06YeUcTH90RXnFHRR9DGL5/bB
w/d856aNenSm3D3eX7e1Y8clQKdJArtuuomBUwaYQo+Kr+bqcPC6WT8HOfpwaTkOG5tw7RwA35FK
DGRRt28MDp2aFzPKdl2UeucKxMe8B+mctX/agaH/6faG9mNU8PDYxZHpPqUaL6AN/uzadFEh0+V7
jmbPstNl4EFXIzMbXVwNgXbPrQOsB8N/GvQlN6LMylVkUjWm+Cib3MjMXO/HJE1C1ZxigDWe6HAK
jFEB3GOtVONemAOO3PW21w7HGKh5snEOVwIc9R4eUFQ36NYsA46OAKBh9I3iG9Svu+e8dzGORrmb
N3/Jzz43ZtRVGzfTysKiySwBS/T1EfRY1DrGKNaFl6SKD0b6Nava4lXN8te8dfuNL7i2rqwmCSBY
IqQA5M/fnPPMsTpF00s8jrMaYXNVyXnNwOV8qAanR9EfaAEGV06Zb73J12YIm5FnAJ+TzsPi2phU
re0wMaH5nLWRe0iFUqi4TGiJsXPGet5IgVdCAlhBvp7BtUFYWKyn0ykZVwnt5noUenj2Wgc6qjv1
buuXCFGXKHu59s/IwderUMJm2thCq8NTSFLluxhK4mL3IvMccVzRpCTVUl41rKuxeXAaRN8b0ozx
qYPJW/r4i5a4n89Dr3y9H5ZWYoVUwKF6T8+dM7SYPjJHpTbVSXRJ8t7p/4VP0UYPJfuvP8z6APFB
uE6CrKwjje47kP9ip3mN+I3CvoT7w+yyVRp1y0MMEA7LewGcCRPL8DFzu2TnZh1UISfMNw7QCifc
NV0awpLiwM5ePmdLHGLTWXEUv65svJA9gUTqCfkSZGr7yTBRqC8FBMROadBGiGw1b755eZiMe1UP
MXSp+rxOzrid4SwxYiTxOGAY/jJ29Hc2tubaQeDLENqoKt6+UjAtE6qHBDto6qGzEOFLwz+Vvq/N
fZAiiL/xOlsLZmxCWs8EUz7G4tjlaYCGVgpAMSpsHkZWVVo7041m4xIaIvwr5vxMp/ubbyVb4kYE
LK7z9qQmtAgx5DjoHSD1cTEnbHYb4ZSnecA14P4ouvzNF3khiQq28R6AL1kGv45kqTvHY+laZCx1
G+X/VmGqof9vabjF1Tq69LvY0EPvYULxezxjJTIrl7IbLNgtgLeSC5ZGGQ7JphlhmFIb9fCIZH33
Eg2x3e5boxfWHhtzZ4LIYXfTg544ov4c81q3fypkYfi652Ikq4ECsaXTskJvgOHJoQGlSzf45vgO
pjamAFzji+JlhnfR7BnHH0VCXVBFnrzwuUswk8KSDUWVfTc3rHBumY1+MgwlexFeCvXt/mqvfVNq
RZxlpFF5pslN/ebawO+pUQfDji+aE4hLXNkC0y7gfPdHWTka5DXgk8Gs08taFi6qSnf72nbjS+5Y
yYNKOvwxbWeBzyBWGfeHWp0Q8Ab+2ASM5XU050kd1zNLrIchgu0AL/Ya9MONZVu5beXfzTGHLkOG
uNijmVqlKlXL+NJ24LoVp8YDfagBE5QCvpgw9fY51CJx/p25sYjoaPHeXb4Fs7k3iqrlAOqhFuY7
bzLxAyrRs99Yw5VbDvKN5BagOgGlQf78zaYIBrcp7TBLLikWRuaBOVKkjB3dQFA6LQI8mwI3Fi9U
/ftXVFeS9wOiee8wQQtOPbJTy0ATVrMYzRS9FnOqeZZ5urlHvl28FLUa+EXbRv79dV2JpUwVrSFI
IhRHlrc6mg+hoJIaXTAnT04zsGDfnIVxiKdo+qaOyZZwwsp41DORHAZkQGN3GeFAdTmQEPAUz9NG
HLMosXAEiYszyk2jr1bFb9xM6ApD53XBl9629RwDq1VaFyFOtBiTzvh8niZC+Qn66BY5ZeWkMxQ3
oAnAAO26xbVE6E6GqErDS2PHHkA5W3+sVKFdcP2rL/e/2upQlGvZqhKIskxCUFPVsLnnddgPsE3n
pMkecU9xH5S8GzYoNyvHHc1NaoJSd5Cm7OLmm0stH/oujS4zGsDFI/aVBo5IPAiNg6hmGMZTlCS4
P+VY23y7P8sVFB5dNnBlNGXJ+W42p2alFebjWogDElpPZ0AkEDlH1yv/baJWf0xHEs9TN1eBcaBp
PiEEDPbNPjl2HOFUn3T4MSiGML/1jeRgV13nPHU2/+GIJQHeQKplRl/v/8prHwaIvQbBi9Y+FcDr
8JHCTQLV0kv/Cgu/eIh7mGPgCc7LZ0tacK1GDXoAnSzZwr9lDykmcAiaup6EMesvcV2ZJMLlcOz1
EH+aKoqOQ96MR4y24kNVR+q+auMtceSVcIn6CV1zUj9uhGW4ahp3wPy8ln1X0f9XlmP/gEaGeQgQ
M91PZjx8dq0c++qq39gbK3cdrz3qE2BGefItwX9zhJlQPNLwTfug9ZEGsT8647ClOrKGlCBjwYXR
RO78ljI1TqIzRhXGHul2WkCyV8wAn4m2i056btQ/gMEk31osur9Zbc//wUyigrdmVJblSZmj1D47
7exFG9noShClaAcFXUNPh/WXT6U3l1SmZU1E5x6sbF2nz7ETzv/ZXjgjiTTh6jQF4vv9Xb3ylYGh
sdB8YfScb/CCgxMi/UKva6jpu3j2f9gVfohq+7kK7W+1ZvxVFsBV7o+5Enck8dThHgYTfPPabQZI
AXU6AkDGYPFHE+TTXnUREsRpizLtLP5VU9vciHUrp5ejy8OCgyspeYt1tY08akl9IVt4yQ8qTe2+
QXgKQZ25PtyfnfybFok+qaAEc9PcplWwSKLs2rIRijZpbMdmH++VVkd2qbETgZdhxWnblXZr9Ycy
0qq/w3pugr2X18r74XDk4awun5T22TJYlTUmoXFFQUETip7vnFS1XxoHv5N9b7dV+f5EmOYzLxvG
hOu1TIStZgTSalIswRACezCrDL/WVpTsY6Ovfmdib4aSwePN+ehjpQ/HvA/8uEmKc9UpPwyRDKdJ
wwDl/ndcO4kUdCDLIX4Ex3FxO+ZoQ+hJ0MGZyUflIvRIfZprggPOPu3eHRvzfH+8tR0KmZJY5EmY
6zJdE4ZBMS2rAt9Qcf7YIfCsdke9afOfhjbrWwjNtTPI20jKvNDjvumdxYVaqU1rw/WwrQabkTHO
kxcPrEh60KdJUGBJdA33EtC3Wy3ptYmShgNOJsjLduT1J/SM0R4iVEv82U0w1WRBXooyV/cGZkPH
968pFTzayg4grxtMljLG9uRG8J6qEgPHjj7rvjFD1dc6d6sCvDYr8MFUSMCFglZaHHts4lQBQN3x
03LIPuaqhqmfmJx9P2NQuxFA10IMiRNtQdluvcm0B8cr0lmlMSjMzvlYoZhw6QJT/QQ0H9EArR2a
Z55ZDR5jzfBjoDWz9b5euzXAUlpS+FgmcYtcCL90ZR5yi4dhFATqRa/wfjnNlE1+qlkY/IcfcN8c
wiEzvpEtZFt4vrWl9n7pVlDY5zdYbiB6eLQdPMd38in/0Ob2eBJugysAGPJv799AlB+B8cBxBIEr
f5U34QYz9wjP2dD1y64PTnVizIeqj9MHtdF/A6MNl5L6PQPxTZch29An3lYKQzWeOz8J20ApBpDb
PqqSEQPIemvDrmwiFk+CacCB3TZHQispunh2XV+ifxuwX9b8WoFirKlEleGPyUq5veoCTSUeEeXD
pDfxz/uLu5LoAUrgSibKSubT4shg6V7PRglwSBfYrtcNXks9+vnH+6Os7BYYf/QpQVhAd1q22zBj
bjM9Aq7dja5zGioMXN1CH89JjWnp/aF+paaLu5+0HW0w6AMr0hNR7nal1eFxhxkwNtYWvuhGsWvp
bfyNaNjgfdNEFuAF0XVZ/TNUWutpHs34RROBIb7OJmI8R7MXzvAyoFc0noa2mrKvytA79SVtJ0dD
0KkM8+dci/IvpaDvsoMQNL/YfdNhNzXU6fzUC039QgO4rY8K0uHdeZ6C6V8vEehsxEGjGyd9mLBD
BROK+9jURpjQZlgIyLKzhpQTFOPoYRqCXe1l3nfNGabxE8J8OLliqm5qfhE32RdtbvCsaCCN9we9
8cr/GrPLADmLRrT7JC90NO7suP1LKSs9QCWtYyu5VRN9tlN3GnfCTs3ikrV9hR+rY4oYzJ+HW4ba
JS0AJJU2GTbMAp9cV7jmS+JNSfoNjTxD3dgbK3c83D4e25wCNuDyeE+Y2yadPHNUtZQ9vlfiohgJ
QliFNV96vbDfnygxngQ6IWp0qxISk4IG1gA91cLD9VOJv8dDKwBe9aq3cbbWdj0xEAoV+rOoG8if
vwlcbY/CC0qz4SWyzLQ84fwYhnstDd3mpMdJsYVAXEknuPmkfQO0LZqty6NcAXbg7az4HcCgE9dj
+Ic1jc0uQb75kJgmzpeGOWwct9U58rdKMVmwTcuTXdk1jjAq7PuiH5oLHy94QUPL/gDRuT3eP9lr
wRL+OQK5aELRqFtceI0zmtPQ1PQlAKz0dIT0kKKFVcc2qj3S0tDIsCTfx5lqPkC3QowNt02j8u//
FmsTBnckW65Qjm/ufajpOUQJqoV43IavoGWLvTnX7tdc0ZuNnfrrEl2GMnYptXMQs2CTFzPO49ox
WtS1/ZpEcPrSeUX5J/1QR+xEFpvRKcvmYTp1elBkj3Os4CjY0kDD5jO1v6fo8b/kmfDai5FZSnFA
NM2me2uBaIKCpJjJpzi0pbXpaGFlrERd/VplReruh6ZVUR9rUyXfF/RG/gK7kXwlVcUGGzK29oDP
UYbTMAInj3UY4CP+7hWWYvOetKoAlrncxyM1OUWzdQXVm/wVr3fvLCYbCWZ1NDa+5crlJzU4GAep
ba5geaKuDmiiewg2cGLSNkPdPif2liLe+IxrlSRKzbQaacwQDZZPs1II06tzk88Ym+NTVRrIYlhS
y9vTWOKkMM2/BVz842in34c+ihEs0n7eX9OVIMuvQBUJ0O6KWozWUcgsPIVjihqAr5hpNuzKWMxH
gELaSUuLcAM0sHJMCHsU+LnsTYm+vl7aZrbTIWtQHkmBt+Ms32d701Pic6dw996f2+pXJAcm7P2q
ky1OSTWPRmJ1huJbGP74qHtN/uDV1gbQcW0UHtYS0CVVVZdFobiocIkZAsVvQnPCpkW6v7dgeO/P
ZXWvSJAcQqqU1G/ehKWrxO44UcBXA8wePSixfjEa5ofepvJteeP8Hz1r1d6ZvWc/Gbk1RwcQYPan
+7/GylWCoAqm3PyRNYzFVTJ6Q467UExZPx0jf4JlilFnnRxJTVF+9sbuTNtwS+5vbVCJVQJ+ALYc
Nsb1lqnoTOVmONDljkK011UleDC0pnjOUPHEPKGoPutd1W5UGFYuFVRj2KAEAmnqsQgBdVPF9jgi
bBJGsfiqIU56DNsKkOJsxIdRqfPHEaL6Phq5ObXidxgYEm+CKRYPnNuqjYpGldRm41zS5HwuWlEc
NE/8DFwqjZJ0++6jQl0DcAc4dJh4N+2vRGs1oeNL7Eezo//hGFMk6a7Txtm/eZlKFgRQLFMCnfkj
j9KbsDrpVVu1dDV87JHdT3Vfiw+dpzeHLuuclyo3HEh4AlAi+KV3PzQYGlKJ1HKknExOfz00dmlB
gp9D54991Km72Y6qP5tgnrH1LaxgiyJ/e1qldDiPb1pStGtpS1wPF06uOUOyxQ2mJ49GlKBUMpQ4
kzn80ONjbh80QSF0PxcC0+GKh4e+y/ShIKe2rCTZwLOsLDsPZI+eJadHCvVc/zJJ0tpqmBQ9cy+Q
lk0B7ufHkNX4llSd+91Vq848hY3hDDSVLB4T92PGyvBUlOUFQ3rEbboIw90cGf1Ah98nbTH2ZUth
adfOdrMr0rh/agpQnSLLnAe9y7+9f2SIzvJlyV1+06zwcEyiyFIPXABBjUaJyB7VwsQR3syL4azN
oftY11V3AFodXO4P/cst5SpFQ+8JbCMJNy0i0pXFDkChDA8Qzxr8ZHb6h7RuzfQwFYF+0PtoPo/4
gj+JpDN+eFPX0zWKm1OiGsGusptZ9jDrHWp40T9dUGyp/txEUylExYXPv0AO2YbMCN4cwtKAGB0l
eu93g2J/dQsksAoxO2c4CPMftRcZrx0W1a/3l+MmzaD4ZlHMgHHOw4cL+XpQAbgmtBq980UmVPWI
vGXmN04Ufxi8UqlPkBXNLcu6m3tZ1vtMBM7o2Eg+/3LXo+euJ6Hofa/g3Wvp8XRUKYMf709sdRSw
Q4hhcFncQMXapjaLIGh6v64762/0/sUHygvGb4zCG41bCLyA7JFcL19lZm5RxxQt6sG1EGseSyx5
vK1OwdpcaNg7KihZ5COWsLdmskwx9UPvm60y7UU9RTinRZsaLzLULk4G/WysqwB0aeTyiwxQVFQq
bLQGfHNw3HOnl2F9KAJb+5iElRUfBOB4/NCbwnqZ47L8iM9n6R5Qv8JWYRKZu3X13WxN2BvgSFAx
J6GhoyDD19vz4MDhd7RqluIEqb4zCqouCJCrZbSzvVJXaHyP07/v3DVyTMprOMdB87xpsrWijPoG
AJivkJ5+7My2eclFMGzsmtWZQZaFCcO9zoV0PTMsKC0LvdWZFAbZ3tLEvjHp4uoz7Vv9rMWRt0Xl
v4n09MM5avTVSNLImhanPBzR4OarT/6cmcnRA8725BR18mU0IrEbtdA561pZ+WEbh+/tIMqR6SXw
D3cMteTrqdoxzSBQIKqvKJU4mbkRfzInegm2p7RbgUX+XVf7V47FfcbXk6DY5ePQNeBqtkKZfaDN
5rEOvOmpre3oy1Cb+LHf3yi3iQSDoXoHz4jklwxmEa1HOoTIzmGNM2RK9c0Y9OiRfNSNT/lQ996u
N9Eg27WN1f4zhJ754vbe+CFJqAhu5BA3sYE2jVT7IjZA56Jlc73AbtiKHtuT2dcrvfgIWaM9gQRD
K/r+fNeGkWRDT9f5N8yV62H6vC2txGHLssGCZBdWKF/sPS0ct97eWwMtbodU03OlyozZ13LFfEzq
vjrmafZu1BWr9mY6v3Cnb2IL/qLkh8k0+5CNm11U9PMnYSb/BPrcH9CfHzcyrZurXQ6Hf5bk/EhW
qZz0m+HqGanHCJkIHz2s+VhimHKJTXM8D8lc7QqpATTkFIV/45O9GXSxkkUxadZs9rPvWqN2Rnko
fwirQd/Yf7eHTqNAwrmTBWE24SK0pFjrmPbMOcDjevoY6VN1bJ0EV2aoDhtD3W4NEnYkOqBiIiNz
I4auKEnUNmZv+IWSRgczAsFjds0W9e12QnIUeaSpOMMxXkQsWbEEc4hWP07V1V6fsmE/GKP4EndU
3+9/odt7AMAKGwMGAdDRm6dsYupZkMaq4U9Qp3curs7HaW7cY5vn8WEAjfvt/ni321BaYJJ4S84E
jCb9ehu27O4Msjs+JV7WnzETq/4sywTt3lCE8THJsOHeAWVVNwoxaysq+wQoAvL1qC9dD1tCEXbQ
iTB9gJzRAaRev880muWlYqgbe35tRanFSDgFywoE63qogpdcpWJT5ldZWl2itktfw8qen2bcS356
EyXbjbgoD9H1nQPWjKSJ24Cb50Zu2UI8NxYR7M8BS7S/0IZ3qgfI3hASDJGXKCLjUWCdszrHm49K
/6Uw9fKf+191ZXllP5csiXSCTHdxEwX60GQiLhDgCnDT7TwH48c00I6um7xbJ42eCKeDTUt2eNvY
naaILlUILR6J0ugMKc4+zKzN8f6EVj4i1BgOBQBVaulL3CgUUCvvCaNkK5VDa85CSkNY3QHiqDjj
q4Gj6f0BF4GFTiwXG9ol5JggfyiAXO8aBxRAQYcpu1BZcZ+sALnq1oy23ncro0CB5mYBQQLAePna
z+oOC9Mmy+DrpMULFpT1YS7dLZLn4ozLuehY51HG0eF53jTnHLNKUwH082JqRbfLulQ7Imrxt9Nr
s9iZE9ozuxAkxMYKLo7Br1EBxPCoo4ZMH3eR0XZtq8GyqLPLYMXFH/jSNA99gGkrusNJ6e3KtJI0
4i4GNY7kjvExdemn/c7vACuavSk5DEvopWKY08ilml1Qb3Y/WwYJFy5Xzq4Kg2Rvx3P9rChetbOn
JP+embV4vb+J1haetw7tPB7TvDflz9/c8SKj9duXdXmhzYzC5TQYPwLHrnbkZ+1eV/TiGXIYUe/d
oxpQ6pEPoE+PCs9i685DPTbeVJWXGbLZp7BV9XNlj83XRh3d50SkP2MwGN/vj7mykdlfdOwdmly3
1RutLLJ2rvvi4pWV8aEqlWoXKWrm3x9lZUsBP+AC1qnVgLhf1GlQagIgVynFBeVd90+3SpL0OFRD
KnwyG9Sucj0sSlyNwsTepeX/cnZeu3Fbbds+IgLsZZfkjDSybFm25bZDxHbMsgp7Pfrvov+daDS/
Bn6BIAGSwGu46lPuEiFv0vRZVz6+/iv2+fvP/b5vbHBslPaJ9Gljnbe25iGMRsuT9WkvJnzN3Onn
qlcvNsrR/vT6SJdm9Q/okAiRi/z8lSysZsOtUNWnNsuGYyRz77g5i7h5fZSL38Md9+epoLS8z/p/
dmnRl0Xndps+9RWpJy3ILq6dLCBTMf4S7vRn6nD2oKQA0Wd3w34+VO95daVxQTsFwWJ/nh0JI3Q0
OLtvEQPeI2C7nvxTXhVVk1KI9NTfHw1KM1QywOcGlOvP7iR0YkDSlkNz2kZhpP04rSc8GcfDXLsq
Rb+biGcZnCuxzoVVBIQUOCZV9F3H/2x+56rO8fKa6tOcm87RycY6jpb5mh3jhVWEFUMPZO/jg587
+zQHYX5y/UyfCku6sSib5qZxbFToDGM6vL5hznlq+zIyFgURl6R6X87nyygktXvT4LT3bdEtN06X
tX2MEY56L2cs6I4NwPP73O+mNZ3QwxH3Now949CtQTvj0hvpa2KBl6YYbR5M46HH2S/kHRdV5ONm
rXz8tOifrT0PkOHxC72Ss10chvcThBWFtxe6puPSi5Z4pz6Jtu8e81kEJwxojfT16T2rzPyZXf54
EIl7H+QF2b4tpd0tUatP3hQJJ9YUM/3UUWNlHYe8mO/ctUBpupqM6qa2kYC8sroXPjJySQeoh0NB
YsM+X9wIf7fc6LfuROvD+WR49XxnRaN9ZSov7SH0lwnId/EJyqRnw9BpmMlLVHfKDdd8iowue2g6
M7gxOqtPGuEaSYNzXjJN23DEvDFKbLG0nzxDiSsp5IWDQ48WwjQ9S4t05OxOKpexs4ci706gQPS7
yff0F8pELSqK+XTlpr00tWBOyFZBEvDX/lP+c9NWTbktVuW3p5Ge1mHSkOfYQ3/Zgt3BSgTjuw4U
pBMiv7ObALpzZpApi5MZaNRbJTuNr5mjiTPK82keKcX373M7m//SV/jPyEQ6OzYBEvALsLzUhEJV
CzGQemX+wRngfUNPHa8QqV/MIt8HeIgHhGIsceXZgmVRN+jQEhUcsmCMNbTHWK/ttbP+coPuw9At
gP3qkKCeb1Al85IINStP+dRyxlcFCSH2OhU17yah5uzJLobNvJtnu3eOkzmVgNmVp40DHYBNhDGC
HJV9ev1qOJdr+TPDe1t0J+SSoJzHdlmjezso+uqkm9VZeLdMwsfVzRW90YUNdzBVtp6art6CuAir
6KdD9JvF8MPM6k1WlHsjaxAiNjv8OOPFd/pv1go56YiZXPGp7xqhEUQS5TWmyotDxmSiAgEGHcIo
IcbZmrnjpAt8nMQJFZjlTeXr8rTUEndKqaIrz+3FoQguQFMjIfLi/jIimsQq2sQJNpK43frCjpda
BLflJp9eX41LI+1W9CS/AFVf8G1zVQNhy4eKg6b8eHC64SSzxUFYQRqH14c6N/X6s/DQXUnj9kIU
t+bzq2NCsTjHQEyciDXtX7VLnwzqmhM9GTC6ViyPpfresgbfq8oU1Z0P6zaMrXw0v0Fy62TSdqPr
0NsWxvjWaybvcZCDZxwCWQZ1stih/mFmmWvFU784n+sQL9bYlgq06Zw767WvuThxfyrzoIte3v12
C5Kfhnt1CmYMysAQV3Frdm0y0Vi5EvFduixI4RHrhvDNWT4LVXC4LDS45erklhgAb+Na3gPdyo+v
L8+lUXiywbntHmWUjJ6vDoDcIZJBUJ38KgrTqkD2qC5XP/37UTj5vM0AXV66F+Bdu1HMH8uTp1Yv
xW7OOcI7/Es7ln2ncYOD/djBrjtr5/m3lPBVihovy9Ms7Pz9EqLK7fmj+vtLnFGIIwGUg9I/bzKv
hj9rZ8wZxVy7AzwkcUQn3rkSZVzYaPRBqIDtou1ErGfXTmdENdU/wV2g2zU4BLnoUV5cwlDHfoN5
z5Vt8CJyY+p2NslObCWGOn/fhSqQYBy26gQ8ZL0dp1BDIpGw8iJsgr8sVoEouFk5/5iyupZZ7Tvs
WVK6D03i7f259l6opfVF4O8FlepUR52Tdk7eGjCfrM25XfCvfWsVy/xZA3X7jXpx8Ks1vV+v781L
4++SzR6JOQzv8xPgZ57QuovEadKqXo9EfWEHe1iO4cmPhMgxD2y7xx743XjgxsLswNlCUV8JsPb1
PJ8FxGcBLSAo+DJ0lkiEOriviFNhTurGWXouYhfo1ofBqvTHQlSlfde6/bUS84Vt5lCqJf0gkmSX
nW0zBNFn1G89bElnz1mTLNStF5dUv8HeQmP4+weOJJKLZi8pkbefx3dOABrD0/pUt7NpxxbO2B/a
sM1/Lc7qXwvpLszos8Hs57eBcLPW87qMjH0U6o0RVnmKTr8Z99WTUZlf68yrrxyis1Lvfv8gD0Cr
BSVcrtTzQzSWw9xGjStOHorRUyxkNX/qNWrDOFCXZrgrKanl7eu795zD/GdQmvve3uinOHCOdK17
5DwnnO5PKmy3R3Tec6THlvUWrTtMpH09Hydsk9Ol8i1sNespAf/QHYgfux/9qq/RXy5NOg8juHRc
1IBEndW52D3l0tshgYVX8cHmNN4tUdjcj3lRpRl5E3Bxgcvx65Nw4RHbL0rCakq2qNyePWLoOAnt
G7U44Ym+PQ41ALDWNMIfr49yaXnpxEAh3AVS/PPoHYkeHNUHApmtCI2jxpn6iCJB+7EDffBBYJN+
5dG8dDY5IxxLzgtH/ew58wfC8z4ymEuHevO0LfXBy0csanx1TZz/8lDE5dRBeXTOmxTm4i8YZyhx
8jvbi712+dG41paskXfNYOXiUkF7ASRIh/XFFVD1pWFIQPunYqz0vRkY811Gbe1KufXCc7YrihJF
76yyF8LKkdn1YzCTaGFqv00POuvzJV6icmsPJar8HS7MuWOnUba0wZ0u6uL361vlXNtrP5XodnAT
IIhEbHWeNWxuHwT9RigvdIiYI8hx8zY30Bo4GVsn5q+OVQbyi25rbJ1DiupzXBor6vPxEAX101pW
vptWTdX1yeZVrj5onDT9Y9RE1jXfsQsLwi+NIAfwBrzkP4Ez1k7RcXb6nqxGyFK9obhx5ehcGoR9
TFuYXibDnG3lKXOp/oKuPpW0729IbETsbWtzpR5y4YDuuSWbGPw6tdKzxwwFIT3tsqAnb+6CD1a2
lg+9t5T/rE0on1pi9Wt2AZcG3LWSqBf86VievWcBiEajUFN+Muq6TYcSLc1hyde3obF9c2h+H17f
VX9Cy7MggUid3ihI1z3DP6s8NRl2HXM9FadBtfWj42+FG0PlK7yUnrf+aM3ZVL8NM9OHK0jH83Ye
t4nyvjuvd/662d7RGUVYpXpvuf1TVcpR4AKqYk39QU1ObK4iz5Kh0oubjIttgSW2nCI/+FHpCKra
oUMdBo6PEWtVWUZSd7lAQHeX4DlKU9XHKKiM7q7NQmeIu0VWTqqqoKNrDf4yOHbWUpd/f0dSECeg
4P0jvzyfkdrWbgiNFQ2Z1V0Pc4iBEmQbJ82Gfr0y1KXFpqtKLM6x3gtUz+MJyX+aKa/CD1ii9ZRp
W38ahlp+h7toJqUw7P9ld1HLRAgEzSge9rPtnMGrcFWOqetsjUGa18673HLJN3Fiu9s245r04aUz
SsOTWj+X1+5K9fz7NiXMEfAOHrKm2ael4+VpgznPlZv5wksDThopqr1D/bI7baJDnreRb9xa9mBC
7WqtN73q+g8IgoiPrx+XSx/036H2Bf1PzRKCGOrMITJKPXZ1iWsIdRPUiFH9D6PANKAoAGQCEaXn
o/j+thTTzpjJZdfFgrr4DV28ax6gFx40moaADpF+25nMZxeoLItF4uOQn7LAwRBEWMYBOnh5hFZr
3ym/K27yUJppLrnzXv++S9s++oPKc+FsoA36/PtGc7DhHXHCxmUtk54jf1NP0oojwefOk/KS18e7
EEFSusQsctcSIZg+2/URtDDy0ADJMnc1Ht3eCo+C8t9xzXGYQ0NFQpxdrwECLw66mz3QFeIf5zWq
gWarrLywOM2WnR3EvE3J2BXeCUmaIJ1qb7iNqKleiVovHAXknTDDRA8Ojmq079//7M+g99vMMHr0
bkJtvWuEP5DsBuNnY4qc4+uTenEoeFSgc3nmOeLPh8Kw0Z9CyfuryzI8jn4mY2Wo/F3YTr/+h5HI
8YCQ8wB754SmSkfKUw2KbKHXtmNilRgo0GCr1TeFLeY17PE5cHWPsyD4EOBx9niDX+gHLHnRDKIo
Tv0wjvduaIhjgN29E4dh7n/sZ9T8Dp7aNpW4We9+d2unvW83pa61Z/8/P2RvfnFYaC2ebdu8aYO2
lqiRl1brpIXVihuMv8bjbDdYmU6RQQ7YTkyFVYcJqlncStnYHV6f/Atndb8deKNgz5GE2c+XGVaP
nr0FPfZejEipVcEv5dg9kk7Co7DiB//DBnZo+lHZBchPZe/5cLKeXTurdyv5vb6X1stYQk8cih8D
+OhrwpQXbnN2E30uqsgUrM+bGku94fJSN8ZtqeY5gZnX3a3CNE+vz+Clg7KDF3d1VnDB54/gqlp/
9CTk36Up+yn1wGvdrgJaVzwNpfPt9cEuLhd5EPo7u9jZeburmE2/rm0YhwX0LS/RQ83KZRZdkKq2
0nkjL7iyYpdGhIKA4BaFLveFkVbjBgtvCxx2mAjo5IeuGoExVHn2Thr+OqSeVIF55UK/tHAURmjh
76DQFxDUtjFI1OSYn6qy4hgqN4Ik4F8b5dINTlhGXEHl4WUdO4NbRGuPULzTxggQw8c8+KaDsHZE
ZX54M9CFwHfcKbyb19fwwobZW83oa8L4g+x0FhVGM8WlQptsS6+y7oqiLg/CmYM4AzZwZfHOfXz2
y87fgQt7KwpWs7+v7n8eDFS/tzWqpvI0Fbkyb2yVDW2qtMy2ZJztzviczV7rHx1lq/JW+57RJpnu
QcbYWwY0xqzM8KMZFvRRc+HUt2JU05NUfeUfKy/zzCuBw6WZ+e+vPbsRO2Ot5NArtEUAjqTuOiFe
Nw92jKXmX3rb/7+JAS9mo9aOW9N54if7iv4dPWrqP9v0yVy2Oqk1rWPH6NuHemzctB+G8crK7yt7
loztJCkiSLDVZPtnyR/Sy11bd8QMgY6qx2G21tg3rCIZcdJOQl8aKRoY7jeWx0ynMVKPr2+8C0cZ
VM4uzECtcX8Gn2+GqS78Ya7y4uTb2tFp3kkap6E3KPsmXzDmiFczGK/lQBfCUNIDQFAEumQl53m8
QpAMICZuCpFhl2+sse6P3jyLeDOkxSaixGphAQhUsPhL6s2fJSY4I0qi50KR/Oxzl7yphA0G82Q0
mf9QB2ZDw6+wErvqgisLe2lmId2gebiD8WiLPJ/ZYPXB6qm9F1Jle0jfOtaN8oV94zdULnOz3a6c
lEuzCpeCrAj4AaSUswGrUVUOCMHqVORT/mXuRQPgqq0OnWetwV3Zj1Edc2VGR7J3Q10Z/M+ffraP
cSsl0CbnA+x6XqryRiujq90ys2NRjRBHDbdNJTyO4s5B9KQ75FU90e+c8iJ1BlJeuiCFacedE+oH
o+jnp7wzgMWK3O71A5TTzkua3MruAmccxGOWlcNj1IXdWzR58UNtmrDZjl3o1frKibjw0EA3hcbE
DYmN4vnmXLqidZEiLU5tUy0PmIxaeTxiQXV8/eBdGiaiZ0J+QsPoRZUJ2pNAgVAWJz0Z6304Iqqk
3eCaCOiF2xPpWCQz2IJoKZ/Hk37vbaM/++rUeLBeUgcGCrrYRgNCzqUs/P31b7IvbMEQDS4APjRP
QVCdPWMTJk+N2JslmdOH+THrm2WKQWjZH0vlzmPiF43OY7bpYN+s9tpUMfqcEQzrflnld2V71Xbk
O0qZrtU6/nLQfNsSd7E7eRvUAX/AogwU6McozPqbesuXxxlqxvzgmkU+fxx8PxeJq/HzSMY2y407
FG1bXqxplG/cfNSPMJu29spCXphimHyI6AC9o8hyvl8QQlFjMDqKaFmrLcnaab5xcrdoTmPF36+E
QedU7f0GwyMV8A+MH/io58NtUg8T7n5McTlZYYLOlbSSUZmdirUn8zEp7EF9HzBPbO5NqOPmTZMb
1Rz7eUCBCVxpH8bG1Fkj9XkHXcZ5U02bvr4PLk0JjDhw/cT0CGGc3bLatNS2TODtdRWy/mYzHo1l
7WNPyr/UuvwzHZBGgX3CIwPxfTbU4NZFgaOLPCGUah0RQxt+ZirTyWhv+vfffxXq0XA99u4q/aHn
F3q+d7cbJGBO5lCHx1U4fjqgc5L4Qn96faRLx4j3CYAc5Vkkdc+KJXMmRrH1Sp6oxnyXqgwPEeqT
sYloyqMbzVOClYtIZ6uprqQSFy6lP+4/u4MsILjzYCQbvNxUHrNZ10NzcNY1eLsC/vr7/u2uCkNV
BqEvVEPObgnZu1L3Xc/2wK7tdhNGcygW/L6M0bqm7L5Hh2evEkNRj+RlAqJ0HtKVg5kpy6z4oDAv
7go166TzycjKcbV4gIwigeJfP72+fBe2fwQCgh0CHOEl3jkbdgOUCepMuXY9YKg+e1NZGLbVQXkF
RHJho+w8QwyUiDFe6uwMpR113MbiNC/GtJ0iG7neu4LLtElaZ4HdsVX1srybgJr6H/M8tLNr19GF
KGfvxnAp88C8hD0Ma6fMvDYh8Jhu+TMzqNnjJV1UnyxfyjbuA199QqyLSi3Sf5X/wVgbiDYdEa8f
j55bPtgDHt43E4oMb8B4YSzbzHnuxjKDXnt4fV0ubAaSHhqTvIgwg8+LSmXgTmMl6KY1hGQ3yl78
uDbFdlt7zpZIRXyflct0hex9cYkAaZJNUl+iy/D81gibejazYBKnMZDONyuq5dNa65m83C1uqn4Q
94r55XkzvdPrn3upmESEwSnmOSZjPh+a6tGqMYMUJztYC2y8FVTsGKbKViUSKfY25aWREkGRutHJ
NAnLweYudKBoT63x4fUfc+lMQAHYoeMEhzQqn0/DoB1y58CTqE/6bRiT39tfy9xtd+sWc1iurPSF
ewyWDCQZarF7+LP/mv+kuGTZqqgbHiCgfwE0hx4hRvTl0r//JuJdqhE7fe2FDlFOvELhcGQUaQWP
gGiduDBXfch5F6980KVjRjBKQRsa9l4Sff5BuA+K1hh8GGxeJm56pYIycZYi+LKIuXDoF4z66W8/
DhYuOCLwVARzRDbPR0QUGNJ+VKmTLRFvj0MXd0OkF5vBi+sNK/jXR7tQlCASpvtJYdnnOjsnpmiX
MqCRcY+EU4iq+FhXaElr5YnPmIqTybiqD9tkgCDYPEb1XORxlkXAx9fOM9Ybn4d4pT6cT9lBz35V
HPzWnfWh1faQxdhQtO5fLwiKxUgz7VEH5Lbz7M7u0TXRyHyeoJN3hzJavDvkVLBFDm3xMETDdmU8
j+l+/pDBEqY7CUYH6tALMw/wdA11l7o6ZUgHJ4QdXVKF2DpoZwpur6zF/v6ej0X0QYGUYhQ0j7P3
GeUw/NKsQZ64VNY+LcYJQXZ/l6WOUZEwP9Wk7d8y2bf1zRZ05Zis0DWWGI5qlcOVbhsRt4Mq/Deg
0pc7ueTRL0BM3YgQ7GLCY8jnOU+huvpzOlUzr/GV32+//P00RP7oawITpZn6fOsGGxq4QQuAqgys
7n1Gue3HnBHXQfW0Nz/pMs/9l8QxggWlIm4gEbjVRyWEWu99LdFILuDTlFeCnpcnGJka9jfAGApv
L7TKmc8Rp7n9qbbq5pNVGn7szFF0mNRkPTXj8uX1Sbgw3F6558IlxnqpOV8a5jzLqZQw58hHClTL
343VBqAp8inquFt1jTXz8nHl6BIVAwgIL2BlKpcr3hAe2J9yKD/MBZjsxTRXyPtuiDXoOt4id15d
iX9e3vNgmhFkx5aIgJWe+vOVhg1Qw2ET06kRZnvYwl7uOtPBlYd0P2IvtxQtU5Jaohz4c+edL1+V
mTkJGZ36vHOKow+LJX+n18A7RNZqFLGaMTdP5mIJvlnDXPeHwlv6IEU2YVpjFRrTL0xYtL3T0vyv
w+LlD00mC/XOa3u81DpLTe09rJKhT2a9rDVt5q7IgfTYeX+TrRliZ20+LNP7ftbSj8sNn/FkEZnE
fXg0VYfifRD905nS+Oq2nnqveGVzynh29jXM82KLfUlYlQI7NH5vKJutqd6m+p2l8uGfdV2kuo+2
ZfnpWdNUQY3wJp04Al5HwqcUMkZxD81AAGP95/0IF/FCWdQ7toNXrMkWBat4j1KZ/GRqJb4GlV1/
tZat6m4KW/afi5C69sEqt22LZTfPuAGNmRD/IhFT1KeR2pARh5Es5rjx8HT9OGd6wEAEbqRwb+bZ
p3USGePa/JOXDjXCdW29D4ZZhz/KOWq9Q0kcPt/YOLMJZBTE0N0Lg1bpvYIulaejt0jxZlTGar4B
NO44PyYZlUaMuNK8/eRGE6httdIGrm5tOkvKaJVvle0bvHhd11jvpc7aj8ozsnyCLbJE5q9taSN9
a9jt7LytnJreLFbAi2lzNQeGlt0JT22Aqb/ssBj9BByWXoh3He8XnQXtvyGBX2/EurV9Mu5eObcL
FafpVoaT/FVk9viVhjGRigLO8DSaSHDfLpL/IQZlOeu0GlZ7iVFYDDAOAnPf4IVXzG0CgCj/HerG
cRP4jtUWj1rJ7/Waz5C7VT7TtGjD8APCxpYEEaaKL62XNS0Us05+G1B0lYkd9sTkK49dBMYN4N4B
8xHVxqB5rC1WmwSqIzsdgbmCMf8ry5FfSywLsAdw/HzNU3BqkUwp9y6fs7Ww3hHGDN8AEQ36UDS9
6A6TzOcu7vC6G2MfuX+ZhBFSv0nnbf1vzriXTsArHtc+0mVcroN/b+gxBGoX0HhUtSWshExEJFXW
+GMyRUX5aPQdsr8eespjDM1/fCOqUNaYbdbd57wV8k3lOfrG0Kr5sTq+im5ssVpN2uObIZMIEeLH
cqj9Kja0PS0J219U2CSi6BJ3mxf8a01O9nXDKe+urpZyOcCqwRtMm9KR6WDyztwXbWtDLhGNe1dQ
r65js5n7N2NZrSB3gzx7tDaz/BrxhEpk1cv8Yy2y6pPptdv3wqj6LfHKwlqTys7ynzghFUZc2pMs
EwHLMo8NbMjWNBOBDm8ba1g+O3brvI8a6YxxWefi8yI27ynK3XFOtnb1340KZGlalOH8s3aN1Y7H
qaZ+2YVhXcDgGh2o/31TIeAdqNJMi3paxziqt8ng34/RoQrHLsNpoq4eEGjNLb6sDNoqHfvaa1Nn
7cv1J7Q9jnIflV6R1vT/5K0xtO69omX2sGVFlCoY6iiZYDq5xsAO3S0ZJui/aU1zT8UK7b5EyX7+
YDh+16frMNsPbu5I/ubpLlXNFqpk2WavSFQ06q+l6ORvbHMdaMO6sVjdNQ8GdqHW79sVV/vEW8vx
S5HLPk/aJVdbjP8JB2TqlgFlaE+3P4SH6VWccZmptMehNjsOhe9/9s1q/t37ofzs6FEsh8GfBi+J
er947zWGn9+AJ4cItOp2zNNCdt4IRItCYErAH1lEOXnWx3Nu2DduL1R+dGqaSPGU993bRdim4KZT
81Nm2xS/tEvcHNdB5fwszTIvDmuHYNRRiDWktEP35Zuz6apIQ0pl2LUiAvfUG0U2Jqr0vS/U97rh
UBl5V8fwMrffBn3enca2hFu8Wcb6BeNt3SVRbqjbziWpTuZWWIhNoMsqUp89E8WW0ej3cNyqrwAs
wIBN/TAtcRSZw/c8z1rMk3Rt/oNfxPBFgrVAwqC3xXfprX57yJH18+NoHtB9DErGSqqy3DkWsM28
uMrK5vdcAiFKO8+v1GGaliBI2tCUDzZ0gEcLVsKSDEtRDJiuFc5nmNzUIM1yDJunbDD9AUTapP/Z
doAJx9EyusOWa6wT7QCnQddSg5ni9DZ0SRgUy+cGlg6hKZa1Hm5PGotqgbYmeii4GFjx1tkIZ1K0
RePX19sWHEJjDsDgBAbwBXCqiKi66AeeajPzspu+bnbGX+CWTIq9UPFPPCFsI9GNbalDNRv2Z8oD
dYvY6wxAb6xr51evougt7CPohsEKxyVuVT1qvC3l+ugsU3PviaIPYjfvADfxRIqH1e7WJ7cW21Mt
W/YqQmH+7zAjjjvUG+E0d4ew75ZKoPkquzxsj+6CbV0cNeOwAqtEDjQ2KuXKe6ed3FOZj8U/ec21
gDtiUYhkrab2qXedQhyrCZLLRJm/vkOKZ2tp/7j9aWl66x/MByvsMRr+hBG195JrfjTzg+6C+Xcz
bQ6S2hB7qCarnmvQ7OvoLSSHLE/XcQ1uLFv3beJknq8TND+Hfz2dSS/eGrMojtU6BIpTlke/IXF3
WMhymxjxVvNaJgoYYIGZa4kVKD1o9Xss/WkjtihqatG1dNfYAlYwJFbe5TK2Zh09FHmBaIq5ekuy
SsytYtdpq6+THIt/68aepzQLVLhS1Tb8x9wxa86/Z7iajpP0CDBQNQWgxMMqWtY5dkfdP2yhPfbJ
Ssj8ITOgwx177v7T6C9ZlC4qIzhueIlsaoXrGAKnLlG+harHq+v7WffFdmt7A4STi0/dukXyoGsA
sDFuUuFDg97AlAZLxp6s7WHpbwVstX8dbej3wtAY6njKVXOSh2EjkrmKpiVdxX5r0cVYH5e8Lv3b
yq7Kt0hVYV/RY9cHnsPrpvcCB4n1Zq0h+R+5Jcz3IY7wC0GBtR7qUTXRO1L46hF7C3Lfzm0DlWpv
Beq2Gjtcgvdm5UbectkczNKUQ9zkJs8Ojm1FgCCONMt7w8ibOh66WjbJDNmC93FaGo4ot/2/ehuq
98ilkf1bboFnLK4km327DXr5FVljftP72os4L8PyqfbX+k2xOsMn01Q8g0ju03/Qbd9mcW1zwyb4
Sag5Vq7J428IgUxKGIA78LvZ/ybDihNmbp1zl1UqHPgCSp9x1nEpJ5acG/zzjGKq49yu/bfkcuUS
BwjYNqlbOaN52ERt28lStNyLnbN4XgpIBxiRRJ3B5ohE4QMgIJw5gqzIRGzMa6bZfoVx3yNKoeKm
7Sf+YzlFD7Wkb8c7E+AqnM3RPN9MAz1D+meSwKvCNeDfxvbGEmY+QSxwSoVRqext9kq2juIX/rdL
hlRyYX1UqsmfDG+Mvga9ySOfS+70scLm6WYuiqw7drhkIk3k21ZHhboxalxsFt9gw2uDFoqv669T
ZE4NlTsx3uL7WuhbuZTOJ9WN0iH/sEonbjobTGM0dpY+mq3hAuj2wGikdDUQPzRnnT244W6pXLh0
isEieUhdkmFJzDpXu5iPBa2aAQ0yAxnoBXrZGBu+J36Mtt66W+0WxgelTESKeoDqT9YOEEm8DgG1
uPKBj8egI+xbrYyF/h0KsFiPLfP4MSqb1kzEEE7fe9PK7wu8ZNZEdI5sb8mTrSqBUsFLYpDsCMJD
5b7r3EzTGwwL625eDWu+UcDu+liG8/gJmRSPX216EqOv1Te/i6aq7mY/m0WiA8RKk6Ftli8toL0h
LqzenzECdpYlKcZuGmJkYLIGx/FZFAdrJBBPIk1mk7JVLZ3QSup+FsKdUCuKyqCKeWUM861lAAR5
Q3IQyNhGNo1UarLVh7Ys6z5G+sf+Ce3cIwSJNGLVQduow1xpNpmLUcscI/jRvs+BNNYxygPZD2e0
hs9bo7olXQg+NPO0ZwKdWlSXTqsYKJyHi+jijKYl6Ju2LT/21RY9QFjg/d/8tZuPPWGSG1dtlP8c
Wif7h7anpRIvbM0p8TO3YVhkhN/V9JF+da5HhF2Y/geFYGAXa6MT7/LGpAG7am/5B0MhlOEjCx50
4tZNP6crkdcP17O6L7vCmHGciUe+Gps1/ka1Twk4pGO4X9JqHWJB9PKPkhOfZ/frRHUZHsC7jH7M
fLQNWf4kRVt+y0YWPQ0ByRZ1VdMJsompneOqcLmEs8XjB8+zhWiLJMdQPSWmzBnegmjw3EToRv7E
PKr76eYRr4Z0EXiL26LfynSoDPerO5KbJe4SzF9JaLnIuLDASYZcz/ciV26ZrFY5FSlhXrPPj0JS
ZNjk+t1b/LaJse8ht/TszfkOUZTIxyinYUmFF8kO/tJUfy2zcv7ljQooR6VInWLAKcYDEbtH+jq2
MruZWmXN8TgOC8ssvbY8YDTfQ14AZznwKi7rN1UiQhcPQWcaCQ98dZdhhsJt04n1hzHn5ZvaXvrq
UVtAgWpD+Z8LiOLi2MxrBBmhbiLnDQLoZZOGvcpvwqwbRErc2QBgsdapuVET8gzx0q1OTpyd1RrY
iT2SOSvX5lirRSZm5u8FY5XzjOPM0v2LaW4o4nndSnJAan/ysD/a3zfDXYbYBxokUu7o7N3SOuVv
3x/cKvV6Q36YbLPU6b6p39R4qRC4t77ZJvAKbCwdqoBCWz+AnpuJHj+Gqz92ST/Pi5kACTF4/gwx
/hLZBictMrbai0lyl1td/R9HZ7IcJ7KF4ScignnYAlWlWbIsWbY2hIcWJFMmZEICT3+/uptedHfY
pRJknvOP2eTljFbze53u6VYkLQkUuTPPzu+eS+NPtcXyswvqg9TlPls4+yMZsRHHTF1euHkpx59y
sqLtlf7Y+yQS1Opsc3Lm3t+/t64Uv5HJTN/IXxo+5/jwksu2epMpMsLg61zHu+LGGMZFFs0xJBz/
A3LgfGDDYTnumvD3sszmKRD8vbmgEeTfprqhZ+s+bEWOQBtw1XBXR4U7bfal57+99sLJnEs8ePuv
ahiy12o1bVZWDsIr3oRp5mYOAfDz/1uE8gZZw+3aVkdTOP0SIAdLj8gvrR3Fe8fse8mGNPu0Rxxy
jmdjG3HeEVOfK1Vl/5H5M3U5w+A8n7K5CvszuQhpWwRpw4G6V3b4YGr0Hiz56UseqsijjT3xtD5L
d0p/b1W7f4bWN3eRd82oo7p1/8dxzbOSmoi/MBuWkVMSxWCde0AA/8wepc9LckxHQXis+MN8lIX5
njrjHaYMk4BSLCgOwAOm6rZRBziSntzDXtrMtkD2bsvtER9zkrHQBsOlZTPfbmY6xhxM8ZHjnRrd
60d0K/teCJMKycU0AUGNTs1vv52Wuc+1P/ZcZ8Fu03tHWfd9aeblGcs3w9ARDs0DQzPr2t709YhK
Qq8UUq8+gJ04nIC5EKVfnzeK/P3TEPn1N5fekJvR9+WrPbR2KLOgdiavvHSTpa2aROVHutqRgIg0
FUXT7LwdC5YK4LLV309p2PR/jtXLPl3HzC29e5kHITsd2ZKv6e7XuUoByYtlUcFb4K7yszXZRsnp
nFoL+KyVe8veuFgmVjuLgnY71ysagOU6j1JiV+tQsW/E69Q8uU7WTwUTXeOcMSbCduCDjF7bJvbG
svcXsnQDAK49D72YwJM22eS/uF+p6avX5OCuz1L9o2u36tVuQVWVkAz+f5qf5qnLfPyEiden3zZh
Nj7j0F7dyH7yWSHJGvKuZSnLdQWonYdzVv82xDnWxSAnxQ1TN+l0Umzt//mBTZuSGHHJtWLW4Mgj
FWALlQiLn6pg4E6dAGj02bs67O7MMa3PTt8ODXpAk72oeF44oB33ANhI5sCUDmjreDoi6fAwwHh7
uTsc/p1cZBzygav4J1kuuNnSfh2+OaHXPFIPssUgepv8SPZFh4Ubi+3Ntn7N91Xv8Z0zSye5Q36c
ehBLS70Rclsn8R095tuXIpuN2gf0c18q3IFl6tAlznpAjsK8Yvrln4rsMue76fwHJrN9uQxXq1+e
CTCeYhvV9jwzxn6OWbyQUwMZ/55RF9ewkOtWkge5pJ/01vVvK90KXBUbManoIFN2se6Q60uWybZh
05a+dwqHY4ixVCXudwhBZ74dDbt1nlV+/NRHVXBH0HDm5+laL59bHQ1/mOD8r2DY4QIaeoQpp1MB
QT6qSrqGie3w5ks1CvceD6maEVZXcitTW6vfIlj2FAotqzUhDlmsT+ao5x8rWJvP8F536sQsALSY
LIcgMHpopq/enVwNB1QNf9e55vjswWzT0qbS4c07tuFFd17zhUKHHduflvXt8PT2vIeN/cXzEbzG
lND9aUA5u3zTqEOJxqymz4G8iMe6lrV/Obq1/r0zMabF3O7wgFnCMpYfnS8/aruOv47Oc3+uo6e+
z2QF/XQGPccXi37wGb9+8luIulLEIu5dW04gcGN5ON52QZeGqpAh0//vQAX+SxNi9LMft2EriDpi
cWVS9f8NOzh/SZJUzDO38JIsadARnOd63VscVsTndX6FqCTk/nfzjGjmLN+HPpuLyN227ZLNICyM
LdL8gLj2v7VJJr8vUSPvvUkk3Y0ZXLcpO7JBwsJymWy5aQKXFhSfnsR8t2H9VjnTXsPD+e2HzRqH
Y3OzVDhIOUf/jU6yA6dC+fw8xELiZtMLFQJtd646wfnYOxXbLUH1kJgfXu03E4daHSSXkQjpNOe5
RPLMT0fUwL64DxxEHG+ikhXMq/LWL6SEnCru3tAfCbkknTPf15Xt4zF/21WysS8YtpzbQG02yncJ
j5irrNvSnNFj/ZxwDYw5tpcULK5lls17WIExn5QIKTYxnDD5gABbQJksPFhB7ff/aQAG8GzPRYw5
62A8h2gLvSI0lK6XezNjx8UmwtE4OT0r8aFIVckjgMK9lKCnNVKSvn9ZuonK6sYOseTOlVlW1O00
31mfeDc+Yru25UCB+WM/DVlcUNbk/qi2Of7S0Bffx3plxjAdz+eC0ncGJ4xkyPGknYy+vn788A1h
5fkmEvG+LsEavFPkEr5OSMnUeE4VpPcHnLX+b5l8hzNepwvNqBfNXRdd6ANQj52fLewz0zA/eAI9
xw0BfOtw2ldZfS6cHbdMhttwbhUaiqKPjfwXiqolN73q05n81hjomaq7jNVZrsv7pG0DysqZ3VzW
xCyPmTF4wWmBX7+ayV43NhbEb9HeqZddeMlI0sEcWIb/dni0yvNfunVzxWnCoCXyVOr9qx3i4F42
yf4WKa/7GHhKI5KOJ/uyb8H8W7ZT/GOEaAdBEzHr5hi0y3uP3Fo+JPTmzGxEvWWtnHyG53XwWiCh
dY3YJThIxfSkQFdn76aXabB2gDDRHgVA++4ujYuaKfGHGLBg1vUJVmBMmHLancndRRjcnZrZq9i5
vEDcKfr/+NcjNWq5k26eW86cr++t0wUvKcgp4wZSnP8sIUAfS6ednzOfxctHMvx3eCHtYU9kW/+X
mCCEXmFFDgoUB+2dAdNSZaPVFQfklHkiWLaXuLB8O53aio8Dq7HFd1gjxvDsNhiE/vUebuU8hPw2
pM5VK5NMxkBJIhcbPYcDMjRDhlsVi+op2kJ3K9Z9yL6PdtqmG5+o3v2yDqS8XsEFV934liXuFPnD
tp76YKw/RgedLPDFDKRDjWITFy6xr23Z7M1h7t24bqvTFhxJVo5jnJpcaJXYUiLFSBlLzPiKY2Nv
Ieb3CSl2Yvkiumy23wEipC7arHfTf43bR7CCaTO7d3rxjihPuD2bQquA8cykVd/xMjGmXyCGKEPQ
C4vDFKtpKKdhmHbwU6wbp8AbXRZAUbukcWU7Ao8zdbGb90Ibzop0kzvuw9+rFPB/jK6pjioMBvcU
D+32Y00Wk5U2SAwO5hgqKw8RXxzP/PomvzAxjFtp1lTdc2kPP9fZBjdZ209/O26w5mZFmdudU7sP
7Tmepux5WPXQlbwsQAitn0wNa0bcZSfp4RbNxRIxIAoAdnW+Xo/ebW2FTB5bFoW/VR9SXjetwS9p
ml2Wbe+NY76RziKLrMerQurc4X1FY8hkkwOHmfjiJco3L3skluMnoMemHw8g8PgUMsY0edXb+j9c
fPV+8aDuhvuByiNWgqVJhh+SDFL/7E1EYZSAguF0i7S4rc9rMjfyKdxVteW1PZLx1gKnz2yiIU3h
vBcMwaDRYr8bglB7Pzm22GgyhQtB5MLOS5z3gjv4aXN7Eb04GcEnQe5k+2ZOmEf7N6aqKr51t0HO
z9K/CsS6NNr9cnDl8U8KoMDfy9W8eTE8aIZX3oW4a4TrnQKOvPYkavx+xWqoTOfUHQfvPKX1wm7K
8wOV6llC3ATRwYb/U1bhHWlUsbnPrkP3O70h6fa37Z1F8wZz+OQd6yPflxZ6eyJ7deFok247k9Xb
B8Fjsm2xuGPbHboCe0QLkG5tQ3JoxY0f/5VxpLILUP5QF32q4UeaqM7WE9xE9qPZMwct4HT4f4M9
1NtrX8V6OUnbdRkdySsjqp5gcovBk8K/WLVP9pGAWce7OK2A1HNoU5Fnzrnpawuc2aUXuiK2wcCF
nvvDs/9U3YKDdNW+WYaXzPta+cPXByC4qTsHgJjmPWk4gy77MbI88v14z9LFfVYoHApMuMTwBIVH
vIh58J1R3CxqpWCPuJ7lwaNVcf7HxZLaAuZp9F6cakqDoklV5ryEDHCKsIZjWZ+yyqZQlLz/9psn
l9k+glUn4U+PQJDkpDcdwrTI3bd37Z5a88g74JmCLVOR02l4IcpQ4pLP11VH7l8PnnsuUwE0fxvY
vle3wLqkC6C/5xIx+BE05xaXxc0cGdWUUSysvvgLcqIc58ruv/XAQzofOusC7rhA6cW0y218HBPN
XdCzx+rSziMC9Y3smiHvSYLuc4QS7r3rrS2gkwjmvfBVmBlWIwJS7zKAt3+H2uGY0aZrc2JxrYJz
PVUkAdacF+vDmE08R1Dcx1YaRh/5vb2aJ7irBLE427ItTimplO74mEvVZic0AfFWVNKsn353rGGR
YYw+ch44E9/UfdKas+6OmC0io6/+5I/raIo5pLu21DQU7qeKhDm/bEw47R9dOvguZGW4xG+RVl5y
l8GtsiSSa1gEzsgHp/nOvM/TVuFwoaZaFism063QdDsfpejXlfJbsxuz3V1zvfdyO0LRnnDV+PxY
8YGfpnFmK58yO0av/OFckJIf7oc2VnvlYZaMeAt4/X9sUvqJEKR6v4Hkaz7C6nod0Syeug9us7n2
rDLLZBFZ5k0YO4cxr4nrQd21teFe7BrniEsUIAfst0kCtRfAqFNwR4dR+D1kvUV91xoC7nLAym5k
baiW44fc3WnIKV5MK+iFEeZXZktVnd3VDdU7RITmF7O2Q30PkIEKQAtjwJjht+JTvzUIEdGdaajs
uvfWH8DwTX0+toq0UZwS8VQqun/QeUep2Z7GJXEeI+QV6S1wQqxyR7nCu4/APt6XtYoASxsEYXCo
2uEEm7MRaC7sQhqSEpSHRb8HRONrf1AgdN5QNWeT1PGQt4Jt8k4dEZnAtAJ6ryCzrBhDP5OtZ7IR
JHWYK/3ZhJ48SmkPURVDfChNVZ4MRdmO6Hd+qWFg8g2gp9o8Cfqxv5ml0O5z1uGhPA/rkLqPLnl3
nOArkAGcJjwJUw/WgCA6MUIQ6tNXNjYXHsaDGvZZY+1p2h6Q10P56zwFFfLzb9E1keOjM03TQAav
sLUn1VbsvSHK6+i7ioW7lstKwPC/1lTpBFnAOdozn4PfAM66POiTyxJ2CWcgy6fD91pROghfg5OJ
bGZuxjrUyzlDH9h8X+ZtZpzAFTeeN4ckcdWvu7yxtDG/DeRR389UXM+lL8wBq4jOowwaLxofkqCV
6pZbbkBpuAkgEmE0ROEsgpX2+kAMP8G7qrgQU1o11MJEy9dwmFgQENAv4a2qZ0KZVqwg/5Ty9LOF
/PqJt337P27iQgQYswdnoGLHp2YIeOCN4rZ0p7otTKbSV61TkSXESLwRggzphbogOI8j0YFvZNcg
WU/oIvyvXfR23I0cgvbkWJGiAuHIIwdfQdtYXjf/Ff2FlG4xdMDf/8ne9u0Fx2k3FDM8dlL6YxKv
5ymEpsdWtjnLJPPkaDvqv113XdVjTaz4SlwxEM0DmlexnuNWTp9mRhsFRrUIkMXMHYnPINqz4kSs
qWPX/oFBv1+P+YNtYlif5yhrHnAVz/Wlmfc1OEtAYlCCtYO31dnhjchsxqCiwK7raB63JkXdE8+A
gnpywySPcKUN+eYE9lHA2WcXYTlMCk9DGRbRsPk75Voz29ziaLGcx25SF4PYqi4CiqqaBx/SbCir
BcfwTUpAFircfez2kqrlRRXS372jNHUklwKOgRuba14E8Nrh4hR7lNSPG3VDBKmPNgXZy7rmySDh
REnULBE/mPCOUyw8E1z2bJx/teNcP624ltHCCD63RyDwcD7Yo340zRQ/7XzusciqdGH7roX8sFvv
/yYEoXsNo1591pU3oLxYj/B4uSpv0kcvWAFd0S5pQmwAvRV1fqk8ckuC7KfoItXkgUl7DQTiUE1X
6zg7LsfmjP95ghf73G+VGc/0IEbRhZfRpCe/Sdb+THIEIikj911dfCfutkuMokAXWtRJdMYQpKu3
dWFZLucwvF4Io3E/+MO8+cEwsHq/6ZzNoouUjueXsrFHc1ZprLPz3lJm8rpUq3gP25BXV8i5+tWl
mQbB2MLgE7oHHVdLbNh3swMYnrbaRp9zjYUkn1jw4IoZWnjlOZh+aDC3pqiaefqy1P4OpYAbegIR
7JDVxCZ5IRpgRtyQRmt7hl3feJP8pnJzN5ACvZFc3JGwwDoGGR/c8b2RW/be7rH6QjUc9o/h7grE
ywPOB3+V/VAksgFji1yh8LRNfLLvJppkc4N0i27DbQW5fluSK2nBpL18i+20//HQ4gyETabsrKkj
p38QdK14oBSRC7+KYx3eB7vR+qdFL5mcK3q5wsvccL7c+Q4Q76U+dLCUkw5WNDO+HbCgViw2LZDS
druIxHwnmpdH1HFi9TngZftjUV5/czKSnIuxJmSGN5I26Zt2Iy6gbKaVlhF1VG54VWcFtJaiiR0v
lVrX18OsA/v0rAiFMTD0WemnO9xR7fQGuK4RdAUoxXqLmMPu+gYh02JLZ53cFyxGoGWymWZyRdl3
m/PAOvifXNMNcmpPIKPnmkfvbzduc50H/nb4oJjrNt0i+uNLYJBQuaYiZDgHjfGaMt5M+Iv9AskA
INo+/Fiksdzgy8qdRBEtrHaON0SSj6x83ZwWQNj2sZOt+NHYru/KSWaee+qSZZY/k6kaY35pASxK
QEuuuXE9E1qShQb3j6kswh3E+NGBpMquf7RxDtIUJrGYG5RCVCYkUUSbempp4ykTv4ueXeZh+6+n
hzjMlwB6rrCuxkHcj04jUXjNsTg3YUu2bEbmHul8gVI/rE/S9Xm2Mw26nEldcOKfPbwJK9wIr+Px
POtpMBY/qjh+ek1bjRcSfsk+Q7YXmlPFgwrsi9L+ve1rN3mc4qpGq1Abrz5tjQFDdzMnvtudRQEW
NcnUw+HM1wmVUMyooAoOwUiN8RxwtXYrFEkQMOPt2FMJU65jWm8l2remQWaigLFWVRvac1UKOujJ
xPmxjwObFF/XL9dJKdZdFDYymH3o33JbG2gitJYuIghOaIo+a37L5bH0yXwjINd/H1oAnyVgxytz
XN0xaIhmeltXka23W7N5/8W6iavTDP79rT00IiOuygZnhUriKz05LCds2TGWkq0JS/jE6G1CThOf
sDRU/5FFiDbnGqLzcsT+0F6yanCTO47PtSsZtwOfK0JNbMTR4aIhYp9vzjVjY3qJ+MV/uXxfE/Ot
ScSlR6jc/9YzSfk5IwecdC6S0b+BFqjvcMY7yy2m0qy76mAOVcTDxn7vA0FOrzIGTc/9MQXk023q
bfecm60tokylp/TqHcsNjIJ3ExHcOlxYjBrcfnXX9Hcol7sNUWakMaYnIG1nnvCxe/QQmA68gaAc
Jwz71d047/NjY/j1n494cb9Dnq2vWRpkn/7ow3o3mtvRBZ92eXgQKrpfYs6cLjcQm00JEeQF5y7b
IDdA4XsUYRtA+DKJ+TWxoWtLWnM2LJ3LqNLcIJyzCJe19U+g7h2knyd89ONg9OK+o9Nkxi7nmRoi
H1zrZzIG0nkQAYNAmU3QwEXodsTV+Y3vHN/QbIC8manK4tL2bvTYowFrXndJtlFLj/WglwJVinjs
zeaNz8FhZ0g+vTfZJXCEuCbpa+/VxYdJOJ8j/O3blMka87CrzH+bNK2938CA5TMjyX7NNEgr5uHR
le4F6pVxJIzN5L+ATElzctikFadr2n5IbbswDyo/mt8O8F/Gqa4GG2YI35wPb5qc9WHvPdi5A3NJ
9AT81a9n2gSi8N2R/RGUyLo2oONYBOl1S7F4NxAtNaVmsBV5Z1vj8DWp7KVlQQO+hhh1bxA0Z78C
1N/t2Swhz02W9RtSxiDY/y5rtnMHdhPUc42ShoeqMvWXo+ZsfUU6DvEaQqvOL2GT7qhIAYvsyxEs
6yeC2m5G0opyL5/WIx4uoUEMdapN5mhSnXetC7kl68uxtP7KIFvJX4ZBqMZ/Ip1fu3IYFvvIx9WU
BcNq31J8IOZvDCiMlDy0BnOMPNT2/aA4xH0xAEZIJvwlDKcbYVcuqBpF3Dc/2cMQHCTKPkavd39P
2Zz8CFDqL9c9b/o11H2bfferFvG4fwxt9mBdVfcv2xFcEatUpNPFR3aLxjfgtiqUD9n77RAgSw/z
PE3Zg6cS+IXQrN33CJ9p/OSYxW8vTECVf/I7iBSairLVAedyqpnNNq7F9tBG4FEnu8Tr34yrdi10
oxRHtZbuSBHsxKpfeZ4G+yf/7blFkzjksVAL8ouRTfhlB0CSJVlfY5UzaQx0t6qjX3NksTPpmFTS
gd1v1zQD9q6VqUUd9B7PDGPXhrqjMkUy7xIoTPpLUNR870RXLZOVTBdxqgqXA/c6wuIbLOUO9w2w
j4byruIVzIpdgGEW3TSkkvlFTWNBDDKfMM2UO38dWxv4zVUfveynOfMjv/CAxX+JzvY2xwMa+Kcl
aZLwUc+S32OoCW9+JNcCCbXKfKXfejDa47zTUXJ9GjNAOZwZbV8csR77c4hUZUeKyXbTkuSBJor7
mktwjaOfngJoKph0veHSOVrN93btxJs3q0EXq253p1w2VLowsgGa5RD8+vmggcM5U3Y+BKdR1bW6
s97UNvdhqlYm1WBFo8lXw/w5Crs/jYQmEPE19ZJ01a2VLUunHjWjd7bf4Qdp+584npMbEkOX1ylo
kA9tk1K/bZT0X3CR6RvtNEDii18hv6cA9dF3o+65x/n8Ykdp5tMGU4HCc9n9155BGM4buvs1XLmE
4DSJQGI2srMpqt5H/uwuej3bUQfZAzCll5RL2uhP3oaJqxQIAGrcs7Q6SKbQX0O6rpgl9hk53F5H
6Ve9ZX59aoXutgJhnFY3WTMFX4ODvPUU94gqWCTp3CM6d2pVDB/dbX8WLAAfm+aOuHLasT6Hx9S5
z97OOV9AY/jzbSCW6rh0SNZ/oZLCBOHvQ/rm0Xw8PytEegbIKvEsOEtayecl3TmkdboSY7duafS7
EV2bXIA6YMtkrcVdkOwZpgYS7PsbLnWD9DSp3VMSJfNwQtOKeE7jwbw/mCx3lHYEDN4NXuZ9k0bL
m2qUCJr8qeKH2oWtGGSkG96lycApG8xS/1oHx3fPSdNyvrO3c8jyIVmSOtHH02+PC+V9a2I9Fw3x
OMHJjZogvRkEA/4JN1SomHLGiGyoqpYJvheFsqyN7fB369PlY9+dablzEtfedqZew9fUHOkeQiyL
45+rLLaecPShAixZYr9m1PnR/cHBVSIwb0dcuWrKzscSsX+B3W7NcPaczRNYGOzy0jjO+I/ED/bh
3XXnTyn6Vp6RaqFXbtcVaF+OSkbM56P7QXWabt7w4dh3NhQ8dVu6Z+V+cG+imghc3DUz9/DOqP6H
qkO7lY5cOMgoyEae5QYp8ueBFfOpRXP5TqgAdFs4NdPfBK2aydMuU/dJIGnRTqsFMEcfnbgH+uD5
IfF200Xa+NEnxeHtj12kIsk1hEmTzzsyD7zX4ljzsG8EOqwrefiQ0j2znbxKM1cmxkMpjukaKYcN
HB8ERe+kfxmSNN7CY6jhLdBJ/E0W3M63yWoPfNTuEc/nxEcoXlTuFkyXgDGtuvL6mShWiIzT5DRM
XyTYy7+CF7G5MyO2NcBE3+9LxwYcsIsjw5mLmZH2YRigNFDyT2hLUBQioB99FoJTr1NHn1RWb08k
J9n4z8E3Sc4KE6N7r5JwwCXVLv56bkS2BKfYBnt30ydbOPF9RZwR/dEbHD9rs4mStYb8+nxjkNR0
nsCFANIr+Un2FqYvfhWBKOFGr4Ij5WZ/XIXyKkc53ounw9X9dHLiFG0XE0kY8uWGI2fzOK3Vcp4x
y+ib1AF0h8o9UM3OxgNj1mhfdUmjiMxQ3OxIfAXjN8a9mhqxE4nePtKWxjx1iVWPSWJ0XSaNqZOH
ONi9P8FGdjHM6mrDC8DStl+0yKz63elE+4VY0cjfXdViqqQWAwwEiC9dy9ipcXkxWqTpjfZs2z4e
kyf/shzvr5xnnbjgpBGPjo4XdbFbLaJ7ROLZG/FU4u9olp2QM1TOIbLgcab+S46iYaUkwjsfkpWr
GVXVKNhKkJ0WmA2wI0Hf1oBMkjXxTGIadX6TCLiaEeJFB6XaqwlfMFZ54lz5pn0ghvkwJ82o2z1p
NozzuATkbmXONHNaUoH4RYlP2N4hPFx/ZmElnkI2ja1Ejmj+q2M3+akCbFdPaWZneXPMrvmW9FvQ
/XJBII73o17tcJOavTY8o7hIyjGZ1owRoUv0bVsn3C0cft775pF6W/RhzynHsM+xyw24kCvK1qRJ
o/XG8OLYJXRKvArjKwC2+JLO6vxVyPjY6xbYRKSDy/DbGUYmxMSju+AGzigWp6jpO8andmtONKte
Ka80EAiUmGYfZhCFsZxcZLp424MuPHVe4kSg9kfyZ9wayDtvxSnE9DJ1R7mNuExPfSLQE67EsAU3
sYOC5NIuh/8rWVBUlR7C7P7ixkn1J7Z81HmpFhKP4OOecY0gtVo2ZDHXNBy0PGYYd3MbgX2fu3jf
JhQPPEsDhrhx/mja1fGhea4JhHMQ2e0ygX1OHApD+hsPcfANeYX/h1N9ja9aqq4+AzZOzXevcReF
tp872nxrOithcFCZVqd22HbL9ROJ7sbza585O95ZLpG5j7J0gMd/yqkJl0uws2rBadVyeGx8SlTw
9lVyeXGbSOlynfb1oVu7Eb0p4khWpwAm8BHjhXSRxYoD8n8IFM2SoRHLduN4wNs5CKt346s+dtF5
bbh7MG3otiQQaLyP2nEKn+mcaOZz7FxhGL1m4oUPNH6iM+b7yQ94Mua13WuAFGhaVt+DaoP0WI7V
IPMl0h5XjJW7vmsTmQ2nzEWh1uG3Q4tPWHl64Yxz1xunQcCKOCLTnI6A5W8I1Hfm52jy68d6Xkbz
ZLPjWPBBJgfqBRc7BNSFwfOiF6z2FzD9KnnlQ43gt1h3qsJWbvBeSYjdQnmCdTdpmqxCjDdyGGcN
ksHdXbCdr8gHHirfiZLziOnhvut46L8lLslJN+zpCPTZsRDRxZPnVD/7blvAQ0dpvyKECMcta9e8
XRxo3uAOuTyDZjx2wRmpe8+D1IrucZGeRZ2KRv4N9xTqL55T2b8yfGZ/kTx2+IaTepkKLF0+GysB
oc1bPDX1b3RGyX5WRHlGbBJ08+HYChP/PA3/XztJygt478Dc//pWzTZHT9s+ghHN4o6mh2Elj6vT
X5vfgHIDBqH7nwgN5AGaRn7bgsH9OLvRoo47yatcl30oxIuohxaHRsKr/IPbecQLgDKgfmxQS6d3
CMtFUC4ddlTEktC4ZbWb6X7og7YqQPDSj4nQqe6Cd5BJZhm6Vt0ms9c1d54vJO2aFENg0IFiIj2T
6nOw2Qreu5j7UKsPKzveMt9vCbUkLo0ahGh0jTmBdqf9M0Jd0vbjbcedsvuqfqY6TnLrrv12ggQI
q9PQWiBu5QTpO73qEkXKtNvqkZcMicV1mfvu1qG33PRHyuRSJSlHRBxhVIox+6al9jRXfxYoGT8s
W4LtIAEG4PD1bPJou/j4KeYIvZwGlM+KIahg3bLOZafx23V/Gfh7+FZwKgheYMUm0vnJKAoX+UB0
CmjesKchwBd4Gr0QhELW4Hr5MqO0KuLaD7sLcpwuPfsiHcLL5kCWksk1zhc3FchrJ70H4iaMq/+R
dmY7ciJhm76hHwmCIIDT3Km9yuX1BHlps+87Vz8PHmnGRaUy5Rn1QbdktSOBiPi2d4nkoY9Cc8GP
WfFj2w5+AcYtUeXjnNVR/sz5LZTnG9owehApaBensnsMbZi026IMewCjvERyceSrhF4a3T0KQaNz
45Z1/hBMENo9d0J1BPhLMlNDRJMD+sWPf88wXWuP8SblEy0pN9KfMs1yyg0Sa4lkt8Vzusva0Cp2
NWPUH03GKH9vN1pRbyubHhIp1hw8N/ACxu9VazIji8jYkr0POEQdy55p16nsa5vMEXuE3yYhEo6H
jT/TTlcizo99J/vhqTWKREHuS6dP9oCOP0uozIGwYNa3TjEG+lFvwb1uujlgPIHkAxd7HsBXpA9V
EXmyBCjMZkyUwQ/1Y+YeNOdS4Mq6pn65oR3U20CMYbR16qky9hmS1t7ocn1uQVsic2rNQtXEr7Fu
PjZ9MCvmVLgrFSRNpNZ10E0fm8R3ngNGPAapA5D+nS5bPL0NgEngnYsQ2nOOfDOsjtRqho3l29V3
RiGM7d3cNalhZQjUkJcT0bMgL0xOgMmNZC9Me6ZVozoZMQWDVLxHPiewD0ZN89+bgNLQtMqBn5KC
JXpDMxB43a6yh0jbxklDbPNRfpTeOAMoP1lj5vxi5gAZi3ZQHOzNsRrN/Vxk00dOMeNEyJjTxjGm
wjiaOVq0CCr08rUCf1jcFe4wtTdBZfWfOOCLQ1/fBfvMLYpfZmtOv4HrRjDIKm0CE+aQPKsOxCdB
w4H/VMb023W3aJl4Q6pzj9rYzPV2DHx/3temSf3Edn8qwEj9Zoju7sAALlwkOtP1l3nq55gfp8iF
B8oNqCV9UD0ypKpID0cwLx6Z++CQl9e1syn8mVvPdJF42EK9yYs9Jh4W+JeK22g3hsjCb0hqp8+9
a7UfzMpovo6ZPZ1SZIqim4o+9a2NUtpCYh0g36QYqYDjtdH/p6flx3cVGLgvIqydnNSyMEpg2Fzc
bHm7GvdoWvl0NLFbsU/OoDnJbjJDqEHugPJG6AB2OJYA/ZB00CoHRIIT5E8YhVVfkbsNX6Ip0b4a
Xc5gJ7OJJndoY6XmnkZlb20Bvjt3djxCJMFxRwKE0jH1MxMbgETmi+G0DEEZ7QG6p68Owu6+kWP5
Q8f+eNh3o0SIAEEFOOO2UwTqOOLf4dIRBHL00k7KpcAj9mwoltxPDVi8CN6M3ylkhnzr1QLNHDOi
EeOrnc3VZyUTbKdMowi/t9x64z6l//yj0kB8bQAZB+MRVXr9O1sC5VDKFJ26yB7GRwQm5KKYN1sS
H5E6SfaN2zXNEz4vNaBqczZ+qmrOqUaYw+W7wkZNexfMdvkhQv3H3FdlFzxFSEj9Ipjbaqd16SQo
pA0TZG2epj9yJnUjEPTKpq6ZBwnKzkwYadV9AZxoNknm5xLOKthYJ7FOtqA424bg7mkeCTSYN6pG
n2IrjJCJhhwDF42KCDmjlgFNd0yCovcJ84P6ghP7AL/FzKzHwA6ohYzYNb/0vi3EsSvs8TmO0iC9
VQBXfiu7j740WslZzjhbf1qkc7dD8S6zt0gjhZ/sooj7UxXN8DXswHZPmmuK4QF+GD5fvTt24ClF
ZE43jgJ1SvLY0w0pEjxMN0k7qq/TMAITGDu39Y8JY+lbA9JedChxT9FJjZqlbQwhUh5nbZ7uuqod
Ok9AwXN3KqFohXE4uPYtU9Im4xBW/AqtK2hEw9OME2agaErsLKONy4c88JG4YPfqHxNui/wIZAuv
J81MpuYlUV38lDTT/NOA7eCNBqzKZU6OIX3bF1WAa/xkzZCTHBrWrq9csZUlWYCXq0rqQFE0NOdk
FCbB0UKbgaG8JYtgN0ryyyMd+dD4Njbj8FrIXmsOkBrV/dwGWX1USEJ8jToqC9qrZfYCoDMfNoPF
i2MboFSwJWKitjH4an4p0s6aNjQSJtC7tYYOW2Ao0CydNlHyUO1PwSmgR7kX+siEP44yQ5K49NWv
VjgUCS3QgnbTDmqUVDuz/5x1makdTAgEP/U0NZUnB2H+182lldFaUfqTPycZkPvC6b4sFtKARSD+
kyrI3LVuZoCWWL2jGvKYo10FlJlhUnczlb01HyCb508ODXCiBgqk3wcI9DTNHav57qos1LyO9tqH
Cn5CvIESHT20oIhjZkClfDJohbPLJpNZgJiKyL+HfxjB80xq97Ex0nQ8wsvEhFcsExkQNNUHzWhp
TOm5cMO91aYVx0er2+7RHYIx2E9DipVYg/J7ceJ6IuNyMwNDX7ZjinXQ6CQp+8lGSyTKwY6EAdMx
bqLWMY+lkBb4nT8domxhhtLbIExtJ/jdt1Yx9uy4DBQTiVPIJAYNlw5ooMHM6kdSh+5jTHhDHYZA
8k1B76pvotAPxF4bbfoPNCQGc2+jMRLtoN7aL8KfDSDvZhlm2FXU9lMbVtzyTUeSp2UV7FgkccDt
0bhgILdhnhCYuznxS/prorQPOnMpME55aFrbjtkL/UddL15I0kjkhkI3oLo1XFPH2TKnx9TgDt30
E2O0wYqjJYWu6TfPvYrpjBVRuI1GcMCb3sdM6dYs9bRZ6Cikkj+oaWwbRRBLPPKeiSWWpeMYBp9+
epbocX32i6pBfCE0weHPETfIAdWutr7RqWBegsFOoOFbZQRECEJVvyli4Oj3tB1ohAVFIz/5TuI/
tcHs3+tMavxbWajZ3qK5oQ171x2MbDNPhppuy0Cinza2evYb98HyqxZ2/qcJ8OjsJShy/Wb4EWFo
lgOB2NBV7FEFr0J6Y4bvZnfIQ3PpmrIPf6BnFNpHROUwS5ymdFKUP8gieJpdVo9+WBl04BWF196q
GfXxGcIcHpOlfPNka4Do4eOrGTRjXdXMIArH2Mk8q7YJZoPWibEYowrQMbG/k7PtAF4D6Yz3RpJ2
+Quch+5pirv+2cyKhmsaQHsDGj8cP9dyqU/gj/Q3aDEAG3OSzB5uueN8/QO7ESKFmsy8B7JmWcY+
8GmWQAQFv7ahMF2E9/V2uPWdEaykpVmoZTK8y7bKCQw92CRYLP1XMWFfIGswjTc07fuvneGAAKdO
qV/CtgSyjxrObQFKytr7EyM4dJsC+Gi+GUS/gqozxh2QcaRfFs0MsZmBfPgHi75Li2CA6X62fBF+
Qqq9+JCMEQcnknl7mlSh64xhQnkLQScQm5hNg/Q/+U68txITVYkp0t1j4cbmHVPZNseNmzb3Y96l
YHJoVFuvrev0zabszJqDAPzHp50QEDEl6WPzMPtR5W4CxKqsbWPkC4s7IK/Za4ERf1FNXM2HikFL
98RPHV9qghPC/Frl0kFVltnuZ+gG4CmJXYrXZTHhzOTcfELyielPmjrlz8bt7XpjBMohVKQdzA1A
HGBGZN2CBAwWc4RtbPpZdKz1EaQPojhYd9ANMpsHMbvRK61+ZT2wEVM0Q4Xq/L1RWcQ0mv+MzoMO
tDVNS6sK9noyoAjD/9pXe+SP0S2I7RkpPPiMiPzzbuFc0T6i8Yq0gx3v6n5o40ODpG1IgRX2D0L0
+iIi4IT382xqzofAl9NrthxG2hMxVW5ZuOpVBwGCvIFVJrdB7aQmCjtu86Vn6DkeMzj2DxkBATu1
HFvYgLFTQWjohm8t0tD/oZgg76SWSaSNbMd3toEERH0Dk01HwbksRg91IuumrrFc3EBsARUxk1mx
X6nzrW8GDdHPBghN0iYwRzQ0oW/aH5RIzXLf171C6YaAvG0gGXkIUfTVkT8Lk00zjJBvUqFKfWfC
LMoOjuymb6k90Nme+9ANdoIKOPtGU9bZQ/FdWjpmTd5MeaeZJwCF3U1v9vSRNKeyyEtsy/3O9Eyk
kPCNcIkPqEPDl0gH8xUlNv3D2Ij0p8Y++dpkY3EfymBaaCM+N6jlT/lPiPr6wlA2aJe5iNj9F2Ya
ZnbMX9S4mYhfty47fbpNZZY+aUmcWNsZXHC8sWygBl9Qxghgu+FDDDsNeWb69jOVInGGYfOuHcvh
ZYzjuX0pGNfBm3Lr9lNGTxJoKEL0X0BYDM4R+JhZgQLKuSkxhbStTVVReJ4GvdCabwzG9Xwrhqgq
7+hrFDcF+dV8rIHFiH2oBxqUBiBciPRkY/hMHiK+GYFP9pnPwEbAbLdg4GY9rlrkdHB+2FTMlQra
ymYZH+fZnWCU5SnJc6l0lz0X5pI0mQtwPGSUcNwCRWOUj8BckwfINHV8N5SpBRRIzwBdJYGZgxaO
ZbC36CWXpJD9MgetUGF8RgUN6rplRE7ugZJR5hZclv8dBa4gfio7q44PWGGIfF8LdwCU6YjqAQPn
qtoYkc6vhmgjxI1wgH+D0nbSY2pkaXhDg7Qgb8OeqAeV1Uz6l9YptV9U4zlvdyjs50llEujlFNdq
g2xkF32ogH4dzGCcun0qRir+WfQNAFjTLw6g6uInA6UjpKKKopwfoqoysZ2FaoMBHOjbIHv4H5CB
SmujdvCU04c3yHOW9n0vIt/dzPY0Grv/Eb5ZS0CxmTf7PU5ZRpaXOZI7Mk/3A6rA4wEUul7wV82A
Eoq4nE5lPeX2Pu2IWFPHh4M4kQxX1D3PCIkqEhzkNVF3pUZZ/vwvaVyGnxODnrLzEIzWt4ZVmOBC
wO8K6sxr4tCL0OZKSBSREHqsCilK/lkJicaLWiiMns7rkEnY+Yge7SMlnIcJcZgtHSL7m+bP1BMu
eSAzbbBnBdk4RMDYvKK+eU4o0jaxjmcsZGPLtJIE1djStMv0zmvsuT106GEikx31x8uim2c0MJWN
OJwjzMXVwVzJUWoBbdyJMsTr/PoDHzD4bIIwX2aLmkf/gCKqSiFkX17UOPuWEcA3wDNjHrT2NMmh
QA4+TUdv6HvjCRiDc5TC0LaSgcyBrAvlIvA1+6xR864ckmqDuam7LYfiminvua2FbNf/+SGLJulf
Wwu1pdquFS+5zzLU94BZOY4R3UIX7a9YtJ79nMA1MIRahN3fKbyqUaW2rDtPMT8+mo5pPShk465o
Vp9dxZY2b8s0AbatPmcPPqUzQIh6AndWulPSOhVDbe0vf7+zm+avVVbK2GYbKFBYY+eVkKI9HCqC
vcN06DNKXPlNXAOkJOfrr5yHM58Kyx8dE1NDt/EVXj0aBvIujUbZeTZ6iHurnNqHLhl8xNug/V1+
vjNvESwoqBoFXAm1+pUAeofYEniQuPMwqhPwZ1vlHIBKMjz/13UEu0E3cb8xkKJdXzZhznUOiIXd
FzfmQzELoKLzGFzZE+91dVmFNNKUNhzJd4qziDWCC7fYeT5yiwenqMRH3x218WaOYuHRB/TFFWv2
5fu/vUTxo8JSkrvLRkB+vdcFVic2ekSNR4rQfQotygwtTpP9mKsASeVF6z9RBepvvhBXhG//GHWs
1rYxTXAVmuP4rdrLt/37RDN1gQgWzV7ba8rwEoC+SC9JzaUALnNReL0N7tCrO/KxE1MBVVGmGNZN
18FOOCS6W1FX+XCKmdGj22Kl9pRtoUT41imHTguIIEMHlEmr4wY3mW0xhS+Bd29SKPnZHjsoELIZ
micgBdNZvtr1bJZXrs/32xOVawKDBDEj8a5ZuQ8ablpEUSQmL3QS9YpQFDiGOdSfL2/O9+dtWWXZ
L9zQmCOtzludaIlkpjExqkJmINSGFnJhKLyhnJvj5aXOPpCrXMeVSCgiy/T2m+lQVWcnsFkKv+x9
IunMLtDBK6f63ANhcoGDnKmkotH+dhUEpNy6diUmg4CJtlNjIX0wU9TBWbjmNnjmANDZ1OmtUvXY
TOXeLgW2OYe36IxeQIFUbNJsQB+qGxZJIwQMRXiHzGr4fXA7YLci1abwysWy/P2rQ+CwvCFtKKvM
BVYXGN3UOOtkNXq0SzRaiBnz2mIApkfH4baq9HinzOKaCfmZ9+vQAbRwKuOawbn57UOXfhnFdltP
XqxFWHqoId3bdTfsTWRv/v1TstTikyBx8MBI8u1SgYoRkU/Ym7Ecv0gxdrC7mPUqU2ZXVjr7Jv9a
abVp2kpDQqbLJq8lCX0Bu6UecreYoMaI3qtQOWEm66jD5fNwdlGXaaKJkY5OxvH28eDDUUA7EDoa
wBs/ODHBz6ykeHFyYdxnRie+T0xef1xe9Nznk8Q8yUuVjr7WC4e2FjDUSQYvgONyU2VwrDQJ44EW
dX3lpZ5bylFCgsVzDYEi4dvnQ3uaEnUoR2+QiIIPsoJ8FPX/dePgXolEZ94k4AndYuxBLMCD6u1K
1SSLvDfU4MVN3z6hImoeJsxDPjLare4cPwC+GOk/L7/Is2tiFQTnjBgIMvPtmtFER9FYxqM9sOCM
qW+T3qZIzO+iEeEkNAJ05H8m0OTydHnh94HeNAziAX60uloMPt4uDBYuT9BFqgh6Vgh9mmF7igfG
ryLriv9MREqCK9/x/b3NglK3iLMYfai1aVbNwRtC0VRo2WsNNSNaclkSNVe+4flVSGlJngV392q3
GE2OuuPYVl5WjMBHXGD7z26sxJWHeb8peRi8aB1Cq3j/2Qxap7L329qrB/TMQO8081HRTxx2IerF
vy9/qjOLqSV648qFpK/lrD4V063JrqKw9RDc0W5b7AcP4ehnD5NeXjNcWrb421hgIsFJNqSMxVRh
7czlDpbFQMFvvLJsqvYXes1UUaKb0gcECkFN9wwf+xtIPv4TDkYpla5BqL/8uGc+ISJIHD9iO2Zw
67IEBcjZT2ipepYfdnd62wF3gW/06fIq514q2YpLNYd/kLWOek40F9hLFZ0XZiI8+HP2HeZutrcl
aOPLK505acvZxuzbpngV6+dhuDCExmjXnopn/diNThDTw0YMmplz3x2RXG3/3XKamhAjX50SiNC3
jgllgZmCiTSBp9fa+EQ0QFVIze6tgJh7uPx0fxLI1ZYhgBN3ONILfnW54f7KoWH6heBgEEWScD+z
m8WwrmZiDj1nA6tC3jRWXfwHNXb4jhmB2HMP6q8Cme8r99mZ78mGEQILEpO8bR2RQDaPohILbgFM
7yvatYwpnajRTlMGvP7yM5/5oq6J4DDXGa5IhMG3j2zbWaq6KOq8CHTXrTaU1ke/6jIIfw2NImQg
8YjZ/euSEgA5V6cEoIKR0OoOAKmT52kUNx4WEyg5WGrP7LXZ6cieb/MBxvrl5d6fQZbDhBFzFZ0x
or3KZOaBdlfYOrUXGmHnIXhRHDWe9coq778Zq5D2LoZlOr261XtMwRVLf/BrL2rd+QG5HeeYBi7g
6kXq5fIDrZfiS+m2oldH5FG4Zq3iglZJlPs7jQF63Vc3TWE2IFXt4hBY0b8mLH+W4rCbDpqD7jvL
RgYwoMjqVPdwEslPJC1fIA4OCysruPL+1l9pvdKyT/86egYCDknSFhhUhOVwGDpf7aSGfMflV7eO
CcsqUGh0ynSDqmtdn/TxZBApOsMzyEZQXLXUJ9N0bY+c3d73rRHvUYV07/FMafYjGodXDtuZh8Sp
y+RsG+QplGJvHzLBKhnvIiQjBaCLm1xzulO0kA0uP+T6SPOQpEM2gBeIjg6NnLerIOalZMTN4uWJ
BTc9g4caIeOJj0wEqhs7mH909lnW+985imBPQsN5u143a2RDvqZ7DAb1fpvNSfylrm306C4/15l9
z5sjD3JAyejvIkEP2mfSciVgr+DhCms6ntFYamnkwrFB3+DKcmc+FshTXiDtMBc62CoYWEUFbhz+
AWWzBQmpiuM7Pq7tXX4oc3k7f8cc3h4XPWWH0G2M8NYXh2hVTDELCo8T37ifoiIPaXDIonmtSg0M
mIO7W0RPJQgPuWwm3C8qIQi3MyqZ4Fd7sdWCyEDwxOns6BC4en1ibxvNtnZcEM7VHE64IHCtQktn
nvdc1Hmr7RDUUU8zWB1aN6lmyoMaksj9ijDzhBpKKXrw1/AJBEMxjE5uRl9Pui0KMnm4xaVHBzsO
4nO6En/PfWAHpzZDZ+Zh07B4u5HGQKA7g2qpF+pO7M3wDTexlhY0EyCbXX7tZ84IbVNeO1buZ1pJ
cYyQBXryM7JZYf/ZxsHGg4427DrZlf+NU3/FbXmJMauPbDI6MDkoS39kXTA49dDls85y2PShKzQH
2W+MJp2PAU4VW8RvxSPaHjg/Z/iVXH7QP8nfu6UtShUqFtqg62ibpUHcVBVwK3q7gXVb5jL6Ah7C
fek1x1q8Vh007cIueJw7rfoisq46gOtXr5VfiM8DSgiPPS3D/eVfdeZL/+n/glDnpbxr12ejYQRR
IrFBhaB9Cuq2uUH3o/gIgi6+8gLOL8Voi+mrWvp6bzeVK2ekDDTFl251NCOLGrSOFeX3hQbA5P/h
qZYuvaAJxP2+CsxZLyp81YmWCJnAXUIku92lWhi+wDhvny6vdWYDm0v9pGhxS4ymV49VTaQgcePM
HviAOfkUkNt9HAET3HcpokA/hZi0K8Hr7IowGZfOk8m/ViuGWhYFRpLPnjGUNhx7JCVBveH00gX0
YdPgmjP1up3AxUicNC2mBGRt7+q3ptdKu0rayUvCQOxGAeuxL0FSAc/IQIoGP3XXVP+Yef9Zkz3J
RUzGw/hxtVlCcJxZYHEB53bxAjgEPicQ4GMxpNH/51JL+Pkr4WkL5tdB70zeLJw42ueYDzxnCdig
jZbqYrqyNc++TAtrWVuZeBqucwKkgpUTAgPx3GYwbgcE/o+dTNPfC3j+FMxl+Qld3PLKHj139AQs
LskMm7HSOrQtoLxy6OhWWpCOHkYEBo9tWUfIIcHhvnwczl2wtO0dFpOOstenPG5qeN65O0LTFwwp
gqI6QVM0oEsmKH8NZD/YYuFSCgD3Spfm2srLsfn7OyJ+GmtTzkOCTNxWmQ36yZ0QFR1z9yRHo/vV
hw2YgloV+ZWljXNrLzNcDhvWts46rFRW2TOAT/iqfV0XRPLW70E0TlG/QyY4drZYjYTjLqcsGrYK
iLE3wWuNkeD33Rt0tBxjo0MACLdOLgMkrmFHo642jb6zqa2qwaxoFgO86AHdn/3lD3Zub9AFIvlh
LiHfZeJZmPnGhNyZV6VOehhczd4hHZCSPerOlb1/7uIiodAFeRz31rpe0nsknuUwz15fV9MhKMLm
hF1OsdODab4Lw2I6Xn60c2cNqUDGgCT5Fq3etzsCOLAZBIi/er3ru+IgO7O7B9viB0+9WQjHy/xF
VcJImvbl8sJ/5kXrWA9iBPoBoZ5MebWyCohzOgIXXqGNokRbIpLfaxcXGK+1K6c+SnAQzgGnriTa
D3USom5QQX8BZzlaXwZkE/JHWCeJQFo+gs7kF3JwduUUIRXvIC+QHBq43/qpqPr4Y4YS2qKV45cd
BI6wDm7A4M8f46rXwShNlgJCCnpNfmsD6NhbOEntz7mdZ/QiHCBCO9gz1es0xDaIZqcaQeV3KN7d
oppj4ht0+cWc2QF0a9EIc4kmZNmra32M80bB2R1J5btFxqw0Uu02TsLhG3DbOD00XRdVh39f07Bp
kdHnp+W/zrtKPCXCvtXowBdw63dVmU9sO26GPYBX34Cs2tP0+H9Zkwm0tFyTlu4qAakDusNjzZqT
tH0+ggGgueVuOFjaOH7odffKhlti1Gq/AbggVOom7XfmGm93OgKFZu8jQu8FGd4NG7/FxmZrIdx9
DThz5khJetMWJZJS5AWrD+iiEAvxLBs9idpDiMKEbmho+2S4laLVmiDzH87zXdxM8ffLb/TMNSUl
Esvkz/yLofDbJ5yHuFG6xWxPIDOOPYSKJnePZY/Z73thiSvjy3P7lD1qWNJA7oZ+3NvVZDaiWQuR
yqvauUPbqEUIVEaaGHd2O6NXohAwv3IPnwkhjDAstijFK02e1ZZxijBozbCaQSShqnnfJgs9WIWJ
AvKYfVeadm/ntjluc6f1r8TsZXesdw/j0iX9Nyw8gVdLo4aW6w3lqcedUp24/NN91gLQqx0ZezjK
ypPCtmqX17E2b8q+qq+87XPfVrkU1xgVmPTuVruXFnBGcm5wK7T5s4OVkIfhwY8ZF5bj5U1knFvJ
RkN86f245F/Ln/+VIyQGqlp5UPFdSZPEYxhbNFUhHmj5DpUeJiIbd87Ke9Pu4Abj+ZJ/q5oqPwHS
cj7pWW6CQoTZ+INTUKmbCNxK6yGtTB/p8u88c5wJV7iGSEEWRXvs7c8Eo9LabjbOngzhboquRQm8
gYV8ZZXlsK6+O3wZ2PX0Felyr7MWTRg4CCIL6RlE/fTo91lX3gK7Dm46/IEgKvdDbcKrMeJbGyNO
1J6CfP5KH7fAnXRMoLYAoM+Puh0B+rchFP9qdJDdKCkLE5OTWdjtFkUx1PzQ64FiQomJ1ZefTdA9
YteN7R9KaxC1RRJaF7fUh+l0cpoK02Ul7WRAyDSzUQku24mPFCUlAvwtl/VdP03xj1GG5bOMguC3
KFXW7vzBCGDv+hiwbTErxagGpfz6xkSVLthlmppyHHIGcWPqTZZ/vfwm38EJKVcU3XtjqQSZRa6L
wBTBWMQSAosyuovET7KCcvivQ+znM/zqsHnSZSOpeaNeDbdVN6IYmvNhwi2NtOm3DUg8uxKAzmx0
OvocJfpzJKXraYJjIHCZVob0zALU+yawjI9U+fIJ78Hxw+WHP3NXUhMy73KoR3n05WL760zpbp0P
RWnhralxtyDl1lZI6cQ2HsNBC2/0hTFD+O8FDW0UepDAaFhyfVkGcyQipP9N1CAypU6kDW50GAQe
NF8madjXpm3LeVsdFAdUkIWA3lLpr1OIsJkYLs6G6WUmHG4T1sKxVlgAoLyefQa+PRwyvXy+/FrP
xAP2E81jJZllGGuwEKWj3bd5KJlq2+BPEToSWIs72fBUVy7Zc9XTpgrm5BYKdHAN8HzmAsKQHrAj
0B2uZHf1TYdshnOP3yKoVBS6oTohn4Wk+r9fcwRykIFMSiGSrJFyQ4R3SjLlyks6a8Cb0sZmOzSu
+d2fOQrOgghaIJuM8Ndd8bi1XF+SkHkj8vc7Fy0vrNZabW8WTA4vf7N3c0vuAWpAC6kq1zV4e8t7
/essgMOHuYtFs1f3NuxylVl30mmjfaRZ88me7IlOcdZ+kV1v7kLNiXczvidX3uqZ87ggTvhyNG75
JavfoOAgoCkV254F7ehzGlstouaGfyicwfqMT3hwbTB87qkBFculrycAxzrLL/rrqZ0mVSVkH7Vk
uzmG9hZ0mTmHoula5Y5ZEr59E/Y4yTCiwhpEA+aMs33lwjv71A5ZPikiP2Z9XJJJn8Yw1W2kOV15
SGDlbnHLQa8KSMGuMO34Wsl/5oi4Ok1rwZ2/4LdXGEiI76mK/c724DzFDgIhboJSrcx3rYO1iV3K
xfbaiV4APiAc5egNtvb0+ycrrjc9Ld8d+vPOMUKD5tPlTXjuh9H3lPhICVRi9FXyYBRI0A+6ZnF2
Hflik+JurK4Prjz/mSuRN/1/V1ndEBYCSZihR9hdJEi9Eva+4UsvPo+D/N4jAHzTDK15JU39M+hZ
XcMEGibWTHYh0rirnY00PSm7Q5Qt66zTNqWtdfWhyMcSOxQcgTctNi7wdFJEAx5z9CzgKpUIDN2L
GE3hu0Rv+6+ItU4nXG78/muUahK/B5EjwDOhlIJICEgtJBah6wbbehiSF18NuBkloldb+qMLW15L
x0/McDQcEIOgsXDnsxp7F4FYOYZJiwabifUvjENk/LGMqWPD3+FMYvkvjj+CSyrMpa8YAMUPds2A
tgMiu5a8NsI9eyBNWn3wUSE46FK8PZA24ljoSDeKVlgxuYc4Jnk71pWthycjwfN109TS1TbGFNkn
Q3UTAgwC9CuErNBXx8vb8cz1u4x22I1QSABjr86JG3XG4vqivJlJwz5WAfZoscDcy830K3fAmZDJ
UnTGF6j5MjF8+9iJlUAzcgRRK4jCXwkcJ3SLS/wJg3q6h/g2njp0CG4Y6VvXUmn+5vXOXFANtM+4
FBi+rlbOkP6Mp1l5zYz4W26JfivH6Nqs7NyrZAZKlUiWhe3Xav8jvzglkWNb3jCPmCUGRsbNFpuf
Ear9+O8fjZsNSoMDXIoM8u3z4JaBR4yZEZld/J6TJCq+A7k176MWOMXlpc5dJPSKMZReklUGgW+X
0nIUBsuS/ZGNtnkTWFr1qrJM3EUU3XdiRG7dVvWV3Orci3SprujPcDi4At+uGcSIrsW4kXq2GXT2
XiMJy7aR1Zd79FXiK8XB+cWoC0Bjk7SK1WGUtVtl2PdYXoSbOTdDseiXG/EJiSd55QC8X4qyVSdh
hJBHemyutuEURVYiey5lV6TzbVVPyFX71vyhnMNrvdzlFb3d8UuFbGJKQUOXVGO1FHoPCZeqsDwL
nj3saIJ8hujh4fLmUO+PtLFcY2B0F+DZu+ad24d+KLrY9IbAqtzjyNRCPFtdMYS3GD/nKbZ8bne7
7KtfOTYVqBcTVhELa5JXLAz1V1eCK9zWWVwhW2XEgrE5cm02sq94qeG10LRGvYv91vk02gruuRGK
/PcMt+FDX4LPP/iFknQoR9//qVK4jBvNCoOPMMWK7M5BDc3ZxB29xw0kC83YOr2vfqZdYpnHCJHA
n7aF1gIq2Zr1H0695s8a475HfFWdHy3qusWWEraf4KWLEuPDym6OoVt29itcM1pcyTxX/UszpnF+
m+DQ8Dzn1pAc/L6cf+GgWGcnv0C8fzcNQIKQ06zE6wA7HgxSBcp3C7IrNw705HB+kWk+mJsAmYCf
aeKH/b6Y4halEBLm+6TUFCZ6WdXqN/gwoglo6Jm+6exFTj1VZqeuhPEzxTKDd0K4vRSMdDhWByJq
dR3XhMT0yIJxaETmyg1+6FVINMSg2pD3fWkO4CiSGEPLULkpepzCHp4IWcbn2Snd+krG9CclXm1m
gDOUkQab2bDX5WTf9gNqkTqDiSz84ODGjMxHjCAZetZjfe9MdrvH3xnpi5jRVaFJdxfKMEZyyDSZ
MWmIB9FVfr289Y3lNax/FI1ymFnUEgxgV3fwnBXISqaF8GQ6dQmyIY6W30U5ehzsNjf4bM9gWE5j
HqHI0iB8Hm8zV5+1G7g5bXqTldkYH2SU4VF55YctN/L6hzFUJtEH5E2rcvXDGH+BM50K5KrCouhR
JfPLeJ9OQ+XeT67efZ81N5k2fZM4xRY5Rx0/AAZZeK1IfMQ+iawd9ZOG1pO5M3HKLZGFaNvvjOen
xzIy+l+Xf+2Ze0qA63EWVDXZx7oasjD3xBK1NhmWZ/qHBMfScTuZCDleeSvu+5dCAx5kMdBfVlOr
MNZ3ELGcUDc9fcjdr2kfYOAAiPPRJFVF2wa7mgyJ5wEBorFJET2qsFIwrgAD3odSoguof8RHaB+C
FeQ3/lWHaXC/kQmquJP5jw98Uge12EwgN4JifIC07eSeUmCRV0qBc6+YQMBUB3C8Af757bJRiYpT
0840v+ZeYMGbxTcUDuLKIT0T24Q0gQNgsGUyx169YD+FyQ8nRXpMAbCJRzXF/dm5ZfAsQUjHh3/e
NRQapJI0pOGera8osvp+zBHF9ooys7wJQ5DnuY2DK33vMy+O4tGmx8vsFbDD6pGqwcljFHRNj7Qy
uPF1JG4gc1UPl59l+VtWxxXkBmg94dLqpSJ4+3nyubV9c6gGL498/39xdh47chvtGr4iAsxhS7ID
e4ImKG8IBYs5Z179eajFgYZNNDG/DcOGF6quYoUvvMH6Yw2ynrjwClTULxsO4ENOz3pnzI2dqMJl
gGhMcHDdD89nfTSNAvqXVCnN90Fc0CnIjdgGMjtuiXbg/VTg5Hd7osoyk9VMMSrQKH7AP6Fgt5zR
f/Z/o2BbHY1K7/UJliYPmVyBlUOan94JcKb6ieXByQqr0XYRkA3ocaP4pR0CrQnLRSQebs5QhjiH
RFkWS26AomLwYYRd/GmIZvpcC1DjwUirHN+CJCylj2FAyGMDxl88lxMu3B8K5irJt5Kn6ofQhlJx
TrgwGoBccmQchzRBKDYjug5eUrPPdDss9smZW2vPngKXSflH5Mu/XQUjtBRDrdrWi2NlevUxdMEo
BGFB4CytfBypX2ONIlXDy+3V39hmS2sOtD79OXi3y/n9Z/HDvELATQW/LkGiekoD1M/RBTIcKK/m
M5dVu3PhLrfK+mNTo6QXSYK7kETfjkcJrCOABkiOrar2PORS8wvhrtBBNQHh0bqdfwG0qRzUn/Kd
fbZxbMktuYM0UgdWerXNtFJuSr+mB9qpDTJoiIydtEAbT7fXU9pYUEbgFC23A5phqwi7ms14qEod
jlrUIVnSar7YnPVYkj29HPSADVsks41ZkSC4KTJE853WsCdeO0xIExtHZb/9XQcYBBy56HrEzeRa
BvdTCMMnGTtqdef3bmw7bkv6agt36ZpQhL0I3sV1TBMPuQfaw3r5NKUp4vt9qySdHdV+6hVjm1ru
7XXaGpcrGjwBkGdZXoNKylhBOAaRf08ojPKcdm30rNYFnsB9In3gmWwQZK2jz7cH3fg2f2vjVP4W
euS6v9/3I4rqC39QMecShUQRdyezNw9jV3z28Zjybg+3sePw+aM5y/sq0pVeHek6T0S1x7rSa5oO
6Q+jt7BhUMt0D56xFZrTg12iTUgGFhfF20M1axXtQEwsPQ0s9OwOgRL9yKkwLdK++YQtclirnoR+
bw9UI4leRfTW5VOvVhrG57I6/bg9741vaxDSKHwmgjfAh29/zujnAnqyYuNFWGxi551GxnPJPj61
nVzcJciMyQcpDYv3F1qWSJFjoSzf9qrfMyeJGNGSgFHYIwTu+7gnpknQnHvCgsPtKW7EjUgvU/8g
t6XQsk49JmsiV43KxivmUHK0QJfsqhYtR4yj9jgqpX+SfLE9RpylY4iZ3sfbw2+UCiU2Fd0k7lJq
FGtARzyDbY/ksvWQzph9VzY6JIlybAqeIsSqYakbCGGBVGK3H5QoVamyxlLwRQxR/t250TciPIMY
kggWviBohNW9OpJlI/UIc2dMusnVwejotiqMXe02fVHv9dg3jjA3OAwGzhVQtPUzSb4LdKtt4HYN
BYi9NuzOpFmdbeGh4yKRn++kvVuzM7ggKWbwtYmU3+7lEGe2UrHi1kOoGdJ2VSt4CY35FHzDk6OR
P9z+rhuvI01Z0jMeKrbWejQa+iUqinULm6xrnU6QEOXXpMLrYkk4GiMKwaNkaM8ValA797EmM5G3
DzPlliVsZppLj3b1GYG3xH6RQiCC4ZdwVHtCdYweumy2KWOItMCgjjzOqTm8WnGIkWKhmtMXxL+F
wQXD51NlN01fPwTzbJooQZcillGmPyCgN7QNJg9zNUb2hIeC5KIGVdaHZkgRr2sCwDInMynGRUV9
RhE0UHzpT2bhPYOmYzAZtuGXxqtUNkJqz2iZPfqdpP1JDEkIj9pI18BTqJl8LAIfJeC+zjuAHk33
ag0IUBwtiBrIALaaoPDxJswpe2OwelT/9AQwL2ZkrgYrEXWd0B/+FCECdx6kvdZw8H3RcrdGa9J3
JD3CKc7WMkSXnaAKdW1nm11/eI4yWE7KZRI52RrhoscTRD+k2Dy0s0v1dRFisP5gr9WFJ/TRQZOE
WQ3XJOa+9W1CNnkP+rb9A4iLKFuI0hXErwpCLN0MgfdYV9v4ZW7A1qBS3FQPAdHciZ5R/Ai4o/kw
wSj9envXX59p4qWl5UH8waW27slFDb22OVFmNJd5E0QDnVERIzl7QETlOA2ERbfHuz7TBBwEgSw1
6Q5qM2/PdJoYYYXbDzwDtckPEQrmB60W/2v7bnBuj3T9Er4daTl0/0TXoyznEa4VotdihH5oR6vD
gKlHBJ838SiHWABp41Sdbg96HXYwKKfYlIjnKUWtItA2nuCjh0xP9imiDpFiXvoxqXeCG1rE1zcG
UfTfmjX926uLP8+moaV+snTN43z4rPTI3X63qiJRfpQGpIo7UQ3l4QTbDDP1NqrRF/fRuUYmPkVj
8aA2slV5hCoJJSnAa7Fd6lM7u5jxylj+Ftms2YrUlpWdYgy2COiVZXwXWylF8UBPyg79HbC1LhdN
V3lNqab9E7HFLKP/b/a/S9WHGRtGVYv2dOjPAvL/EvaYVTIavVuFDXer1Egtyt+pj8dwgJtdD4tm
UronITSIQgF1h+NHIEHCJz2K0cYM0qAL7rTexFQOk/ngj68bieGqJWq1btVFdB5VPWzseUB50Jkx
v45P1P3LRzraUXpYqkszsi2R/kGlVxIiO9LmvwqCxKOq+dKzCfj9qebH38mDhXNpEAYibpWYhDXu
PFOKQI87jqt7CM0ahWc03z9LrWQmTogH2cj0WvlxaKU5/trM2NPZVMZbKu0+sQDPY1aX3824M+uf
bVpQFEXyywrvNJQDp8dZFOLP7TSFvltVzVAckTy1Tr2cK+0vTHGiV4RDs+Sk66hDn02Mu4onseDI
/MqpCdTMVygDbBn1BiRXO8uvaPmj5dUMXZweyrHsiqe4gprmiKNmRj/khvLopTFrnhaBhVEcKatl
VA21vLfOCP/7kcfhRT1kxm4DFnnZIj6f1NJ0wSLWNJ08hIL3IW2BZYGLzjGRMPH88L/pZaxf2lbG
x4viOOV9hXLvV0Grm56SuJSMH9O5lC3XhP2ifPCjWC0PsB6yxDHQbzY/DwEAwvu5AkX4WUeDu/gR
JIkg2bJRt2elRn+Ncr9ojLYaoxJ6L7R+MNjj2BFdzbSs1bt6jtT4HGRFTT7VgCS3EQUWJJywJz3C
c3uumiOCibx6qVnTAxBjTSm/9E1kDF8aTWhkO61k+UdQKWFzV0Q53h9BEyJoNHL/iucJt9ARN5El
nLNapfigaTrXJORLQzxiSSEi6Kgj0DtmgHxdPkReuy2V+AgBWl1S40Nb45MOGm9OL2KB97Ezl5r8
HWs9H1VdDPRAy6bt9IyNFt56ZoAplYVss8J/6uNDkSVThbRmHnZOAsDip+/XOrWhJIvLu9y0xt9W
Y0S8UUPJZ6dQNWKJHhqa4BktVAU7xaM1wmWUGOeQ4guh22QQ2PHxNMup0/RmK2GobSo/aw0cxIHO
Dx1+/EPRXMrCtsncQK7FyM1HIcrOUtZJGXA1H7n+qLTizwXmxXc6fm40xU0/fRa1VtcOZgxW/QKv
p58upSVFzdGYDd/jDk6GD2QS0QNeI2JxSge9rR1suzlYRjjRXBzDKQvuRakdlHOaisNrivLSL8jv
uOqqKQKkzqzpXegOQx9gnlMKMaqPet0ljt8gEnrCb2B+mGqzumPVWHQ62LSyKlpQmT2ZYi4d5tjC
5BEwit59HsW2Nn5D9+iwoG067L54F3zMqmuZt3fS8sU0D0gINC6erN857h7Sr1EW+89j1OZPUipL
nzRoMsEpCtPIG8Ymk9ypwNoM3GJV1yf+CMXrTTIvu6g1WjYIBe0Frxv9GGqVSwdzya+tq/KrmZRa
FKeR6fltFFREc6F5VDNZ/aEiIPeaqJPyvdS09KEulfohigLz2ASyPthGrYXfgz4f/QOOoGjUYzMg
7eSkGzEGkkEIDED6l69b/YIeyebYCVDVfb9y2PblcbSs8S4X6+lO7HPt/S8/AoAcPKrfYKTl5ff8
8/K3AYZ2bclaxOSFzzU+GqPNK5aeffZyaOeRbn2cCr/7/O63H/yoREKqUUu8asvjMYREbjIZnoUo
hUuS2t/79O2Ot0e5zn5ZQop34N6pc0nr1kEHOLm1fMnwhFSxUpuk0MdOOh6Uxxyf+c91FeZ3qlb2
93gKDi9zPVe/bv+AjQgOgSudgocMN0RZl+DR8IvltmZ1MY9p3UYBh1gGQGRH3LHOt4fa2jgKGERC
4yW/XYMORCip4tjJzJXimO1j2E1KxqOAzLz1KEGB2kvErqOqpQCvUzxEgOAqepPjpsG2QDE8SQ5/
qIFeXebU0l9SfxZ3ZrYRJ1ocVVq5oFOoTi0pwT9blBa5nHCdgL0LQpKjdJAetX6YXm6v33UIjFwE
/Qu8OqFVoQzzdhR/0uWql0bT0xpBvIvjQMBnNDRYxLY80xEonEFm99we9Hp/QBdfMPILMWKhZrwd
VJ8xPk96CnoyrkkIMmLqQANZA5TeS4f/ZSh6tuwQenjrs4BpR+WLQ02Za8KtHi1IxQ5VbTplsR/u
HLvrD0bJCagSPVHO9hXwFlOvKCSwM70qBGC/ANIfiHqrnRrE9YZnFFoByNMA1qPK8nbt5hRwTTyo
hsdN7osHQJtBaiuBZmAHJWC4jpglat3vX0QLBD7VUqrRvCJvxxTjhtOAhRuCpvISU3EKJIeHWHD0
thp2cu3r2wvYso6+KPJAyEauW5JN04QtLjqa1y2WBTZyMEF4HjBoB/o6AGd2x1Ex8RcnssNdFxSg
S8dvrHfO+d+Cyqrg8hchw3vJPqXd9nbOmWEUiHmZujdUZiA4WDlpj/RpNdWhN2F9hJAQ/4ESqOHO
CHK8tBfSRu009ZDrOH0AVbRpJxjlEQ1YoTjpfj9Ibl8GcXLszQ6TBwyda9MNLL2sn4aslTsSiinI
XwMBCsfDNM/Is8AvXMy3qKjidoAqzuAATzC9fq4nWkBxovwCzNLJO7f39T6mzoHaFleOBYNlDbur
in6e0MEyvLbK43OIm+fdLObdzgJff2aUR6DXUVeBtHi1vpYV9aUlcJEW6D+/dFOdfMOWsyhtRW4l
BTtNI7zkGZ4ItlxXxQmfuOrL7V39V87r7SdWwKdwmdMBp6CwhlyITRTXPqp+njIYueyCO9Hz1yEp
6+7OzCmROkCrrcxJSZE+9tiZNthGidhDw9yP2m8hmrKD2wpYUp0htOEXJqLfWt1V8WAoh0kYMCmS
8JPco0Vffx6+CY1n6pBLH3h9PtLZEEo2jUrRQpoPUSxlOIlhoHF7cTau6GU3I/pE3Ytjv/yKf16f
AcdPq44szcsXx+U2oUlglxE7fK5SeU+3aDlLqw+hoNHHrUnZeKEVvB0sxn+lDUSIEQI5sdNZ4/S1
nwcjxmwlnJ5UgtTK6UJDvI+UdlfWYmM9FWZIY0akWsKSvh1cEftASXRw9pVB2S6Y9MRpJ23vcdgg
L4PtRDINviyCD6Db3w6DJkpj1FVneqjVtg/w8ZjehGH6cyMLaNKRl0wChTWxlSuydA4F7JeErCDJ
BWWA6C8GEub2+vwDEhfANiqvAaekiKXCRmChzfDRmXPsQ6jppwczietL2QLtdjBNjR4qeukAkZOu
/qb3RBx4S4Vm17sGr794gIxn/TKlFrUtvHGVRysjyyf9k4XCQb8HJ25lzlG6xTTCevdds0jhLwVN
AOiUxNa3bJ/5/M/Y9MyuSQ+YVytnBRjO+98vxB/pgfCwUD2VV0FOYYm+HoxkFxG8fGdsjQSngRxf
pWrae722dhOMJkTFxL/6HqviZS+nvKK4WhIfNqJLDVxzQ4L1nere1un8d5TVhCjoxZWqJiybHM2g
dsrsGIx+/zHGUGhnqI0AkSgUWY0Fhk3ksfpC/hClZRKEpteJ0oD18oTBJHc3LpfUhu6timY9VHlj
J0LciHJgMHEcF4i7Ka9JTP7cYj8mUbxUQ0xotHQejuKAVyQNhfFQ46T0dPu62/pstHUMbMTYX1ew
wEysx14dBsNLWMvHGXdtB/CZuRPabK3l0oLjZiV0Yx+/vQOsFMRQ1CPIRgXS+lZg8G1h2UldBc+z
S9kMgoeBVL+nK76xWaDYqQvVjqD06sEwKfGlNZGEl45YfUSlEHiYvOEVZ4XmTrS98dm4vWnEkeRC
P1tnE9zu4PRy0UJtKszJORNN/iUowvhIlyd9gFKZ7YDzNjqtgOSQAAa3z8tB0/ftko6YOwT4EPoe
1d/gAX0t4zdASeUL9Snr4wj+0c2TlgtxTiw3kTP9uYoLf9yJ/K9jGcA/SHKj9KEDmli/XwSzBYpw
RXApdErreL7Hw90cTyM6JWgUfA4JqCw8q8IkdCw5DwjSpbyMdi65jbVf1G/wkSJ6Q+1ytRJGmEGl
BoTttZI4T7YlCtkEClSY/uSzz5Ua6mGxc3tvvNuUbGR0vwAUIPu12s+qhoBoOFoCHjpz5I3gN54K
vPKcPprqcxRWo51b4Wz3ZBSnd59XeO0LKhP6i3L12Ycg00prpnipGa3xNOj4qFm5le6c17+X2yow
QagNwSSy1SVKXD3aMUTSYLYqAceDUZRwWkeRqpdw+7STAYyBDZxb/E8UjOQphheNqZU1RR9EzEZ/
yNKszR+zMIl9Wyc4DMmatHl8LKKsyGwg5kjLllKlS44l9C3OLIEQSce2lQwfv6ZYxD+oCywKnZjL
z4ceMut9A7cSvZIulQYITin+YKE+mZipT9GQ3PcpfQa7B7euncsgkD7CZLCGswS6mt5G0CsvzdD4
X9DpiV7aOk9lN8GauznQSgnb0wQP9nlG/wqDpWFxAG/J3UGqT5WK7WyyOAz3kTq+6gn8fSdBgm/E
Nr2TPuA4oWNXpmXpS5+Hme7impp/7InWcHg0SyKN1hdwrNIiYKVOPWY1cMyqNRo3660yc1ps6HS7
DSTc5jT6Qy88Mz3ofiRXOjvsxopeTjHmz1oR4tiEFwPm4WaejvJTHiM5BGRcwTA1TszpkpOM/sm0
Vv7TBQC8y4k1PgxBl31HlDKx7JFyduOINK5/wjVWPtZZlP2kpel/6+qg/mWmeC9c4i6eP8GtwhTP
ZKo10hudeQ+VFiJXbAjpEbswcj6f+hC2mIhKpVDbYlP9lAmGHu68vRs39xJ9A8Ci8bzQwN9eblNn
NorUdQJ88+jLNMo63YFaMg+qmkc7D+DWUOhII5JBHE6UtIooKgyO+RkEKmKej8/IrxRPOS5blwh/
151HYuOtXSCNMsUfyAFXby0NvtjHRM70Wjom5wSTz8cpxjDr9g2xcR2aCxtCW1B+ZLKrtdMxlsK4
3jA9HEuEr3zA6i6MLDGCqaKYpEyFWfTu7SG3JgYOBeQPqCqR4GX1ueImiGnwkaBPyG4IRt8/pDLc
1dujbH0pYj/WjfLgUtV6O4oZDlIVgRf3hkaa3aTPRlfthl/AyZKd7bc5H25YOOsLJ1dZnr1/ckBV
F1JdD5mPgR31Gf9JDE5Lf68fvj2f/x9FXc1HgAiapzlANIqdqZOgfnGicRQ5LRzY8+2l25oQ7xVl
/0XsBpmDtxPC395MMPOjjiXhUt9Q7vrdCEb8892j8P4udngLOe2qfoL/sZkKdWh5QdNnB6UrpqNU
FPn7TxEcQpFHCUwdIeVq2WLkHzJM7ixcASJTIkMbfOuMq/TQ7izaxvchY6LItEiWLnIUbxetFWc/
y5qankXZdR+TIQYoICuop9FFr4KdIGZrMJWdBr4KTNcVH0H2e8ovLYkNZAzfhWUPCrfpRxtXsT1P
uI3gxQIKjD8aLQqDTPftvAI9J3KR6cWklD8EB39P+uN+YsaKPRVC2QII6M2feYgbnkTe/Xx7k2xc
Tygk8+lIcQid1ndFqKBglc3U3TGvzmxhEnAEHcJShWVbTh/RNQl2PuPWdEEjQsOlJcTfq70/p9Ra
Y8AZHoIQyS9wvxje9o0/u7T70kchBYMJI0N8bPoafbzbk936qtAkaJAiNEXFfz026mRRt2RXwHvn
S6v3GqGOVhsPwD9Ueed+3Djk0LsUvE7ICNDUWg3WcIH4s1EYoPIC/VArVvZoZnK6M8r1lFCloGtC
A2Opka6Xs1c6zBWbxvcs4A5nkA2N3TVh8WE0dv0/NjhrKBqjP6bB0rEojK9mBMBUoksd+l5eUehx
ydKn0F3KRhFlDMX8REpRDw7GsfrgNm3WjE6R4Xpuq6WaY4urqsSHB2Ns9D2Y7fWeWn4YRWK4GHDW
1iIgIgpDepNHS3wyB8GRumfyE4FR9YgDsVQis9e0qiNPQR3ZaYEt6uH2ttocfgFS0Zngsl2fodEs
MNwQJd+Luk7LHAyzpx55I9CfthA0xV0/iMoXcJFpdGgHlM3eHWGoImEehRE0u7muVhdIUWOKideG
jzA4rB9VsCw3F8v+kPuW8pIFyV6rbiPX5UEhrzZRjyHfXadbdV1VdFYL3xMV/NN7tYVRitqBfpo6
vE47qRUPmhTjAlKawxP+xdhLqkP5cnvRtzY+CRcIEgqmxlX/CaeFvmmsWvDCcVCcyRohz6ZtfpBz
Q9s5Y9cneXlAKZlyZyxU9tUCG0mjB8VQCJ48YlGhxuTThpwp/8MuokeNThoPzyJV/vYdMOa2K/Pc
XFY1no6ilGLj2ObxYUyQkuqwTnHTZFDcyEDE8fZSLn/y2+yS9xuXiEVME8TUusgVdhDz/Fn1PXR/
dafSFfUh6KrcMUUh/yDQgdh7XTfUslWY38tZZczrbi/ObypGX63lzcBDlrwtS+TvKIQF1YvWz3p2
zLMu/2K0rfKp6XM1dQwc7Q0n982owJ+6qP/0UPeelaKhunN7MbZuOfCQgKoXXQuQ3Mtp/yfa1BJz
TsW6BJKRakl27IckeRX1WEasFXW+L8MkSuUR+nj+XRSsQLWRxs+flciQa3fojHh2KqGUkp0teF3Z
AYJKOMKp05Y60+pHNcmihlIbhhdH4svUZfcFMuSnyGq0yxRI6YHw4Dce27MbpFX69faKXFcLWQf+
IodBMOLKD1DP5VDRM6qFgaQ/dHniJmHtAERKH9MiBPaG2ub59ogbZxt0EL63PJsm3RDl7ScIgj4R
lKqyPMsPAYBbYn8IU0n8XUrT+9ENVHYJKnnOUDXmBXk7VFdO8L3onHqRkcmOItSdC+Wr3fl8mxOC
abJ0GtHdWgceSaQQpFKC8YDpYWZK4keGAdXwdR4Uko33r54GzZ0/hk4hYfnbKaFBJav+SAod6IAK
wZ7mLpI4Gj7P/l4OuGy71c0BGJsLi3ePBua6bSIWsNZNobO8TNO66Nz2UMhsf8Qaw8Z0aiwcUY9A
osu9GbyKWD7uHdaNm4vxCbPICfjXGuBD7cMkxOIeEU1hdk2IAYdZaSu3MPrUgbS2p++98RIABGfC
Bg1b6CyrOxr+qSxNSzLfNdrwQDKkoqof7fU8t2ZFsQWSFgE5D9zqvZl6gT4AiYkXTJYeXbRAKl6z
SOEaFkvD7w6IDb0f684tbNLMRZJgA1kxYCnZyAFZnDEo/8liU9+X2ew/UIlL96idW2cBfVkUYSi8
YGiyWsNJyDprYI96YykOyLuid1xTk3RExI13qrMbQ9EdRLWb9v6iC7oaSpxBwCiTrnihAYr+MA90
PiiZacKfMmyS7HD73G29HJRmoVktFxfqGqvhkkqahxnlIg9kZ/VnyBTEwMAdi4kdp+TIp2kuivFF
qYcZtf2gRiCmt2BPu0ki11RhG9ish1EsxXTnfd/YtSbAGEpQ7CWqNas7DgGUKskCKPypKtRfZjH4
Mmq58HJ79huDWEtaR/qGONVVp0wMfUXCr1n3pFIOHIlKoSdMoPtvj3J9NJaCFmgccOy8z+vQs/Er
qVMX4GJnFuWzoHfWhGdXpAN+meMf0RSoO5fp9Q3HgIuGKoUUDe2L1VlMULo0Ggm9PXh8/nOrq9lx
jKzytQAaZM9T2H+Fa5Q7Vqw1O0X/zakuDz41PKDZ62u8kfxWicXeAOQ+TidQYyXNJEV3ZAi3dCKV
96sioN6u0eTk3aARfnXrJJZOh78Cluv346kYfelc94Px7qcduZ+lGCUjSEwMuNqLnYzQJjUiw4O8
DM9LVIL7vJ5/WnJfvH/9UC2lULTsejruq2dQNbo+kQcQmahmy49yZwGLbht0Z2tBOs5ipO1UKa/D
JDqNEGnQzaNjjOLu22e3Nvo41GFeASFA/DzWo/owojTh9II/XoRYnRyEe97rWq6CG1pY2TqvEc/w
uuMHMMOS56akp1pbuhsV2IOwocrDogD/6fbRuz7goBaBLywdNos8ZVWFBezTMf7on0c9Cp/7Zqg9
s5SGPVut6zt7GYYnFsU1FnHNCp6UFo1LuH3nwlSF0hEkqXChJOLBK8rJXgtgczDqXkBolxO+1khG
Ilnlasz88yTq6anpSvyY9Mo/h1K1h/T+2/d8EyshW0lbn5iEYrl2RV+TMDszM70OL8JkgssMkecw
DmKXIINUT2r7a8rKYXQLlNd1W6xTtIg6rc1/5LMV54fA0HIU/Mex+pJrRfbfkFN0OnZzNxVUGtLi
Z8i4cMWqofIdVeuM1InnCrzzqJiC8UEJ+GayHQT41drpHKsGQkdRlzpFXqCwm8moo7lzlwS+y2M6
fVEqv/pvmJIYPCHArg4FKQAd3OwT2sYLo9XhrjewS0wmNlveGW3vlINffdCEmRJXNgchXpWzkn2Z
8wGRrLnO+z9zHNRncEWa5Ia5JeHUPnQphA9xTl7G2YQG884Nuyz4YqJDZ5ZK4zpngoGY5T4OSBd/
bAKXVk/u5TIAh9ujXG0hQLacQM4gGRdg0dU1I4YCEgXtKHgNmLBPqlgqbjpL3WPo86bfHurqBP4d
6q9aBCNdwZXNEBkITQOdYdRNdFD6Wr6b82wPRLA5Cu8A9aSlLLCO6ee063T0PSimDal1QkVSOOTw
13bmcvW6IdeCfMmi8wnR4qrqXc5WHfem5ns0F+WDb7SpIwly9NW3uvii1mO0522w8Z2ocqObuwDf
eNBXDw+tsEaf8Si+YOyNZG0jGicfLJ4dhv1eVnQN6GRyWM3TpaCLuWjfv30KCmmSK2CZgjeHfvWJ
zFJp3aWYdi+18dzbFDf63o3SLh2gOs4DRyXU2wuWgcFLLMfji5yP4uuoKW2II90odHZRyLF54ODm
P2k913utr41Pzq2Ezspy3/I5VmsjzXo8tlDZPCPL42ex7qLvkCvFHdkgZesTMATdDtqgwHNWL6QU
JEJa6RbEKlOIaMKHwWDxJiukGFMNV+6c9KM5240fIdE64XolnAOa9niES635I4ssJXxW8kDoUXzv
ta84AcGYCpGKUs5JntSTTf+xNQ6DyOV516PYkzhaqNXhs+SPiYZYTKbHyMjKrXYSokhoHFgHyY98
VPvJaXoNvCLKmDk3HAqDykEzuqo6hormF5S6RbAW4IzmP1SBK7hvvi/vOURvfQVCTZl/yItQmn67
awQtljTcC6jjxmrIZVtNF8WvIJTevkW2vsICq0Y9CLHzq1ukb+RBy7vc9ypVyH91mhI+lFI6qraO
gP27MV+cBABmy9OKFqe1TomkHpEPyvO+l8Z9Au1wlm1NTrN7kHT94fa8riL1ZSioMFSqqBledb0R
Uu98xac7MUWj6gw6ug9ZkpqHSZz7+4bC1knIsdKpRl3/7/bIV8U5Rl4E6LhcKOBe1Yf7ELFKwRws
r7KAKNrllGjnKKMsgHZj5QgmkoyyngKvy7T5AAq/2Ik8tzYOaAkSd0ShuHJWG2eQZpHntLE8LffD
yxDqs4MaQHa8Pcut9QXBIFK0RXoAhtzb7Yle5txrvmB5qlEjcYcfTX9KtTD9tnD5zoIw/KgHo3EA
5b27YsD60nFaniO6HMSGb0cWCsBbOG37njbMyqmsFfE0gnICXVzm760YEL9zljkZ9NKovSxL/U/x
t1F7FP6W/eqbdXKfy2J+l1edcazLfi+z3PhqbFUQIYuY8XWZblpKdGiuBBcUxZvPlRIsjM+s35Hv
2/hq0KqWvIT2MrnCau30AjbHqCJAp/Rm8ieQ++GU9zBsD2U9WN9nKVO417Q8PGVJ6e/smK0ZLkSd
v3DdpVP0djGNRDDNli7YpSw67QT/XhlcUYVx5d7emcsc3kbWAJ2pBZCg05OiVv12HKudk5y2QXCZ
YfcdwJmf56w/WFE7nvE02fPV3ljRhaoGTZRSB7t5taKTMkWqHAbRJVTK6pCmhnUsu0nHVEePPymV
XHmymdVfWzhCO5vzKsNceEgwVDh+XHM0/d7Oc0wKCxHKOrqkOhi/Ueq1U5umyUcYs8pdOtd/4Mf7
OwWXvzf0anEBcyLAhUkFjan1DT5lOjBDI00vUBNK/0BtWUBCyCyCxjYGsxsPbVNk8bGN4kI5+6PU
9JcMRBuwtT4MvqT4+Y72hErcL5j8smb3apSXB8r+OIfIVqfZaVM0ra30bFO7UYXgJAmjrti1VWsm
15gmfhhDRUovda+35aUJa7+1C6PFND1C/fK3mU1wCQQr8vqyq2W7LKzoEWxt8FXHd/erH4jDnygQ
sekKKrBedtha8i/wFum3HLOC4KAjBhQ+ahp+vG2iqS80aOdHgw0LWX8W9clBa7n6eHu/bn5Hzj35
LYjVq/puZeVSN6RoFlAjp++VzVIr2ZlsDZrdZEGpn4YJ8zZnhBOs7BzJjaeKpJqB8U2lRvGXHfLP
/YZeS4SUeRZeYqNL21PaJwE4xiZQtZciaeoHNvzwUwAv/YGwuJPv0Xalr3V7+td1Uvbx3z21xONc
Tqv3KpKUtBuUKLpMcdImz6nGsw2ekY49RBKuJbtDUXV2BNyTf8JQH59G/IpEF45vEzpSZfSvc6/E
wk5Gct3W5mehbgjuHuk/KDKr60ofBz9oWq7KIm+a/sBATen0VQmzZaQJKdlWJkXaSZL6snWaqdJS
W2t0NbfNVJV2ssqt7wSkGEEphU7OFVJF7QBMUA4ILjIsPHdpcx7icvIf0xSMlZ/p+LMKee5GI4TD
hKbxr9ufaJnq+tADWKTvh97jdQLjT30x1FYWXHK1rmxTmLR7n6B65xxsRKIIjGNkAkqNTbnuq08m
GSBEK0YJyDSBPaGJwijHoZr3rs7toZbmKa1d0Nqr4IU0tDF8K+GJSGTr0Haj+qzE0uCiYVHtxKHb
Q1FsZ1pwcNf5cxl0RDFxEFzibGhxthJVN8vn2e76bq8rvLllSWdx3MICcwEbvX0R6iEN8wL7Qy/N
E/0O3Zn8IPiK9lER8uZxjAoUwsQ8dUQUQo/tKMH0Uvz08+29snmcQfwvFMqFEbjOdiucxaJQIpDp
pMn4RpszIgau6vJDI6YxSiZYxmanMVFDMN0J19sDfhrF7BaBMnwrVEmwbFnPlT1D6q1Llh28GFPg
tHQFTxWTbDa4RYILb1v/Eyn2ESh7GoifDL9t7pDUhFErDxjB3V6Nv/XJ1dFBNIpMhHgcL3JVeftJ
8Jzs6SAK0YWuCxr0FcYpPwtw6T+KcRK/5XJXvfSTkeYvctwXKJdUYifasP1i9HXSmqTUalvjBQWc
+NOMjG5qZ8Ys/MAbsM+dfO6kj0ppTaEd5VXV26IyCKqDio3UuaYeTlQVhLI+9oUqw/m2eFiroWxg
43Wx8YonQqpdFLh/WE2FNb614Rw232lf5Oldhunhbyx/ezL//+PsvHbkNra2fUUEmMMp2WGGMxpl
29IJoeDNnIqZV/89pf/g17CJJuSDjW1YgqtJVq1a4Q2F05xxhPsFVUfmJkABKAG2vhTZh2xp259K
ltZTUMMDACCP3gnaSGWSGee8qqOOyLjU3zpXqzUfAfsWXbbMKN9RGir1P51r1U8ARDvjY7zO+bk0
u7V7ars5+9EmhfVvGifTz4MPchvKXn2PzRFp4sVdcoPdOVn5N31MnfMinDaozHx9+OOVIN0DWYfF
yYBzG2OGhcJpIg8KFxPQmzXi21VNo3Oq0tl6d38p+aM3m0zONaRXJuMhZ1umVF2LALPSp+FYe/VT
v6KMYNeiPt1fZSeSof5JLcTcCwHr7YXoAILFcmDOQlriw99mlKcvlRellwr3nIM081abFKAkSSbI
FsAE/NMmQNOdRc/XirNwUrz2Wzep69cFZuFfKtovH4emn95Ooim/ae2YNg+pmkz4LE3G0Jwn042+
3n/undDBvcubpaxHWmM7OUosEMZjS34C9k28uP2KBhHWLBcmvs7ZqjP9H88q7INPulPEuC7tGKIG
CNUbQQ/hFUrV1loStmhtnSEjQO5AAPklHkQf4GESf/4PDykHcbQpd7hiCHMNa8xThlma0mOSauUf
Y61y+Mcijb4w/Z9X36QLZRxEyL296yJfyQwE0MgN4oZYiLQTM9swodxNfaNyV+yoE/fD/ee7xZix
o6hXJC7dwnxmew8v+JL3jr4koUgiKMoABMdPqlkg2t1HJrJnTVy8U+Bg/miraH7sxqZAaq3DnfU8
lVMb9L2aaZd2HduDD713qiQ3ESIDm/1mThjrUCXEkJD961r+MinOdJ0i13vO1/xolrbzqqXgHsUi
eYjsTr2+i4pktKu6aZNQT0b1qyN049KvsCDvv+md4+IhMAuPgWCBZ9jm6GJi3XqrZ8Zhq3PhzMZ6
SocoWNRsCaIcytWAgsWfRybgHFyztPxosW9D7TRXqG72WJlWVlGcTDtWr7bGQN5GyOUgqu+cS7C1
CM/jucCK2+YCYmKZohZTGjZLpzyNmTu8rGmmLEFB1t9fKqXWh4MTstNhoCiUAsUS/cNQ+fVna0D0
arHGCVGNQrxpybw/do67PCErqoZJmgxPlt25ChO+TBnO9z/mzu6Uh4Z5ljw6N/P5UV9tp1Rt2oiN
UV5NJ/0ytkr9Tm/bf+8vtLc3cZWAmwJ6HSjAZm8uOSijUR7PGq3ht8CFvqnADQ7KqL1FSPpBKyPu
QRdx8yYjXBGNlUZEqHX47MwoiCbnxDDFEQ107whwGUgADCi0m02iWFqVJj0PM/Tjx5Y29JXZtXMx
+yIVEBnVJkgF3OqDfbL3rahVQYoxd7zFYdsVSiw49RFJFDN6J5qpDFwNXxi7Xo5MnH9Fy03GIfnv
tPKgYRFYNzU7jA2ji+2mCCHxztFFH7o2e4tM/vA/YVooP0IfQaFt7mPzZNBvdHxmGP27BrUJwLNr
8iXLRtQknTRqvnVAhX6ocTx8rIoezcWysprWn7zGOUrGbz+/xVxGZhPIFQPL0F8fJI6Q2S3lUoSN
4WJFNETaGa3h5qBxsLeKnJupskN2O7dxvYFk14npkE1VesrQRTkvbd788cFkGxt0bfjUELlvgsKQ
zEnft0gyrnZxYcMXVyG05jEXsC3+9GgyrIFOIofADG1uCjrhZno3TVnoKGDpm6JrzqIujwSkbs8M
3Ck6QBwXjWb7dhpYLv1Qxn2WhWqP/quv9+3aB+hjOG+jnsmsrzezJs4jkJMjKMavGuz1ZmYiRVog
50SQJLezYJtiCmXJtAzBBxkyEel0Nxj1QcynBluQxM+01fQmiqy47q70Y23bV9RZ/dYU+vC5Qh50
PE3ZAKWS29Rm2DR25Y+27DVMpNoYTcMETED87NVpAvgVmPi/tCHntxb6qXYAKcJ8a3pJ+qHVbPRS
Wt0TICnq0phPa68V2P71vWuf0So1gJQnsb5c+V7VEqTFinK7FY1uAYO5MwUMba3sA1dIaZaiK800
qBvV/Gs1aujSo2cRcrJ6oQA0C+EiJmTxr+/vldsYxKu0yNvpnaFkuJ0vAIsHT2noXI9Vn10LbL7P
et3kQe3k3kEw39swkmsP/xeszo1AThMtyaQYcxrOCJz6IFbt72YuwPk6o/gIJwWHtrn7YywulyDz
WGIsXTiUoDchZBx6zWhz0mSQI9pDt0B4UWsPS7hZV07AOduDs3fb+AOuQkFnU9yBab7p6HSiR+mo
ykLNra3ilOaJ+SMTdqRJMmCOUiw30MVZvGo6g3hxfuhxi0z5/W96m39Isw3SHQzT9oS3siRXumgk
/2iyKgrGaIk/0YsunrplKp/tXm0fTV0MyMrw+w/W3ttPlJuMOXjtt4hyARBr0SfWrorCCyT+UWoo
m6jiFkcN3724LZ3ObOoQOvHbV50rLSVOyX6KEBE+z27VPNRe2R/E7dv8EXltkilUT+gIoez0+g4q
FmPl3Np5qCtlUBdleY3ov/tqi7QLsIuDXFzbeX94DsmilUe6lcKIsyJXrBoMTawPOsoAS2w/ZKDf
PrlJ1UVnGQ3mkxV38I7dkW6OL9pceR5LUEUiTYugUrAufLAnZMOCCKL6U6bGR2Ipv2B1m/hLZ1lO
sICAcnFu3skcE/HQNeMui3EGuK7AX0DCMBHAlqlHHvxZQ11QPbdDM7yNo9nsA3BeY31Oh6b4pGLB
+D+sgMv1yVbT+tHS1V7KWgsTk+I0c842FLvspI6pCwGxUJv6saD/pYT45BRj4LrSDypCiGU+l5Hd
5WAzs7E72MY7ewugEYogjiw90ad8/dVtOhnpMvAZNNRAPpml6fkGOtIHGoyOVHHavkjGq5h1wnQA
Mbl5kauRNtzjAI08V8xLmKIXr/m1zXwMaJ5SiScAnWhuD2lrae+tpjaVwMgZX/idJalsOrC8EjWv
ZYqCzFGrj1G8moh6wEif/XlQe1q6nTkgbDi6ta9je1BevAFwYpDFVSGCeF7cN9QjQBgXu1HXYFDz
9EfemwOjyNX+Xg6r8cGql8nwNSByqa92SZqdc3127VM8KFZ36gooXWdtaG39NI2Md+myOPNftTBK
MxinJX6oa2vq/TLV1K9tk0b/lk1kv2j2gouDAyj2UzoVxnco9Egk9pXXeE9RhXiz39D4jC5Lvo5f
xJqUik8QR2mhiJVsOpcDhNpnJ6Y76NfTpIiTh5XyZzIsJb+sGI09Lnmh/nSjypl8xRT997IdF84v
2M0YLRRU0X06G6n2JjPb+S9N4Lx+cSHAW+QFi3FU7u50x6higGjxFDTZb27ZxU5wIkIL/FF0M9LM
9EpPmSniIFbL+a3sE754XVYzMeurN6XSD6eeGUrgOIN+EM1+VdbbHQfaSRZU4LhuAfixbpT5tLiP
iJYY5tmLx6Q5tVnXipfVm1tOlp6k8VPueVN2LXuyAxTulTx96LJZWH7fe5N3BaYVLRfDmNCgLx2k
VXJ0kC3fojXvPjM2WYZ/VU2kfYBQEm3vku3yWR2srsABdk2QjI8F/J5ZGdX6QzO4Y3Op+3z6XhYO
9gDonmv1G9ddvTf2utjmSSS2eJdZSvaP22DwChnDzEv+2tzxy/tyWQKlc6bMV1AT+JLWq5pfSkft
gYsvKYXJmpjl9AFSOQdmQRi9CsdlqMOpSwdshQkw86nwFu2taqzYxTke++wgmOwkPhQXEtrDMScx
kFfMb0PbsUU8Z51r71FXcclt9bL1/J4a6zRp7AEl79pTQqZ7sOrepmNZBCrgljNg2o7noloCdoXi
PibIE/iZDXpjysv6lDYD06yhLgK37KKg70hHVb2ZnlDdElejW44gtjv5CNcz5Qi/BabvDY4EjfWM
0Qc/BGrZaWrz9UXR5/7MLMp66Qd1RtW+dC6WddQI3rlMdaltgRikKlVIN1HcATfgGY3c7KpXXaIu
U4Os9cyLlGq83s+5dtqVXFTMDOmE8KlvWhVzxajVxAfg0c3n/j3COtj+Zi4YbL8zVmbAdpmv77N0
RHLfaVUmmRDChvTTMCnrV0NHPKFFnBG2kx+nkVr9McIM3D9ZjGRIUknfNGtmLFcmKSXiKqI452m5
hsY8lQer7O1zOTkjvkESucF58QdluUCyx9swUxhuAZz9tOSekLfH4IXzkDs4MltJepQJajtZt2Q2
MGu3QL/eIOhA5k9O3ybKYxwV3Xw2RCxFE0vPArvCH5kg9PsGXWhrXL7PVjr/SyzqP7BvGK5W+aJh
2psYvXe2tchqH8g2c/0UOc349wLQjGGekykXdxbM7zNq0g8HW2f318tqlnQbSPV2TkM7edL0GH56
sxKpwJEy07ayogMkoJXm82JgYwH5M740taY+zVGsC5+62Argg5kvE14pQaeMylvPmJXL6g7qx3jp
pgewKMo/htnN16RQjjR9dtJiBPO40aidgaFuq//BW53OS4AcE0eKx2wtk+vUmOW/2Tznn9JS0Q5e
0s5RhiAjlZjonty2G5O8hVPSsx70qeJHAcOkDepxEO9iLv0j5sHuYjTEHXywUWTYtqd7xPsxrrOV
x2UeshMtKFxa0Gl+QIrNutz/+DuJJlx1QqNEaN1KOdbovyESw3MxSJ4DbUW/uV4s46Aq3ftaEuPM
juZx+G6vbyCekHQqqagRCqAnTbsWZ5MW0TUmEToltX6Esdt7gdx2dMGhpO30U6GiCOxBose5tIeT
RWZ1VvBR91HT+PMmKpFdioAxjdGw4t40Ns0ocuYilo+WLv0zzFQV6WUX069iTA/i2+5TAdSlfSd5
YjfQgH5izDrkyqPZjOmbQfHmR7qW3ddSSxz//rY4WmrzwTCb0ZI5zjheiLJcHNWltQaX+HMcpX+s
bE9nnWvB5n9MS8E2vN4bDhjACZpv9JhhyZP4w2KIALOX6WF2CCL3H2vnhqAtghKCLKiZn8lI+Fsm
pIhez8CUwDfPh/jcmWv2kpRjdnKs9Ws7JP+anTYdXMw7b/L3Jd1NDjBVq5XP1uo9anYKPQx3u/lj
jXbqSHLaHUEI9p6PdgGYlV9o523K1UqIjYrfx2Pj2tWLgkPNU9525lNld6jPTvHEJbg6B321vSeU
9hiy60JfbQto5V+ufTdELh6rah7ayUDvtV71S2xN9cG23IkjeGFKYS2GW+jcbrblgn+r1vWklPWo
9KcVWcbTZPQY55lpGlCq2+f7+2VvPSnKKjFsGAdsZ8Cwg6NhrFB3yIcxu6T9tP6cOuuL2fd6mNqj
d1CP77xJqjM6PYxBSVe3fPNUSyulEBJrkiRoElu4VpQY71yRljzyG9ldim/16/685dHOdQpvEbZB
SPCdno3KWl7o+tjvBheu0f2XuAPwstBBQ7ALJQ5G6tt5gGUXuJ7ZkVQf9bTLvJRK0MyVeZrBZVwV
zVkoRFaItRDUXoTR9H+VU14FutYoT3FMx/v+z9l7csa+NrgF9tLNJMpoWb/2dMhVqJ6eFwhwD+R0
yjmmU3uAStk5jujPsHPktcf1p78ON6MYo8kZ4fbhhbY8N10dP2ipol7EGhdn0VnvZqXODsAn8ghs
CmxQAdxDjOvpn/5q+fwW4tSuLBC2X5THrKvis7dU+XtmEeJAr3j3Jf62yubJGrWsbfwflMfRzlLq
cWwt/cxrUx9daMBL97/YXiUJPh/uK19LunlvroghKlazx/7tEZqH8w1TdOtxQoriNEYwBEhFPeNd
i2PbUx/N3l9am5tOkK4GULI2+mOWO9UFhAs5raDMuKmlDUHxnhmkZs2iFmFvO0Xoxd6RqcTu60Xi
TsrXQN3fVqyKmjlxVjZx2BnWHLoFIBrXSvoXzyv/w7COdwolgDRJ8qU373YCUZi1LSBad06AYOpe
9VCM5cf7X3D3IEjVN9oPNOa3VwRCBJ5wI6DRES4c/uIsuIHYOU6DGTK4Y5F2wZAnB1Zce+/wV+AG
vsP1tNUJAZykzQ4CuaG5xB29Qb3GHJa3mUeQhu8/3u5SUlSC+Mb/bYuRmvBZoF+GfjQMvGBZcsw2
OrV8jJBvO8jX5efYHm9AHYh0QyC5BXYzQRO12lKrIdBaXIfBVZFcGfILIqrZqRym7AsFmPW5j+f/
0JIGnGiTfIJkkWyO18FsmhHQQSyaKJ403rVGcuvkpMNyMIDYC18UWLRLSKfl7Oz1Kij0a5PlctQB
HqMFIhT1Mdf1/OAO0PY2JIWjVCLAbQvW3+tlnEFj3OohWaYIa419JKpaULT9uGi+jUWVeIic1fiX
ARmDVLFqc3MS3TKKa1msluxbzWPjMwnovZPjOcBp5d5I/LpYy59qtYruTHtTPxoF7W0zKaJMXUMn
hRT29Y/W9TWZMWRTHqtRXcLVFcUPr9KNs+3M2n84sA7QfaZ4iBLeoAnRyRKT2hQ0NOrSPUkYlZ/a
6nBt+mq85PlS+WVdZwdcs72P8svZD+02uvTuZoeBbPQSoQI3U6JpRPtRwwITI4hzbinvbXeBrgAl
6z8cXUmGtylPadJtO1OeDo9Gx7M8dLTY/JjXIg1Q4hY/Fmf9cj9I7Jxc71fTm1WoSrc7u8xWreky
YG5KhVIS4wRTPBlprL3gfedhL2nF5Ue7N5v1CrT0qPDZOVbUpgR4OpF0erYRysnwt8IBNg6tGfCt
rwkVzCYKuOrB69xdhx4YnTCJM9l2Lsw6spO2s2DJi7yZ/NGanMuEbfv3P3+X0gES7J5KfrV9l0mJ
ksRqjjQxUUoKGTYjarUABmXeG4XIzveBF0MTxPLjqNzfe0Bai+SzHji3m9aMzrDL7iLarGIoxw8M
tFroJuLoUt7LeKiH0S9HgMbhDG7CYIQvirO0UFaTREqyrmnbuSfIClJjt1lW2phT1TjnMvPKyIea
Ms10b5OJYclqDE5giMpoDpLZvSeXRFowDKA1b5rZtTvHVlbDvi9NdXnp6D7ACJiPsvPdJ6fAo1iQ
YFCe/3WQswoEEhvIKo+wI7SHmc50iC1afYptKB5GoejgQcv4BfTN7HvJMD6qvdeehsltD7otu79E
zt6xTQBieEOzm6xBGTm07mOhoGRyKhMgDPDCrbQ9Vfbi2A9IEA2IOKotjtM6hcq5QaRFXAygBq6f
K/aUHfyknQvAA00PdEXWojeKJBbQSrFYefSYL2lxEaB0no1s1i4SPPgfvjaYNKl2AYD/Rhe4XOsI
cbGUfe6oydnq2+yszO0RAWmnvkY6ET1l0gmEDbc32rxUkdG1+FLYOQiqpG3ih1HVciBAIjo1a/bj
ftjYe38g33h1Ot36G4aeRzFdF7V05rWh+KsCaYimGnGQGfPiz+8yadUoYUaSXLztHNCfaNGmihVE
zNLo2hldpvimLZrnsVstg0w00Qw/t5L1r/uPuHOHkmYTFUlNUFra4ixrxNR7DHIplfBhuIpBEaHr
LPFTlLlYXyBBEM6dcZSYGDs4Ag9CCYGBkE+5tbm5kwZ6O0ai5PeNUpnntEF8KUgTtFiYf1SUYxA5
h3DA09vwMyMRPwbhYtXltIDkoGJGXPRqbionSCjO8tBD1cj9ARZ0HbRCLMPZTYrp/bJ6CtgTkYMU
1dJhznysOLJvtBdnJuvlWqaXHvmjf3DfzOMAvq/4ovYwT9513jjiMgcI6iFrhOsEIyEsPkgp9653
Qha6s4hZgkDaxC1HSZq0bRpazkpSIyo/O/lzuzTepXUyOs9l0tWPiZd7zH+a9Hr/o++FZiD0Lvx8
wvONwmphQSKvtBYRb11Pz0Nr9NcyjY5QBHuH1TPohYCtkkvJrfdbZ6Euma+rE1ef0mbFg6UKFZwq
ps9RY2FxUhv5QV/xF7p6U+twyf7/BTe7SjS4JkI8QPXUqW36610ZSIHut/EMQJB/8nxzwRipAPDm
6xE6X07KpOT+q919aFqARCn6jRSvrx8aZ3F0VOClETKa9u2seOKSrrEeKK1h+bFXH01Kb0MU/B2G
CeSjLpKBvyaNv71kpe2yMUEzBv+SEQPp0UT5B1bC2Y6KoyLoNlS8WkrfPFqdATDyMinb7DrV97Vc
p8BDTSlgdme8dMypecflkVSQ7LC//qY8lJRuZmQnLSw237Qlw2a6yTedM533GXngIQGhnN00Kka/
sLv6fR7T/fOUDgOqwv5j32PJGAZRqnFEIY9vC7+8s9x11ockNIwyeZvMa/XsDm2zPmaAW6ODHbz3
MTknyB+gL3srhdWN3aQrONmHeRwXL0bU9bipRPO7ou6zg/t6bymqQhR7f5Evtq3G2YwXMxMF4Fbb
a0595mIyhFTBuctRv75/JPaWov+FVZkL4+yG3qaKqlHjHmZsuqTK06Ipxc/OGPuTsxjzp/tL3Z4+
emD0GkjBpPDdtm9UDKWycO0Asab2VDpuC8uY4kseTfmJJsl6vr/cTsrHetJ+TZqgkfvJ3/Pb6RNd
tqTxhGYuUonup1FUkT+vEWhkpdTO4zAsINBs44Ijw3LC6Cp/brCxCuZcMw7aILe3Ca0WmAd0QgCY
447y+ofYxZSMzcgPiaY+e+fVlhcYNrUpsgVOYM6L5aetAva7Gq0DQ4+dbv3rpeVl89s7QOSosMZh
ycN2VdUOpE7X9NZZtfL8zeqi0ec3Yk1Hn9YzBOJSE0Y4YCrQhEMRqZeOi7nn7bXGUeDYuQ2wokHz
AvFDjvCNpME8MMQaqc9DvcI2oqo6+9ora3rJxplyryyaJ2PsslM/ji4fTSTXrJ7U/7D1pfoiDnnU
uDc1fGdq2FWwR8K8t5wgqoT6RRuGPrBxNzv4Dntbn16PdMemLXsDKRnVuKWFBJEqb9a/kVKo1MBF
jeakdI3zsaKTcBBAdt8vCQzJKrLTeLxurgMjMdGqsJQkjLKhuOiJRocrXUrDH7TIPtVGZJ4tQdyq
dS15a7X0bLEgEgf9g72nJpORmF7yV2rs15sPnXq36mLYclqbuV9V0dtvxyWvLshqdE8mGdyRwNju
grxfDDrBB91QORwty6LCI25qLlvLKtXiw6Jk5ZMzKcn7Am3og1Rt79Kl0EFuAYUHIugmwtTJkBsN
RrdhOaBU4UwTLoPVjFFdNWQLpe0YnURmGh/uB7bdpwTdIfGfv9r8r19rEpP5ZyOaQ8Ib5y9zk/R+
pSTZy2RFDGvj9KhLvXfLM6r5xY2B2rS9ZfVWlGpfuUnotDbuexNSMVo5flnsyEKTv1wxDkzyYKFa
9qti+Xn/Yfd2MipOSMrDLCGeb3t61ljTpvewsYyYU+EuGGuIXGoaakNXpbfXS4ltVqgL3blgFDC9
oV1mfKjGNXEOynUZKTe5jkY/FnYdomCIP2++td1ac1LMQxwWzLP9AoGFj82kqAdJxu4qVJnAuA0O
zRa95fKG3cJlVrSkrfGTztznFknCvw/e6c6FRJ2OcxZjfvqI231r0PdoB2mRo1bKavm0iWgjpmva
vxnUBh/nhQ5BqLqJ8w8nt8jBviKa6lcj6FK/GMD8+koSrcJfPDajj23oEAerjec4bhCt1Z+GapTe
knWeK0eXurwrt59BtuoIonvGXwV5tpeWGqW4bbZeoEzJ+pzNSede0yE11YeMHKcm9dT7f+JSHa2T
487qkxblzbe4H6Jnuy7c8kQuUP+x/YC0PyeLQvAdYNlNG3OCh1FUlgKoTImny9z2xiUBS/9TL2r1
/VytR0J4e1uFzIWGIjoJktf9OgywVRxlROQ51OGlh5YeIT40wKF9d3+z7PDj0OYngQKlRLV4Mw9D
70dJ6ILFYVlkhetDkku+JZFtfu5WvWUnlBFqhlCT4m/64GjzG2Uxygc0i8QYrLBfuxdjqXPnrJey
JoHeOX9JHBuEQOPqivvgWIUrEBUal39A+TvfxZj16lWbOfEn281ahA/WsvxYuxGGoj4zHbd/mFAU
8871UOP3ZkFDdf0V84npMs1INDwsvbus/mLW9RPoPi/2p1HLP1ZLo9tv1CQbGtqwQyyuOliJrw7/
kfx/fQI/HWitiJ1z15AineHLtPHHgze5s3XJf3W8GIHN3UQyR1/zel16GLrqYoSgt+2Xqeuqh/ur
7NxJzA0JmEQrmmPbODV6aY0AAHOXJqvVJ9FM7ZNdpV1YrHn5Avvws1dH2j/319wpIiiLCCXgQhgn
bifc/dh0elmz9dFZaIK5NMvHlhnwCQZJehAAdi4/oAOQjpmlIxm8DV1c+lnRroCGlrb+0XjuyDfN
l4+YfXhvo9irhoMkcWc9eDv0DOQFyNBbhtLfEuglcmNAJSUQgchYIFBKyMClLRQaVrFiiDmAbqlm
n++/z71FGUrIlImC82Y2iEtv0S7DGD32qaKd10n/7iRr59tLgzRjsx5ZQux8PvgbvEuYowTWbZe+
ddIOghLziUHUE/l2LKM3f9sygzo1soMvuBO3AHPSueWe/JUbvn6jsWk0sdpK/EfdohChYooHZtA4
uEh3XiGSneBgUReRYO5tAmxCwm5sxqtCZYhyaXW6Ex/tyUuAQHtirc+NqGP7dP+77bzIXwghak3a
tWAjXj8ahrFWh5qg8thOZovm4apc8iZjPEixe/AWd5ZirgIUQnIhGLBsnq/olixBtAzASjvWF4fy
9c3YGEkZtMVh4NJ3PplMcylepLjYTf8bCqit6KtRhA66y9V5jDTomPaqWqNvWaOw/ZQy8ocYnPRr
WpZD6ZvaOOfQtArz3zzP2jdE3GY9GQLm8rnJdTSe5zhxL+bian/B5XHtIPEa3YN4NcARUqa++66N
uvrTcGMbw5Q6mz66uGkduZPvPRdJlk5nn5bOTavVnAc6BLOSh03qCcTul+YUYSVyEJH3VvnVW6Hr
gfXq9niZ3ETWHFODW+ZaPDQTEjeesRz1wvZWAdUIK4wElfRD3gu/B6pYi1PXGIsQJGD/nMLLCrq6
PzJXPFplEw6HlmUmvSvC1AJKYMx2ctHtVv0Pm1uGI8k7IMXZ3ifA82GyQy4Jm1JVgsmgX8T8rb6Y
gFMP4oT8wa/zSbACBAnEcP+fuNXr1wZqZO66NctDLYpTEVBNiHNkl+6HUbPL+GRMlnNB+ffBcPLk
oEi/PcJk+bRNf3UusVvZHGGPvNBWZzMP18qsMHZKVd8wxyVMlGE5KF72nhLUIgMsRwJtt7iwBPG5
iqq7CI0Ekts16bJuuAhnduOgqCDQ/9CdEb0CszSisJ8XCLj3A+Pu+syZIT2TSUJee/2WU5FPTKJ5
y31jVU/mOsUv9E9V3+2s5KFM5uwFGpt6gVHWHay8+5IRtQLTT9Fww+vudadPwYmz8qpqa4BHvPvd
gvEZ+67eHO3b29OBKhDHD4MZlrzJg6qpKYYOJf8whYyNx/ySPMPMG673X+ZthgdjAAgScQt+/413
SGZUE3PeCsI0knoV6n2zVZ7QIehqf4xaYmub9NEbm8bL0dBop6UqyQrogaBeR3K53UdCjauhM/Iy
rJGg+BzVYn5TFJmtnkvUwn4kvTW+77vKOaGwPzzlhhLnQV4VdeHbLq5i/+HT0raDVQ2G5pZMH4Oo
ztDUKOhtNp/apHQeEyvRT7COk09//sYBS0iUqMwDt7JPoIz1frCTMgSZXqAt7KnvFyjrvlc03Sfh
DdXFAQV5MHTe6XwgsIPykxwEICO4jQ/d2NK7LeMyrMa6uSx2jMaEZs3vJjrNp8HRfy7t4F1z0SPK
WHTVmZ7H0Sx4b0Pzpdlp9E1k3bI5t8oUoVfg5KGgQX4dWtcIMnC9B+F+90lBJQAlBYlyO3FWTDfW
1MjKw9kTxXuMTkfPV/XZy/xCaxKJMp+W57qPk7Nrp2XtV409fV5xMDwCJ99mjRLQKm3sAVy7N9Ei
0ifo6tjchXiq5KvfGM70vcmhfSKdOcfnSsv/y2FmekZQ1oBC39CAxICW8EBeICnEuOe4XK5PU8fQ
P8inyG79IU/HPBD6KKyD47P3bX9fWf75bwkD7W98jbqsCN1aWV/MqbVDzIvFQed7dxWqXVoUzOlA
P79eZaZBGpdtxKftPKsKIQFG6Jym8eCd7p/R3U8H6ASRJ8B/N6K+iTpRbXhccZGptxfL+IkS1XeM
vvSg8pBuvr/YTggmGhAH6cHK0lB//VRDr86xkxtZmE+6nn1iTpL/reOYob/NbSe6YoRQP6rqMD/c
X3bnGaH2MdIiLsAL3rZ8enMxmVJbaL53AwjocaU6CKKMFliq592TXg3jQffntveLeCnCkCjYoh14
I/gOrHNsUkGv2a4muuv+1E56++wqvQIq1q3HD6uqj8alrdIi+V+HIlV/Kae4Nz/9+YMDlpXChbT3
bz4uikp6ztJp6AKIfgOltT41uhiBydXxc+IMR6JQO3MznhsgPXrU8N1vuEIjAZHRCMozrjFgkpVE
zWlMF/NZuGt/FY6NdUiSI7m06F2AV44IsMJ9ypVY+0JaNx589r3dJu9d0FUSvLW9dRFpH0yTxk5Y
JzkdzWIwlfJidd7yVyvc9DQOZvfoNVr859KD4J3hS4FfkECrbe8jRsUtykumVnEclSdzrYqTcC9a
Cdw/HZ/H3ntnZE51cO3tBAySVAxpZG/gdiANUAgEw+gxKlMj5Fua3nnx1vqIC7aTFrIKKoBSQkGq
5r0+wImnlx6FEoKnlpIGkDPEZdWW6LSUeNbe37t7S0HUk7tIYpO3Lf0KQEvtrIg4eesE/6ntBa5P
ee9FqDmPOEjeX20vREBRgmBDg18i2l8/WKvAMu4SJQtLdcapLQXd0gMgePDW9PsKrurPoy71Ge0x
wEh0B7Y5SpyttZkKPQv1rmwfGXO7p2oyukdKxPycRVZ3kPvuvUyacLIdTcV+g4irEBEZdIX1xqlL
wmSK1nOPqs6pRl7ofP9N7i4lkZlM7HcoJ4U2L0qKTHqolCQlzVrp53zutL97fJgO3uLtnodQpsve
OiqfRLnNbuy62POyZs5DVOnJL6k8z3oPHfL+A+2kWSxjYi/DDbLTMwKCb7PxdZZBYDjAZja/ynLm
3HixC63fcN8hH9ZeHSRNfUWbzZNtCnFwc95eKPI3ODh+UdmjurfJKOesR0poIaO0rIENQxR/mEdl
ec743sHUeLPlE89rH9cvtHWW7IgLLf/7r+t91kdrEHVaduxNe1ztYxuFQZd8RO9E5tu2eMrdTpxj
5nvBAPLHH5t1ed87eXpwMnc/MgeTFhre7ezH1yez17oBmfWSt18m/XlFNv3aVabxx7v2V2OcaakE
msD2eL0KcNIqbXOErOZEiYKavxVMQnNOcSeUg8C29yo1JC6Zh5K53oC7JY9e8fqGpaK+fpgcp7/0
1tz4jrp68KZm9QKKcrpYfWcdcbR2BFJ4TOpsnaoMxs+2Iutas9cU2hhhO1bO+7k2sx/laIH+lZOI
8UprEnOOIlHSN0zemvbB6530zEUwnOy5Sz91awLWBHHHP27p8LMYuwA4IrW+wXnExjhWimGRF8Z2
u4DcyqIPK7KQ3UkRAtDw/QO9t6NgFQAfR4cBguFmR81xUzjYRWdhhHi24aOP5X5q3b77cwlAnorD
CiBWkqy2eyp1GLyvaZ1R9Q9ivGRIOn52EQce0etw56e6L6ntIScXMYqERnRQQejazpFFeQi9WSCb
t1L6jjkW/8fZeezGrWxr+IkIMIcpmx3UsmRvZ3tC2N7HTMWc6+nvR9+JxSaa0J5oYsDVJKtWrfCH
qvPy9CqlrLP3et5NaJYZkYwCbVEe/JJP1YCUU6ElaIuN6ajPgQGSzfB1DfE3P3HNKsYXIS1KX0lA
BgaT1brtRUjZfu0mvYKS0VcDeo5zaJ+qfJ6Si6oORujL2YyNnQB4e62gzLZwLiiH2Lvr3qaF6m1e
Fll6bVQ9v+bZNAWda4lLJ429/bEZ8MGOc0xQ0qEFtgq2euhpdTsM6TUGTPW2HEwDpTJUqo4z+mzH
pE6mJ9cakXOC4PY/t4tB5GnYJr1+l6JhhCQdHD3mTKuIlHZJH1kWArLgDLvnSQ7KwclzZyfubZ0F
clS86JjCkzeumqlIEsdF5wJbyLN6eLCcRrmgGebuNQi2vh5rIITJx0OPY/VG5eAOJXJzTFcbzQ5i
NbEPbQdj0xORs8PKvs3kaECAjEPnCxj6jeIWQXuEmDKS5ciqe9IQiMeynZblNGhDIA13Du5/p83d
AlaSqRl9Lro4q1fYZxPai4sTk5CG+hM1oHk4dk4xmI9CcwotaGiG175AXVD4XpGVzrukL9y3atZB
Ybr/W7ZeM5q8S5uThOim8qBnGynujKR7DEkocM0mvMap55xSHOp2HntzKWp4ZryckxvVRBMUCWRQ
YL0lWMEh0ITaak8jOl8HzFuY+95/sK2PSl1J65QPegsSibFGUR0lo6TqrOIwAWl6jFKwB14Smr8A
Ye7Bezc/KvgQmEbUO0hSr+4IvUJRnZYbzjfhqAsfjUPxaHSmWV3QOZbZYSzpHqBOFX2cizitj1XY
RJdsqoy9/szGe0ZceWn+o2dmkn+9TExa3spooNdFy0ROh1yTOMoAt0ovQzHWO1fG5loEV+oDRrEw
HF6upYueT40XzRV4s36xvbQ5eg58ukyDhHL/g27EHUa99JtYhRH6+v1GY2PG0IjZPmgFnvO8rU6h
Gu7xUbbuQHIdjEXpxnAV/vnMfzXrjHmCtguB4mqj1mr6CFJOv/CV0r4DbHKfDa0oseoYQ7147Muh
4jLEe3D6gdZ66h1Ra68+dd6s9kcT+f5L2XSRGoxVOmaab2gztqiaiWr1IaXybnzMTbIFwOM6R3Ou
hPf6ow0EhmKY2htdlHXmhuc4E2bUi6+KbWDJW7uaL/Iou2S2sHaO9sZhYylCJ9cOGNR1rZEPiTHo
YyKuJfriT5rSd+6hgY70LemV6WSY4aztHO+tjQfFBdIQKTGY72W3/PWZ4k6i1pGTfeNSMT/1reme
ayXqEE3svZ1yYiP7xsUD0Cn5L5jM9cNVcykHaH1MgdwoeacUXvogm8wuz7x88wnKnHNlrlljRwnP
cOcbbm16ihjyGFBG5P7Li//rMdGSArqRs3aCjsdxBox57Kyk23nCrZe5KGNxpRMuuW9frlIagxZ2
yzTNq/Pa9oE1WWi0K+lvW5rpTl9ha6uAIwXbTs10S7pCUzNF5r4T+LTZ6THR4+pxUqL3lT6UQeG4
44420NZywCiW1B1SADvm5aONiA9VI3C6a1HmZtBy23yOeujNijlk59yw9gZYW6+SljE5GJpRDNZX
aYuVZE5jmrm4SnTpg0wfw4AtWQSFobx+ZIRPAO0gWodw/G8wMNQraKmA0rqq4RA+atVQH9Mo3xso
bz4QYg8MTQBJ3agcAq/ue9OlzdXNkXOY6M0+l5Vn+hJ93k/3I/xt95UHgooDgZue+02rMBtK0FGV
yK5u08mTQlxkBha7b4HO5ue2bbMHUYfqq7ugLIqcBfkycfIGoVuA4KvrKCOQ1KTKVqQN3GXVv/ef
bGsXQkqhL0mmxdhrefK/j3GOZboOZfZqgOKFgt74pVfPp2ge6kDRip33uLfaag+addFyLaCCPZSJ
9aYS+Y+0zrJ3HUfvULVzdrz/cFs7BDAbuTptHrTWV8t5+gyvooiy6zzAM+iBHByUGPZpVHIC7i+1
+WSAkoHqoRB7k0LiwysRNGYzmorinRJDFxe9jbpDkibqsYmn4XR/va3wy76HzQ7K+JZ2Z+jScwqX
xouXaeJEKl9dw0VV+f4qWy+Q3AlxC67p2xlXZWLl6/UlInDu4B0taLjHmU7lJer15j98KyYMVKiM
W0gSV9/KpWUsRptwGKV6cirDJDYCZZLTEfHnId9ZbOtrOUjqMtihS3bTbC0j6TSRQSxUYhWSohaP
h8RByFmVzOucst1DoGzFD1A3IFMhDQKgW37PX6cM1AnMk4JrbPby4lOTd62PgG5ySqpW/YS+jDzq
ibIHW91YlCSRG4ZKmK+3zrLYh3mTLX1yXkB7LQWqyb7o7O4w2110sJUcM+O+ab/e3zKbqxIjF2Uo
Lu61SpPi6HBMHZle2wKrw4QK+iwYEZ1EEzuPyPQUJylL7fX7dBHsZDZpaUuvflXhVIMnhyptWHRu
s+e+kPH7VEuyINcncwcstnEkqPtphsEvorZYf0rdiU1vCPElnJxYc0+hLeq3UQZy8qG0KW12SouN
jUo8WbAfsCIXFY2XG2fCzUMYcUg9ngnnex3X4Xno6/ZsJaPS+sxax51LZ+vzMYSgRFvktW9gx7xE
WQwDFo/Q4pRDkuAloptxdDFifTgVwOMPpooV9v09s5ztVUN+KQeWse6fhGj1+fTa7Qcbm/ZrXWjV
O0ebnilj7VPi4MvpxHVynqNiOk+YdX28v/DWx2RNygOk7277UlrR9BnAExpxCHulB/x6kP7NR1hM
g22H/+FbLqB12v7E7Zv21KyTMqAOn1wNu4y7Axr5VXuojCqmGVZCqXrnFlz0O/fSxj3BBci9jmI7
aIV11ofnbL5kvNDhllmL7RXiycWDa+cDbq2CjhgFFhkfMXz1AVO7hhbV0fOuc6sKsnlpN1ZDsRO1
N6BnnDdGfg7EHwqr9cOkkRgrpLMB8mkkEYeBuu+rV1fKu4ZjmB4yVCsKvy3qovI1mEBBFJlWHMgE
oInqGN1Oh2H75yzg1IU0vVihvTyckBPKHAQj6YUB1iMayvxQ4J/xRpOF/QWX8OprgU453lFKfhHM
3YI+q7unaEI18v423v4ldFYXNbcNyljsTYKTq1FQi8xqDvNkJm+sVEnY0rbwrm0Ydc+N1pinubTm
tyg3q09xg6c8Ljrd63mugDRUj+3A/BnNo9VbwRrYlkVJr7fJ4l8CzRmqtrT1EV3Vz2Oq1P9h65F1
EfkJ+7c44Ui0QFAsm5RSS+V7y6mztzFQhZ2zuxEoDDJ/DVeHRSxv3cBGfMOeI3TTr4DPxmNruL/m
Nu5OpMrVzv2yEQth/BMkOEYLb3s5an+nCkPoTk6hQsZvyuqHGZfp9JC7rXhWYS9UfhvnBZiXGtOL
3p1s5Xx/J22tTuMXeVe0mgCsrxKVSLpVK2hXXBV6rwyAgdukdVuetGaKL1lt2ucG34GjTiDb+Y5b
b5g2JDN9AjF36/LL/nruPoq0eRY5rW41m4+po7hB7ITZmU5VuRNHNubPgAeAR0DFJySudyhKLkTh
doyumWy7q6p2DTYieX7I22j66KDh7xfYpZ2dGK9InyHr61mCFODLJcCNQ2Bej/qxjRgx7+YTz0N2
hKEiT7KT8Gy6Ngn4sjsvduNGJ2LyM6Ee0OZdo0HwPC/RYGzChyL1UGNSrOGN68TzoVGbOciY2x7j
UY0+3t9HG4zBhQGJpjPoAcrKdbOyJfMuI8GNoOIaMh1l5DAVtqWd50dZlzi8DKDFUK82slKDNzza
71Ori6HgW3Y4HCan0r5oWoRtgeuOv9UxFnWgZ1gxHJo6V95kVRgJeNY6ArUN7lfOeZBT9E+iTZ2J
m1BXPYZlJlUfWY4oPXVNW341m1Kbz9RSmfAZwnc/GBfV8YlhV/MZi9rE5KOjmBrMwkvcS2HZcxLk
WlS+K6AH9kGPNKT4RXuc4g4tB3mUXW9Gl6kuI+2LrnfzR/xn2z2kxMZxRDEWagrjXV7meuqaIZkI
wTGJr5YI63OOU8Np6NHBE0qV/i+tGMjMYRFDxknUy/0PuLFroCPQwEGxjsxzPTaMQ61uipEhl17F
5RVfSdibU9z/Q9cDfYwhahBEzfaw8xsHk/wdHj22IqCd17l1LbDM6T3YkXkfVUdPCjXIkMv+UuuG
QKVHVOcpKoZD64A/G6ay/3b/mTeyGLoFi2khMKYFPPEyBJXOkGbQQknQECJ/aBMnOalCNjtKIFur
0GkBxEceg1PDKsBXOR5Z3pwtI7ahjHx8fIegFMW0017cXoZxxNKOgHG6TslayfUQg160Rlnkfj5H
+Y8iLvecLTYKFLSNCNgEtD8Z5st3Fi06Nex87B5jz3qqXPyIktbQ/RbBhKAc5d48e/OxSGbRj4G0
wyZ5uZ4x4hTlFSTRRadU19TtxIdJDHuzlu1VPOagHncxf16ugrC/1Udc9fT7UPkPolm1DlEmEv31
aQV+x8A6ue/IwtfoDSeFxg4SCfGi0ewif9BK6q3SaaEtjwog99fvb1aiWwStSgWc8vKp4lLT07wG
MycK7M+aCkR23OwKDW7FLFg2sIBJy0ClrFaxu76vahBIVzMylGeOkxOkiLu9kW7Womw5OQERpTho
2vR6ke0/1lTwbnSUOG5aSFLx4IplwEY1yQBzLlVs6aTS/wNr8Ov9N7mRrDAhX1DBcDIYZa524Ri7
xtTkeXKN7Gr4VlpFzZMl7ccJoPTOR9s6YIvSPlRghko3zuapNxhu0uHpjP8nc4jGu3a6EAe7kJ+7
uPty/7k2F+Ob0Q9etv06V4Bw7ypGZmL23Ufdk2clsZ/3qnuqcOc+TryLnVnZxjlbHgtxAVr4NLlX
eyWRpi5Go0SiJk/nE4nE/CDhkgb3n2rja7EK+Sy5G3S7dWqZdGKcZm3CjFtP5NupxQ3HZhr4pm/H
PRTnxua3wdiQWXLCbpMtW8U7CAOU+MqgxTOvqZqJNLBl31xKV/EsvAXt9NywST97tbR3Qv7WcwId
hbTBTIm6dHV/FUaJbww+Q9dpFE0WhGOufQjTMa0CNdbn0/2XulVzgicAmcKUk6bm+gwoIgoLu7aL
q0DD8KjNRhhk6iT81OmU0+Do4SXRvI8UinggW4UHKVmLA7fPdo7ixpZd3Njwf+D6YVS4/PtfdQNa
83XYpEN+FXoZPRQo4RwmsOonK/dI0oZ0L0fZ+MILiXAJcAvGaP3YuloqZp04xXU0JrVBWiSJv6qT
oreBo4UzmUtiv22zOAlmCIn/3n/nG8cFkB/QEbAqjNfW10XtjlzmoZlf2xyIHx84tN5FqtPtaSht
JH+A08j7AP5jXLLmsOu57CwFluZVjEOEMvEANZb7+Fi0gPxqJL0PbdPml//wcHQcwfwgdHpT+EZp
hR5aoxVXM1Tbx9xs8odmTOud8nrr0ahJYMHShgPvs3zev7YLOFSzypS5uDIZsn61g9QvoeZk37yq
NGDTREg5oT2c7WHWt77cMlKmMWIBPl7r4gJTAb4YxgVd8aw/Zo2TILqpjztwsY0AwKQHmgETISQc
1v2xkMY31CNRXlWjKlUfGI/xrUnbcsCWMto1Nds4CTSkOXn0pjWMV1bBu+7I0AYl5CSEttdfXGds
n5i2DF9bT4uLwDGATh7w2e018JfzVFrn+xtmCwDMD4AIxeiSgmFdo5ihlrFrXKY4coKcInszU31w
Ys2PNvZSjPhqq5KXgbAR+04W5f8auNZ/lnE7/aw73U3pLXeR5itwrcOdW3vjS3Bjc4Q0QF4bkCv8
49EQtPlpEVqqauTOJ8cQ5oXKR915DRsBkBSECfifqHRDCFOA8Nv0wAS5XF0FliyHN5gj9lijLdbr
UK53gtDmayfSEoSAftw6kiuWiGAXg/zovbB7blPbekfuX7sn3FZn95RMqiLxD5wyNWiRfLavhrCb
D6itouLu9EqqPsg8My5g8JGzvL8ltl471c7SDoSWhsH2y9OtVPFYahM7okyt/JeSzHDbFSQ+wtEy
Xw/z5o0vF8BiI3jT/FV0V0zkG+gTGMlvKzS9N27TDyeD5sOn1z8Usy1oKLQgF+uqlw81wRgKE90S
12zOymBWk4TqCoG5XJ+dnXrkT4m7msQwKV/AphThtyk0LpvWHCd1fu1EmH4fi0b+041Chv6YedmD
Nnrm2aYDY/tmmqO945bWcexo37z6+HgEFkZsLgXyLVYl1QrFS0sjv9aGNpoHmIV9FoB1W0Bts97s
yYTebhuPZj0ZxFLuLWS/l2+4zPrBVWPQ5c4SNstsFp9n2/6B0Kvx6kuOlZhQko9ChL1pjg/c6kWI
+PxVx0HLt9RQPtSl2MPf3F5yrIIOE6qWOOTeBEba5KMxuAmDCfR3P7FP1AtJXPbLAG/n+Gps98dB
RWN+56vdRiLgYLg6EfjA9d30jDLu7LROJ0QJpS0+oASsw2gu22d7NuvoPBiJpp/uH43ba5UVKWbp
ycMLuIErO2VDgWaZyXVMIpy2xy4PlMrRdiLs1utkV8CyWHAQN2mXURLsWsb117YW0aUpS+045737
nOCtdqIU6D4scp6vP4qM7RHK/VP48WeVqcQJhYomqWaTtND9LOToSa+PDzQK5w8Nyra/R6alD1rf
iBMihJFfwRkvdj7p1gsmygFEWqY5JIUvT0blmiPvhGEOnfT8HMZe+EjystcGue37MTSEF0mnygah
vA7b4DtmDeuH9Fopytyf58T0LgqX98dIR8vvpHeDqsJ/j8V7ALhJf2CS2rx7/U4CYUinVWcnEXde
PiiyfVGX6zHcgXCIHgxD0YIRsdyd3t/WCeFogtmkf2WRH71cpecl9x0GNVfdjeRhzqf+Xdbo6KFH
0c9UAHa5/1BbcY1gbtPDAjh8g5ArUHHBmQf6gKoR3JTGMHClid2HDtmxnY2ydUZwcdQWhNxSjq02
ypDrBtvPAdodiyroPQuIOVqkMEwcO15UlrvoIou5/3z/CTdI2nRFIO8uHGWu/XXN289KNaolBXdk
1VN4cAHaHKYpVN9EQF5/W3nbdAc489rZirLZ86kVzfBYS+m+xXNLYbxTRO6v+79p68wsH3dh4JIV
ryvSHAVEt5mH+NqOifEzi9zinTn8B0PX5ZqmCwXEEgj1uhZUXAWmRsNowLW68OqMyLB4+jA/2Y26
J5n/ZyD2MivgwyKBRwBkXHWD56QWRnLKI7CnWSIwc0XN4U2dj/nsS6NuwWhkETZpkYOs1ynlCv2I
m2Ae/WyiMoY9ordfBrvq36pdlzdBZ9eDcXYdtjwtuk7avoxLU/ORcDSYwUygYk9u51lHHHOq9qz0
anWsWtcUtBPq5GtneON8MNqBOYA2SdBbnpaUzkGC1zX8SVPaYSf6b3zORbKLfilKVLdCqYhOk+sp
ICim0vuo9cJ+Egiz75SlGyeVRdjD+HwQC9cRMDKE3mWdkVwhF3UBfuHMBHRZP1rDqO7cmRsxCHAu
mJDlU95WTXqcVXO9YF7MUdXQlJfj27HT4ydHSv1HoU7DTmTYXG+ZdbJPN4S8BqdAMt/hjlYEIolJ
Yn9Fh1NcBrqXb1HwdXfuza3PhS4HdSG11C1LQqm8AXWMGJ26Ru2Zz2nTEYZ6t7PK1vfiedAiptN2
2+SuI6m1JczL6zSL9FHr7SooFV07QA2rdor6JXKuDt8iGU4CsEiHc0O9vDNK9BhxIQHgEDfW/CtD
a/LQM7+/TL3oD5Xipm8cnKLedemuadXGQ6KaSD21TOVp5+svV9Y6jeGigTiZRxvIOqHrmT0nedp8
E6nSfb8fNDd2CSAl+ggwvnila5UhuzFmpJUXOoE6JydsHMru0JvMjIusVRq/KUx9p4Db2CgY81JV
MXeBYLcOoJlhyGJKqvwqY6U82ENhnBfPmeP959p6h9AJaE8snecbhyJbseAkyiS/Nq1JhzuKkytG
vfYBUNqeVMfWUuRQwLjJL+iVrzYKule9h9FofkWHS/7AUTAKDwzk7K8JHL1/7z/WxnWPIAygG4tp
KRf+aq2B4GymFoappT6KJ20a5+YQ5q3+IQn1pPAnXStRSy3FTizeXpYmGlZxGjOe5Zv+1b3rF3Zy
NYOjbdyp6P2esFL5QyysYzyZinVoUC27zuro7dntbb1bpjCgPsGRk6WunnfmlPw/jWicejtI8Bf8
WBg4n+aTqr+//2q3llqarvTVFzbiOpNSMkufstzhKugKC8UZBOZ9pzLFMR8N4A73F9sKLtw3oHDB
3tyqToxYJM+5jR+HOlr2l1ZMGvq2Rus82KKxHlJZGRcN9tBTWqTmHil460FpMUPP4qWajm68/Jgm
yNnZ7MgqLBfaS1mb8qjWSX1KEjfaOetb0eXvpVb7RvSjiKpJY2rs5umpSN32NHJ7/JZGgudQHYev
H7WCgMZV8E/zbyFXvHw2Q2nrKilwIei18XdiDuEb0SZ7YC3uGf6b1d2wXHRsF1pD9OJWERohlIQx
A6CpsIot82NOeSNLH7a8Ai+319WTkEnr+GGoZ90BMR2rP8Qo+FMuQyzBeqUo8oOj9cp8tmvXrg5z
ZKn/4HJjfHHaPHJ8mDVpg59APlmBaorWfjfLrPmdQVFKfddtvI9RZhXFxbORmzgbbq1FxzYuytZX
EOi+Ck3D1d3Ls1A9xMU0/rbVwsWBpXTVr5pdeHoQgZL8ZxjG8H022LI9jrleVIGtTwi4e2k0vFEm
r+1OtZcaX91CmYbAzPqoPhTCkHkgGNN4QWvVQ+9joqsoGI1K+TzpRmU/VGMP1n1UgNwfPGiuv6yW
wvJ9SKeNmBHamXbWq6aF/jhL+rQDknOHOSkzcehCxZn82eoYyUtgi3giznnRPkM4wmm4Fq6oyC7K
6WeO4CAK1/SWQKYU0fR5iqbsE1HKkW9bz2Eu5YP1F9a/iE1OSEG0WvytTetkfMgr0zvnA5yRB0Uf
2+hINq+lByNTXXEMVZHZRzWPTFwkzEg3iGuJoRxKI02eJXgBEeD11P6P6DHZj7qYEv0YKUoDLmpM
i+FTOlPkBNI18+KdLOv2Q5XW9hPyelHuS3ucmnezXcWVLxpbfnWtzPs12nI+eRMeVn6fIPRzUTS7
cc6FWucoHI7D8NxnhZ49je04jD7808gNqCtH0vvcyqJA5gPc0cwbTXlR8caL/Ejl1jsi0++IQJt7
szlUo42zYUVvqr1k6qDlfiSq2gyazksei3lse4y/M+8rGmSje+imwvpUe1Zb+A5gHfdJV8bxalXa
KFAWhvN7ULlopssQl3ON7IObmwn2Jm2u+Z0HcwqiTzV2gQAfVT9oWWzjvcVlUfvuEHX/1iYyf34o
FLvGro6J86HFRV59rDppfe6VMAYAZqXFQfQFoop2xozan0G5Re8GisnWz127Vj4XU6Pbhwh69VWp
WvnBSBG5f1dgsyt9crZ0YFN68/AwJXXzaZhbq/PNqjO+VLUutRNCq3b5G0tKPT/omGnsNZA27krq
Qvp/TPLIO9aVcZVNEYw/iBhWnxvvAOKGH73ac3/l1OYf6lb7t5mqeec6uQnpCwEDCSguSJKdG6X0
NnNHp4ZBgJ3OnBzaBWtXJUp6nBXr5/2L66ZlRIcftWZKUrQxWWt1IU+09VVrdPKr3erimzt5+T+R
0dlgjry0+1qhz3nus7bk5M3TZ/C6aXW8/wNuHpWRE3UU7UfSVUaJqwg/pVMrxVijG1175T9TPM04
NIYjZVuTnf7LUmhnAO3mSlmjJNKhKCJPhQgYjvA18yKS0BMq66Qr4Z5N1fKr1xcK2RyjQxRsbjkK
SSwBO7oF8956rP9d3Lp+aT2Tstc/0KKNyw25aAatu4pRgrYbYH6qJ2Pg2DZySr2D66bWj0U+Vu5s
yq1LkoIX41Mgdwu4+OVdbHaVMXsFBVQGU/+NlxjjeWBAPJ1tYyJtrb1kejCHQjuWqjbtncKtbYLz
NW0xps2AUFYdv6IGfEeLiFPYYh2Zd2aj+jrrPhRK171eDRcQDbgAdHmBrt3AaQo7UbtY0kfVNTj/
mU6Icrvp3GJGsvNO/yBPX2yUBbrIVckbxbf2pq7RbcUukWRloJ2KdAyWhunj3HjtT2kW7v/s2OS+
UnM30/28aYqnzG5i92k2K0MJulhxxSmcRPJNDQuVke1IYXt/h9188+XnYbcGE4HZ6M0Ow7JzNrEr
za9x2BQHPNW5R1o5GoGovB9D5BhH153EIQyLPQLVTarJylQKoMsXCCkynS93W6kl8RjVfU4ZEk5H
xSjyo6iq4WxljnyjJ9a811+52WHLglR8C32XqmEdCZEersM6ZsECV+NrOasTx6p6DyVF7DSp/gSa
9UeHRUthwiCSluDy1v8qv3C9mUHoOkwidRkOvj5GILYnfbSiwDS6hnsxrN3SJ2NZWJV1USNpO6fN
dz1Ly39UTJw+6lZizoGcYcRfhh6xbL9IrDa+GF7tfMrb1h4xgqiy78AFxDehh2CX5onHOw56qcnj
WBvyVzEpiH1WQwi4AcFVTWCd1zT6Z/Z83/lpK6fhnyamU3d0WkilTNlg2PukPTZNNVB63+oosiaf
csBJDjiMpp7PVTh0flTi/vJM2Mo+NMhAhb42u+OX+xvzJsDyteAN0rNGAQ9+pP7yFRZFbE9xgax9
wrMebRl2n6xEyV6Lq1tWoQvGOBMGzk0gUJ0U9ytV5FdVdDpxLlGemrzeU7W8hYCxDPMp4hdFyO10
KElTYQswpVfphMlZiHA8ku+owZSkPd9fCw+x0M23cdIluMxZ8nvcOMbbkbl1cP+t3uQ6yw9hDEjm
B4kQFtTLt2qPoUoni7l/kpnzETMigr3SMptWjSnIXIU9SXDcOQ5bMYblOAom/qM31DpOmicX4Ak9
kKj4X2Tlw0OqRK7jU186p9Asze/ww9KnEFHuPcLd1qFHz2dBdoM/IAN++cBsrYpDVhVXu5/Hx0YV
A3izEGu0wduT/91cCpFjWqqsdqNukyoV5d4CXUKM2qXBqUQwVRALmDLp7iQ6G5/RVRmwospKU45+
/8unooqIjBm9nuvceuV5NrPqWmWOfdQYNRyqOi4fVScsdhbdeD4aSqjDgJtkgrRORhqjtsnMZX5F
arv7buBIeU6avuv9RJfOHrJO27ge6JchFUQ7fMP0ksYZFcTApmkoG/1msLQHu2lyv2wF4oTJrPrA
9dNjk/Xu75FRYVAlYO4yW20vKSSas1JI64EuWLeoVUo/rNU9NaONzJpxL90ghJpUsIarC2xRDtKm
ifsksRzgUwg85gRLROpOWDuUHzEDar9K8MOnKUMjCrUNMV/un+bNd7SMSTmyy8RpFSNrF7hLQ6l9
lXpmP6q99Q6DCpQ5xxymFA4nO7nM1nLMdWgGM7a8lTas7LqQTJzya+Vqyie3bBEesHKUR6tBHKUz
d9POgrcoG9qQ0FswmwSjdDu0bIeq8ETegVkN7eoZHFF0zLsqRnfJytJveBONJ1F3lXMwCm/+GHbp
8ADXqdzJkbY2Pi13KPpUUbf+oPqkiCY3Adnkdps85rCf0O0dar9T8mQnPm++YpyzqNPIxQCPvTzY
uVBl7WZjfnWF3R2dKPHO6KWIi1dFzmMnG+fb/R209Wj09k2AcSBSeMaX6+nxVI2j3cOHjeL2OytZ
8oDysvnJGobG3PmcWw/H9uHQMXFCb3V1YHrMpiMsrDK0lnDXzrRMnrVar88lwiSH3pni//BwVNk4
YtLSZNcuD/9XFia0InNCiVNCxUk5y7B4P3jTdEywRP38+tf490rLk/+1EqgSLZKkQ9eOIXMALCyj
70XfDf/YvYbp1hejnsAaaSFEWuszr7e4wHgaJeHcVqVfguN7Em2HqxTst0//4akWzCjdUPht62Rh
hveKGS/oqFQtumvicNiD0iW+jdiwKTul7rLTVinzAtk2mBr80TtbvcKMVplKlyi99nHUH0bXmB/j
ypU7qcjW21uENUnNrY3Cb2ztxOyAw6JTLY1PqYyz49RZ8lTJdq/Fs/VAFDiUG1RWy2zw5Z4YhEc/
qWZQ10YCVSLayVfAO3sIto3cio1A8so1wLR7PQTBgNtOpxq3MQib6KKqbeyb7tw+WIMdH2OX9mxS
D+2ZhHAvVG29SjJ0KBzgAG/55LktQBVwqSHLlSbwNdT5QhcqO4gpK0/3N+Lmq+SGAyXCwPaGutDa
EyZTsS2upNewnecOTc3B2QM3bt42ZFMwvqiJmQ+urlP0teOpdZaSI/T6Y9qmkkapGn+YDZmeSC5F
6qOP1B2NTNKpG/sWw2Kn3OGm3KKGufMWVgr0BS6+m4w17NHzpPgReIl3enRM9dCe6KWn5mlIkSIA
VOLmsIIViPZ+WXhNfy7LHEXjLMOxlWo7z32gBP0DOfde02trsxFz+GX0TG7B2s0QpUWoMwQogEs/
jnbNEMN2lHd5Uv4cw0n94SHW9n1g5LBzc2xtAEIDxQN12i29Vw9dWzG8SlwndbCfnG5MviBVsidN
tZVVc8sD3oGvhpHH6vtjRqEXWZXnVydxol95P0VfPaWbfW2C5A6EaPK9Kdtzd986RjzSosmzAELX
QbYzsdBxO+ScrNxSn3Jtzis/9JzO9IFk6T/vH6StD7gowOEM4tLvXiOk7aZ1pZqzGD8GSq2RjNUZ
vYiQ/LiJzTOaQPHzVKtjQHe63Sm1lwC+CvALVpn6EpI7HZ9FufqvOzKuRIQoJ/GQgZL5vtaUf7NJ
eL+x4oqpgfuh2RllbuyZF+utvmYTh/rgLSPwTmiD8Au9m396Uk+D+690cxm40PBISGlucnDCP/TG
2Mjg75fKk1LDV2aIu5PJbIUmBBgWJiXQD/NGK52vqTK3xMZsiPVhuCA0RCsJu3Y7sBNha4Fi24nm
W0Vv637cdE3h47KTiCDHb+zV42gEq5BvBeBL+clBWd3UqpM1BD9yxrrMvxtWhouw29sHUKfl629r
rE2wQCAm4wqyHh2oodkYaYfQZN/n5eeudOlaFSXsQDHb/yEzWD4igpbLoOIGwDsw3Dd6QSPORWfi
Q+Vk1ts4rcLAmQZnp2zbagctTUFCDU0JTv4qNcAGpFDsFlU1qzV7uCez3v/Os6r82ah19WZKtfCk
ibaGxI+H2hEK5fCgG0Wv+XjZGTv7dyP+sKNw6wV5hgqF5708lnPbVK6ikSTrdhx96ZtZO1hj2VyF
iObj/aNyfymAUi+XKrE5HqQHTCqew+RQ9n0dIFqVPysGhfP9pTZCObwBlAzpw3gL/ublUq2BGXC7
JORxpoFZcuAnTHGaPHhTl51rlNEvc7yHnbiNBCCXgAuyXynguMFfrjnpSd2lRUMrfQpxYAsj6yN1
o7qnCXwbR1mGzUgDaMnL1yWbEUeOJT16icPgzsckSoyndlSKIFQK+03StntCAlvr6UgbQglm09KR
fflYelaXhtRo+yRxpfltpYVP+hhnz7ox2OCXMM65/+m2XiOMT4AaDGWXHvDL9Qp78rq2hqfahoPz
oVe07LlTtXpnldu9iEkUxhOMJA0ymnUZlZjU8jaiCNeR1P8XmrnhKevj6clQsx2huNs7l5UoQBf2
NtXNug7ITOZZcwx8DkpJ9Uv+H2dnuhs3krTrKyLAfflLsqpUJcmy1d7/EPbYzX1J7uTVfw99gAOL
JESop4HBYBp2FnOJjIx4FwfXJM9qZeNiByNNAXRLr4ZB7zW2MYw8OAZ7c8mYC/WDFw++FC/nEhwH
bGMNUF2JrdK1GUflIR6rIyTp3g75axR1tWJ6EEX5pBbsSKOV34fqlJ6raJrOptJ9kwA+X17fIHvD
4a+4mBeQEW4QkElHYg5LHqnjqWq9YpCsxMXAIryPza65NPyZA/2yvRWkL0rGqwA323SwzUZTggFW
4q1WxOiakQXEBg0FpP7G4B8J7DZFyT75hrG7cxTH/lj+vcyaqDmBi2L/LI/+zfsOPH/Hgyq/DcnU
gg2xyKDcFjdwxevpj3ysRKoQRWWQKFrQ3dKxkx5A7WNkhRnkF/I58wcSq2nt2mOe5AhVBf3B/t4y
CyDl0kzlxJJSLhYELzeZrabGQLMBgh9YkOcwLdPzUPfBRzSM+gc8o+c7IF6YWGdYiojcll00mzUv
7Bv7MSut6OBg/9nT6xkD0MMv4lFMNF79HEMGDRW3PWxbCP2F25l5UHtJqum3IR/s2u0io4h9zA/z
6SwNZVX69ogCqBsrWmZ7wJr03LWD2rQ9wLw4T4dKG8Xvk6RuLK/tE/zIrHwGexVHNhX+sa1V+eAT
llO5/gLuZHIQQgKw0eUA/J0pCzsqY8fMbw5vv5NOEencoTAEJ9SuH9UAdR8nQyhuqoYCDdb6SMt2
53wZGGyiz78AZDcvEkx4HfzS1eJm97X0NMh9e1aMzLjU5eR41ISO5B53klsOs4b6Ig8TKunrCMnh
koowxOBFJI58nfDp84ShfdFHpxSeMc0zNklVCQIBsnb/Tggj/wwPanzrrIPQ5ZQtIj0oYGzu1bIw
8Ymnm3nFSfarqPX8PfR3c2m7Gnd1VedP2lyDApPnbMFjGdfXg9omYaE/tVCEoeQuGvHr5gofZmIV
MppXR4ILUoIbe6J31D/SehjPuYrFKcXTI/L1n+jxYqchmL0AaLmgLKiIxupNNtrObCdy4lwdHdnB
B001Iak0Q6qn97oxOp+Rm7YRecq62DVrW7zvu0o2XVzrk8hPkfV6opYnS3eBM9E5nIM0/Kdg876T
TXRRZ72Z78ke1KP3x2Z/8qMRJUBsmcouoltLuP7reFCoHseslOxrL6IvCQZzF90K03MD1d9rG10c
ZK07w5EXmxBOAb9vOT2YAjbBYph6Ra1xfA6spvHoEOP/PYXST1vUH9+6ESCjAk6gqLYId643gm2F
cq/j/3ottUKjoZUG3YPWq1+lLNDf54hW3oEEbQ+u1E02hCMHvrN4vlK51alZvpzSMa9Ez9vIuQI2
mq62LmxPn1AXHAbEDV//vk1KwlCU6WDZ0UwEaLQKbn1XjmHQjGw5Ex0/30ZdLrzTwYD8en2c7bJB
VYAmtJBBmNC1IlxvcJqoVVlXMWS2n+iZdLU64D3BHMfnthLKwTbZBG30qVg2BJXoKVNOXe3KVh1s
kauNfTW6sP7gpGV7JwBU3IVGVd6U0eldySrLd/aI1vmk5Ufl8238QKaDxw5adNS1N+AWoWeOPLeK
dc01OXhC2iH7RtuyY1SjML4jbMil7Fgi9F+f5e3GYVjkuLgsSJA2yXpXt6jGw7G4RpY0X1LwxR7y
os4ZLfHkYOPsLCgETZIwike0PtYbJ8xDVAe1XuLYy58AaKvXIZatM3bchd9XY/b59S/bGW4x/0Cu
B7g4J3+VRqBWmJeLLvo1Meshd6F7Nd8GO43fjWWOEP8wvRkPBToC5hyLSFt/6ei+PINTA4GOSoBz
tYfC/kcSlewmaD5+BXZOd0ep/339+3Y2zCI4uTz9CWvsm5fDdfj98VZVnGuwvOgGuLbvprRTnjTJ
Em7tKN11lrXu/Pqgm0x6+UaECuj0LGztdaoIDQV4ylw71zbXnfAS4nRWuU6+wD5mUEbpFRFH6buR
FcqPMq/bI6fibexheOAZi6rbEoZWa4oWazeYJqG85qPPk62ldwEfeVC12huFvx15Vu5xDuOys/66
n+xE07qgtZ2rqIX+RaAheivj8M11R4PNQsPHANQCt39dTs3DZgwdCfKsFReU4aVGPXVVepRN75zv
F6OsZsyudT2kzo+o2uQ0J+FU4IYDTXapOhxd6zvTBk6YPcmdwOqsA3ZYsu31EEVdq52Fr3STetU6
OzgIWLujsDRAvVXq32vu1xhVziCR0dOfzeerMqZg5cP5zb6FLA7dKos+DsQKLoSXW0AJFSUXNWKP
WlJ8ntsgu+S1EnvCMoeDrJUXKH/XyxyOPH3BZKB9R1xcQwbUXAzqGGOZ3Ay29WSVIvzao1/xpMxy
lLidliIxFBexPrpDmSOyBi5EzT4XvQGlPug7EyRkFIHr1Yf4DkEPHBd0ipJPkZQl/6ZqCAeEIw3c
d2GSpY+xiXqYHyWd/D+5jMzOhaqhPlutBUi0oKyHs2TS64+RnWeTm+vUn92UlBYTZwl/DwvUbew5
bdyr50xphfqRpDyXXQMNnv6E/LhFopnlcuKXApdAD+NXel2TVZrvzTktZN48kpWdpEHnZnM6xf6l
26lcwV4IuW/SetTf21PH26gJZ2d2o0HM0zuSXOPeaGoUI/vRln+Uo5P8G0Wa9QGKbxj4g4TevGvi
fPJbr7PiOcuQnLsURP8nNJKC0h9MC/yl3Emp5vW4vnxJpKL83vRd7niDYeS2n/VVMOCAaUUfUxtm
jd9CvztpgT10d0E3mo+il8b2VnZxnflSE2hfkxYOBqV6bcHsRKl0GjptDF0THUbpnCqxeMjHoYm9
IZXS7zGCVfFdgezX6FqNUjtnfLGjwrMdSYAfjRF7gP8yIjfWqYZ4wt9MEX4wtmrl6Vku9OvcIOqE
nlPypUQXXuDAGEFxkeK5E67RtLbpmmnUSz6MMqvzkpL/uLZkVE+IFkupLwLIwr5J2iazSKZEBaLl
An431WCg6BVN2r2VW2P9KKn51HxoQk3+XZSzonmpQHXB7YWYxXs1SNNLYpa4a4TUrCQXrEv9v4p1
7r1hToPEE00BZ0S3x/LDbI2D5RqJI+o7SVXFvygRZNG1ZkiWQoVM4xqxnTjvzaRS5ae+NynN8DBp
Hoi1SCiAhKtAY1mZ9QNzlCiFJNXnyXMAr7Q80KrYhpSly7+QEInIW0WMwAYTpSOifOViN771YdB+
5lbp3xq44B0CusJbidR5i9SpolmiCY5bGs5A6bsEAanvVmw4B1ns5luWUYhdZHK0eAD3vwxceZ9K
gSWZ6a0n9IKUqbsbaJ7s7vU0YDMK4ZHSAr12gEB0PVepjhkLRYaOF9+mNhzuFa0JToZZ1AdP6r27
y+Yi5pVIarrh9UzcWyO+LujCdEPsw4ea6dx3iV8Hw5HJ0N5QVAwo1SwibzTIX04bpoYoj8YZavCz
hH8SbzVgJXF64d3YHLDcd4YiKYX+TW1rp7Mhq005GImQrkHSal4i6vxcCTN80NreOcIaLau9ulrg
KeEWwG2M1+n6amkNEx85QOB4YujdyZzk9GSURvZDysPsYcAHsT7I8Xc2Bpc/ORqC80tPapWUZlCF
1bIvgutsNaOf41DhCwLTUcVyd5ilK7Qo+G/Fu1rQ1Rl2sWRo5J5+JjrHc2rc223EQVxzUPX/GX2d
3plTrvm5GZb3vZh+cjgzP5zN4m6o1M5r67I/OBY7KTl1axTqeG0AQlgnjvSUsLCZQ/vamBXWBaET
gewX8qm17PK7PpnGhQz2CFuzs58YFEz4Ypu7ZcYGhPA5A4h97agy+wHaIed+DoEFdJJ1ECi324ki
9tIIIYlZxMuXZfkrMZ5mG1lBo1KvShhmnRuFYxB/rmWo00MRNfGPcgiONCG2X8d2oitPr4B2K7W9
l0OGBVzcsemVazwOtl+jm3kKVPDuSSGOAjSA9vVxYRAeU/yzfOQGP1Ih5zzZgp5Sove2OOEYbZ5V
OQxMr40QbXCnsbL+TQvM2M9p1ia2K+u5ZZ+1MqgSDzV/65NKOy/0Kf7FgT8OIZxSsEIj92xplW6q
qY3wow4bc5xoS/Uphl4/4qtckuEhD6ynZ6kZjPdOjeHwJSum9nsGZPu3kqT5Z8OZQvXiUJ13rnKI
m8CDRsjSvZxmNBeqM6q/zLY2mjMOGsNXC3HA6a5CFcg6BVQCvxWY/8TwlrNmPrdalp1nZejpBtal
YV0X1nh1Vpxksn2zRwzkXuoaUpUQsR3dN/QsdjxZGjqEKnCBCU5ROQIVVsgOv+eQhktcMnKRuCrk
AcOPbalV3Vp36n+aBsIzqYYNnAFxP0vxyqCjuIAsvGah/t3XkUtaVQau5JiT6upZmCrfxrw0S0Dw
TQZRJdWSn0Zcx4FHFpD+L6Qbpp+L2HG+SpUNh8UJi+y+UZygvtRkOqWX6WYTnTv49j/TXAmyc2eM
7bOSVl2C70Fcjm4BKS1zS63THoZ5HuZ7rXKi8NFJJbv3AvBcX40hNsljIwv56dxJ5/tInobMt5Fz
ab1ervEu17ug/NXiR4udX4lEoK/EQSrB09aqB9vJ0t5DYGbS3WQMtd9zluff07bV7vFWKYeTmoVj
41pWEoq7JG3kO0w35dbtnBwMyFBIv1QT6UNbqY3v0+BId2mvZj+7uhFf6wJ3BrgPz2jnlF0Q63dZ
oDn/TKk2JacmJD89LdEQ5rKZJ4UbzUn/m0UXj4nWzcp7RP5N82SrfZd9wP0KE9Me9mPtC1WaPvbx
CNsoz/r+IiVTrJ30IG/RZahi5wmZJ0nAPx9ieijm3J5yW02ia9FpQemR8lTfswxStKvHtdGeG2eW
0zvLDPTf5Vg5wufVKIFqi8h8/KybYbCOqRGchRxWhae2ehf7RdOFbAFZGuvJHZSxeQ6g8S/e36Um
HuSQh4PbFo1h+YMcaKmL3SCk83GW2juzz2bnjtYEwo0jBrBPQop0ToM5PM9l4Dw2pS7/M0X0Nu+q
sM1iN+/N7BM9uGxiNfWwPonWtsNLY2nNd2gtELsq6Iz9j1CdB8XPHaHw8kgnQ1yiGGJAHjd16s6t
KCMvUuxq8O2qz+/GWKlqnyCsPrdKZMzvHGlsvtWl6fy08COQ7nGDl9v7KAp5XkhhXN4PkRnZp7BN
BuA+o5YpLmSI9qlOtQwuIzRy6TJJKGrBLw6cT5iujcM/yEkxlWrCDud8EuSfSlKI9h/EQOPmw6wW
Teh1GW/bG6uiAqmf2y8BSmXGRS/m6mNV1mL2X88GN9ceOeeCJqJVB/xmkw3aOUrdMMxo+IvYG6E7
Isba6acsruHmz4156ss382eWIYkmII0Xma41ucwq6Q2CYQBmnw/DuY2xyaiaOvKpT9RXa7Ziv9eT
6eCpvsk6lkFBFy6CnTT21kliUZV/RKkhBY5N8LlTU/0Dj7sjDbLNjfdnlMWeF6gG5b3VjdcrWoy1
cQhlYhS5RzNU8aDgi+dOL48Ev5as9kV6+GcoCqyL5hcKT6v7nOcOdXBklG9cK33sDl2F2UmdAl1E
ZCFwW3yBwDaV2TnV4vDrf9g0f1pW9MWpfqzGLmPKeE0HhArzLMtrqtaivq6Pp8xqEVUY41TyuAjk
76+PujO5YBfpUNIuod6yBm7leYTexrCoYFSx/ZBhku0KS0q+I4B6VNDfG4oeCQuIHRGLuaq8Qf1t
i3GZ3HnWU6+fUNpWtLzwOywp3lqwpAyMCir6B+Sc25aTZgeNPmaYXKiF8hST+d7XCC8cJN2b5I/k
CDjPcugcpD63bz4wycUi3IbeGkStUE76k23Qi4lFobsOT/mDt8R2Aikwy4v0AZ10qrGrt8QgRzjN
tzD0w4Qd0Uqydo/w6uyFMJ0PJnDn25a3MpNHartVU7b6QIIRi79dHor8TqRFeqqztr2IUq48xEkO
+7abmt9SPCdw8YLmsQlc+WVaC7rCMNt4SG96G2eTL9B2lHCq1rIPuZTM9W9VScmNIk0daMum0fS+
GHF96qNJUdxpSpC+Mdhcd521uDS/fkS2UY4QDlmLs7kII6+DQqBHeR/pWAlLmd1gZKUEH5qg657/
yygg5FlgGm9rPR9HqymHpDZFz06tfAmd7XdkLP2v10fZbiEOxoLbWqTCaD2tgozRQnTj9kDkoYkC
XBOD0EXTO/rYdmN9APvfGwp/RAIpJX1ku1ZDBSl+BSnUiVvQqsnjNGbGhyCfh9Ft03GID47Gdo0W
m1RqPHSYAaCuASawYDUnHFA6Vc1U9gYtis+aUh9RU3Y+iftnUT3jJkJ3eFUUmcx0LqniJzjqSt/T
psj9UcrVKxqkw8Fu2I6EM+mCiKT9itLCuqjfd8LoqgLFON0o54dATL8ya8KwPdbebJS97DgYvsv9
Tftq3Z3Xk2FukChNkWqHRNwXVGjhskmuGlVHsJhNQ3kZio+hGAcieYNHacF0ychBc7uW6DOGXW19
c2CcnjNUNr+UpWl+4pP7axWHkG8lYGgHr/UtEWX5AQAWqdXR0MbC92WQ6XvLKMuKG2hqLTFe8iI2
HVcTslOdrCooAlejT2d9qHFb/G23lZL6rUO3AWvPAImCLLXRtGkj03JDRTLezOvmx9FbAa9DANia
YCB25WiNQaFSDxPlVs2mfqEgL11KDD4PItpefkp5RKUpiwgbG/rlPKDsNJHWsRA478LtzZXsnVmY
qTsMQEDcKKALUDbzESRjb/kBjII8WfqlG3Zxi1sAcuvI5uOTbpyQWSCSD8K8aLzHLy1duU9oXs9e
OkQXJTqybdpeaKR0OIxQIgNmvAniljbg+VeR5wjJKD/hmSa5IVKWbpBraeriniMfVDX35hg0M9wu
4CfU/5bZ+Ks0hG+hHEgt/IbRMILPfRRKHo45gZu2Q/7YVcm81D2qg4R8Gzb4yv8/KAndy0Eh5xMi
k5gUC6nyi4E++P0gFia5OFRG34m4QB6ARy6BFw7xag+BARadDbP31o8qxRBqu09ykB5dIsvfsk7I
Fy+NRaxz0dFclvWvWdSiDp50wAfRIFOfMbrNz01vFB7aWbrilmNuXpJo+CopzVHfYGe3olMEzoZb
Eojs5kElQFKKaQpvIlX7nyHKVzPj1Qp9fRW8rotmmCM+VIVl/U+bCrm+R8I0OQIG70yyCjOF2vhi
PrsRt1B6TUCdLkI8wM0J3GYUnnWpPOI97owCFWUBFhGAlE1e2c7lSKZLrT9BoeDeGcbI8Kykso92
5+44lBHRDXIWr4DVlgGRMbYm2nawpWMFO90sfMpgBB6cgZ0tA+ARUyJq/ObSk3m5ZRQ7NdUhl6Sr
2uWFR4/WwdZbmakZCfWdXSWqF6Ep/z4EOfb2jIfXofmHcQMUY31pq0Yk9zHixrc4DJCqM6TghDK7
7XfhHB1El52ppCTLYUd8BGfXNewk1PpBJXhjmYtwwft6sJQfkOOSg1F2YhhVDH4iQ/0hZ7+cyjkW
cSd1QXgrbfwkT4oI1d9Gajqo/YxZbZ8hrFTjtQx56xy8rXYC2f9jY9HnAiK1xp5lRV+XtgpKox2o
ljlRWvvxNFf+WEjR9c0pMXmwTXBBVxb80CrEDEoTZ+DYkJGvYuxOeT8UYBTD+Iy/kfofPosLYWmq
Afva1NPTPkXqPLBC1AzDDmeVLDLvJjiotJXjYjgy6NybRJouPKfAIEN6XzbRX8FzqA2nluImvqWC
y91Cn8kfRGD4diwdNXr29uPyKAWrZ5Gxrms0tqq0dqbOvIWLIHykvDhdJG349/WV2sKqcYAHyEzG
AqiG5tHqg0qnNgaTrO3G66g6JVpaf0AxCuv1etBOY9IKn14vLqSJZJ6CeDBQ5pzeDIThNyzCCOi5
Ib9DdH45qVFsdYkckJkPci6umSaUizagpi7CZjrYLXuTyuletPgULoDNzpRiR04KxFTTLGrv7DGZ
LmNqxwes0t1ZhYcMeoxeFuotqy+ioEgHFAbBTa4U1Y9K1TqXcz67FjR4r5O7zB8QFPNKRGjceury
DyLQ30xeWmYVNghge2TbNlDIeJr6LJSrGCptWZ5jCiAALsvBBfSSHczq3qngHU/shA8P8Hp13iNc
sKuuqfFzH0PswrrJcutxrL9PzSHCYXcoWN5A5nhbbbIXYWmRbsAxv0G6T04qqmi+NsbwoGPtzbBV
1FUAWXI4KB7ATVnVTxZxMc3JlByOfVf/A3DG+owwCWIJjhmZB4/TZYZWSdkCp2A4eujoaKxuWInT
bekFki5S1vZnWZY7d14o2GqdSBe5qOyfr5/7nWlkPIb7g0HbHHtZ6pJQldHM6ao5jxAfVtsHjefY
e+BawcHu2LnyEI9ZhlqA4xuCbq9XA5yFhfJImzzxDXI9H4UEp0A4Ic35P/Q0uSBwa/3z+jfuZC3w
U7gRwMNAXF3Xv2Sj1CrEY8nc1XI+1WoVE9/k7EnrGxmN26ShMdXJT0WWD2/PWihkIt4KYWWp1KzO
w5jnEqfEQAKhHUbfCKPIxxsxO435oT/wXqhhj2KDuIgz8npYhZrGnFDyynAVp8OrC9eKzfFUqcp4
TgrThL2vqeLcmaV1UyWAV345is68F47WfXnzbC+pISVHCqrb66qSjDjMVAl7g6CrHyMpbTxqb/R6
0+B3quLmK+Nc448jLLPXB94J6QxsQoxZdM83Wxlnem2qTF5NUa46j1DF9ce2SuLT66PsHBiK30R0
NJ64Ouxlk/918RdhJrijqN6qNGY+KnI3nNVwWrQ0DkVOdz/or6FWsQCv0N4aaT/e2rEyfUeZM9+S
u6PK0c7pWJyJdV5ki77wH07hXx8EwjWqmuUxnQ5D/gPabvhJhb5zqcg5rnpSxAkMQqOgb2t2xafX
J3Mn2r0Ye3U+VG3qa5mn7U1P8+KELJdF+4niKdFDcWPm9mCLbLn0C1+f8gzFmSW1XyPWSpE0UyMh
KgXwM4wAEYTZNWlT+wvFK1wAhw45K7cB8uPLUxDy5U6mPRhhOT+iGpgfgUD29tIiWUBpHg1ihFJe
7qVEn1l9LPluXP1o9Vt0VR9NsAyVq2tD9/Htcw3FHY67ZgAa+hM//lpnCoGj5gBrQFeo+l7QYztH
CcLKkBxjP1PGNyOFmGmUSpZ7hVC/6V86KBiBTp2ohsdOdYt0vfESS5f8KDSNg9rj3g7mRUrWyAPb
2thrq5EIhkjDTVerQVcAFw2iD4NUopkedUBeBiukhVHHZjD6II3St+9hso+l6EpY2OY84BGm0UBO
8CbHswlUR/yWJ6RuDLXqPiRWkh1s4Z09gyALdi7cocSg9ZWiDJo9ZSCPb33dt+9RjdL/FeEgvlW9
1B1F1N2xFmYpBWVzCzGzDbpBnYmQTmsZ40MRmMZVAYp27Qzola/vzr2h4HqQkBs0ADY3ZRHI9B4U
wmrU9tG7WRrmsxnm/cdEEurl9aF2wio5LpEbHgsV83U6lxaDKZcBfZpsNJL3I8DgOwAf/2GdSEuZ
ORXm1M46BTSdhS0vPScRfZuaVngtgJ3Hvmu0gw9Sdw4ADT6uW54zUGLWR1tCQi4JUHm4DfZsSYCX
K6s+4YmuO+cRiE3saXWedB5cM3BWamGZP4NCR+A3qTX5eztjzMzTpJzAaxpK+rHJR/5I1A4m5ihS
36Djm4X879aYDOicA4mwlec2olYd2mH4109J7zmRI8U+bkNs+LDMtd/4WQ/JWTYCDAji1ga58/oq
7mwYGitL7g8Jamm7vYydoLk6Z8whMiCjKk4wuqaTg+DkU9QM718faW92MYwEDoiSBg+p5d//FTgl
Ow2aGjlz9FdUlI3BY17s0UwveDSUeLTluad14YgXHxZ4r4+8cz0CE2ZR6esvHMjVN3ZWWwe5WuIp
1if5KWE+XJGmwyVpw9bNC7k/+NKdkwHClXa7zo20xZzQ654wbQID3Zl6eCrLYP4Kst45SMf3Vu4P
X3wp4O/AItQomsEwxrdghp+X9OrwLA0IkyG8e5T57w1F8xv/IhCkvPPXS0ed0AhDmYJCbZa+iMP6
DEckc1PI+gdrteR9q4cbXcUFBQ/Pist8mdu/d8kE6V5WA9xZ9EQaLmaria+qhIiV55RBfM7HJP8A
zbQK/8M5WLAE6IGRwG1622JQrDlMbMaNAAbClxq/5cH4rgss8fz6btydTG4dYElkEJs6An1ZALGG
Ed8sKUxQmgt1D7VR3ZuU8ijJ3tv4yxaklk3FYnPJtcOf9scUo/0z5Z4JV/ZHFmSyZzjh9GAJCiiv
f9ofU6T16qHtT2IEn5rtsjppeImZYDtRALKGyPhK00H9IkDOfpBBtX4xqjz6OGYCc57YqqMeJfZA
/bcEO/GPDbFG9uTOkiaPfAePTqsXxRUtgm5y7Qa/vAED1PbcJVb/ozcau6LtKUZoTqMhcr9WS+Ne
nwv9yEhvp8NC7YAPQc+I/1qXJ7kreh3FmORWdHZPo1vKf1W8e3+WVlL3nj7rNvWfWh39mQ7RJ22w
m/ngUtqLJcgALWWnhTm6Pg+NYY9WLSyY/bNRftFMkGVlGo4HWJq9Uwfqid42K7coQL88dZCE2t5Y
kB1SPRUAFePmMsb5J8cZxR1g4dpzsEu+e32z7J0Diq4LTpwO1uahPfPybAId8EVvST+hHCmPVZpE
d2rWdgcFk71jYC98YlIwik/r98EcUqAg4QIdM8vSd1vSlR9ak6UhumZz+TA0xZHW2N5V5wDH+QM4
hCG4ms7Iwa/DNBbH7qiunjgSk+fEeE1Vkq27cjW0n7VGmk5Zxt59fVK3C6lRzIJoCeR/BxTVaBBV
ypJI3TpDdsKBeQA0bY8nG2tZb+zwsxS5ER3snu3nMijveOiQKLltAHqzIINJEjw7paAt7lRJ/zmY
qe5lc6hidJQZT01QGr6K9eVBXWgHLcHInMxFrJqexfp02JOh1fGApYheVulXGq6Z4Q7xPMNCxFbg
BCUZvnNSp4gPtI40EHcM53PQNOU7gaeT6jaksKrX9Fl0FHq3Aj30vaAjLEwIbQeShf65qvIo5D1j
JNZnsBwFOCZk1APfUPriNwZjpQG7QEqemqktfubhTEKkt6r2LQU0Ort0DvPs4JLbBhN+E/o2kH15
VVJRe3nMlXIspawjmZbzrr3TeuRNzRpO4ut7cHuwKSuA3kKeYE+c0SoSWt8l6ZYT5Matl1I78qos
llS30538yFVmb/PxhAORRzFiUd16+U2dksd2JxGi0yiW7vPMkF1HzsYTj0n5ksvadO7CUr/Xkfc5
SFV2v5PHFPhkhEs35jnQTmA+dkCtwKRAB+hBTteCa0xS0Fx6fUr3PnLR04byCLpvU28RWpPkMCnJ
9cIov0YQQGKvCBxJ9+1MKnCDmwL7swia6j6ZkWw92Dbb+EnrhXQFVb8Fj7POn8MkNBOdFbwJbWq8
KYvTD1ZoRe5cDslFV9Po4M6z9qIYXVWq24ijLMo8L9cUyNMUi3LxqO615DFW26GEA1wVLUSLGvl3
bBnzmsWFWeHNpQ05NaNj+cNKncY+WXY3llcoGlP9jLgbjJFZs2HPRkM8vOu1ubW/9PEgtSdqZkn+
OFtqSVTsQNn4vO8M6a420zG44Dwcp24TTIrjRzr2d+dROI12ynswrki5BkXjUqroNEgFvXgczD5p
8YoKTFS/VCW4z9MeqkFpz+YXutF26MqRKBa6TKk/BlUXyR642L6C1N+Wz5kVoyo6jJJWntBfyuNT
PcOPcK2spmYWci/iaKFn/QJC0tAZ62n8SXx0XEK6AUSP5VY3aSO6TWb/0wB1q/qDMVp0OOs+45DH
9mR5RTNjJasabQ3PrZGKwZ/lpoWVMfap6Vaz0at+1gSmfVa7OFLcrJLzkfMb6dVNSnCDP3eI4Ys7
8jjtU15UcveYQ/eofDH28nuZDn/sdoHZR/7cDor2/PoR2NmEPAtQ71zKAOyJZc/89TAYKzxS1Io7
NcXSzM3ptXiTGPR3Cb/7lxla/cfXx9vZg5ggGEuJ01GRY1iBo3KlnFtJxMktKztV8nTnIUfRMnMD
OdR+9YXcPOe9XR3cpHshZZEmXQTd6FSvN36HgAXXM5iCKQk1n9oV1ovkwBcxtO1BprA71OLNQtBE
12l9qFs68iI2MzAFzpyfidK1h6hMcN9gkP76TO6sHOIxPEIQZlhuhuVW+mvlDBj6cx73NG9RstDc
rjaTZ15a5qUd7fanIeQjFP/yF758haA2QjmYQialnE1m2VpzDzBKwHTOrcJwpSAU2FZKxIuDsLz3
ZXDPKYQvJM6NKJZsdia9EszDZzmpvYGes98ponUpO/a8YKYjtbS9NaP/BpeFIje5xSoujoGOWLqN
VZAmz9UFzyjhl2nfPHc0cE+vL9ruUCh+8XTEF4PS0MtFC7lNe7mIkpspd/19iAb6Tam05jRNpv4f
diKvAB45GmRYZe0YUUxAKbNkZBaLQj9JTaq7IozqU6RDWXj7Vy2VLvqv5lJiWH1Va5qjFlWoRU/5
iNagNIzJHVppQcAjEzX31wfbiSBwbpHYowb0R3Xr5RTGujKhqrE4+2l26mmzY3cusOXORYaiurSo
ZL+jjnEE/tg+WekZwkTSAM/yal3HrSorkVWVyYfyUY9/0pYSp1RXhO3Wxoh/ON2LgH6MCdUKmqtj
fgqlzjlMfrekXDBZ/HFUkulaoE/58tMtuebe4f68wTKzKEkVQnonOQNSq1UksgfEZuz8OYSwXCPu
Dzrfw8an+pTLck5+ESNKc7AUOwcVVPxiErUUeGliv/w9o5KrvRmXqISPJWp/KEy6dVKqrhHV6cls
gyM+xk6DbLGFgFbOJqP2Iq8mwOFmAodHyhSpieq2kzPeiW623aSKLD81RHpnWmV11sM5PKXznFBs
7oLbbGOI+vom3ImFONdT/ASsvxDhVj9E6Q05zm2uzSTLujsrMOIPTq4H59dH2f1eysg0j2ibo6a4
Olg17U6UnzFISewFb2Hnzhnjah2Hd2Rgmt4urpZTwd/nHeTVBvopYQOQR6fAfnn9l+zELQBYlNXo
gPBT1t+LXl9ZWmg13MZpDH3kDAkmRjp7uIgfVbt2PxrICtNLF2Tp+b7cVXkTB3EOze6mB0LrXbls
bAOmq1r/IkesnmBQJp/KuDPujGh6GFDG56lXqNcmao5k/ndCzdIm5LOJ1QDX1/tbNUlO5oqvNhoJ
bm2U9fd0t7r3Zhd3Fx7j9WeqDuNR5N4ZFgEDuGVcR3A61+WxsG2p0FFRvSrFiCFhOduR4mmomJ5r
6EqFB5Md+aCmspFvfH2Zd0aGP0e3cKmN8XetUBqVFTZm36bOVTda66xWRXF1Bmu8SDoU3QStH8xl
iiNdrp2zBGR2sV1ZmCGbaqCG3ogVFQwa4+NwBiOTncyeGsfrn7azg3H7oiVDdYLa45plBUDdpk+I
cnQCdNWXRBL6ta6dGyjUb48NuPRRhiYWURxbpxPhPEdAFQmIFagLd9Rq9X0bJurBKDuIGiSB+ZoF
jMhA6xc6FqxGi6kKGq+YlQ3e0ArpOVHshoxpCP+Ps/NqjhNZw/AvooocboEJKFiS5bS6oeREzk1o
fv158JU1M6Upn/Xl7roH6O4vvSFT/HVsbfNeBTm/MaLaDuHZdGiSu47GTv7vaQ2fjhvKQyyCTXuy
b9CWjZ1YFclNTLG4b1At+DwXjuWnznpNWvDCc2+sY1DJBIAtEdiK+r/yXrLeEswbKG+7xly19uJV
Euc07fugV2sX5JrXiV3brvFztmlDBHU+TA+e6I2f72+oyz+EbJGABLvkbK7pdlM6jdzQN2g0xJhJ
NVmA662R+TTKYhiMg7Yf0lYGeqbLsMoW3ddj0/71/q8439a8DZQ6/jA2UTvaDtffb6NrrBbjayUa
1RZ9Z34PQlGujeiwVV05QRcfmI3GDUEEZsvpb9dqm8pMp8RSomIzKguMpMsNP2sMXGFL0BNHZAV0
cWhSVcl9J56sdF9ZSX+DBjK8xvcf+0KQAOzI89IYhfiHJurb38JyXiEsK2F2NqTAtpvWfs7ReftQ
Je30I1eMDAen1fwoy15GY4PM9Q5zUNPw6zVFo+v9X3OeHL79MacvRlMpnlcYI3qt1h9Ty0HRa9ak
c9fl7RyUUnMRHIJC5rnJY4su2L9fBaRCAFs5gegnIm709mV0Q2uME8p3Nyh6o8BgkuH/QUZ/x7yB
1K8sWu+DnJp4j5bfJnCneDe8C6W+cgucX+Qb1JxsCFqhs3mtvf0ZuclmTOwxuSksRxwry5ZKsJbZ
MF5Z5zzt5O+mjN9wi4xWTr99IxwvVWYNNom5QOZycnCZVjPuV8tOfUTRlKf3P++lM7b5idBa9kyi
8knPIkUpbTW9hdutapVwWNrl0K/T6CM14l3hXVxaauPlAZ7h8ajv377C2p2S2p25U3JLyfyEoV6Y
uCsCfTXiHFey94trgckEKbj5t/wRY/zr6nByq67qukhuRJ4OkIEBRVqDuoAts66N2y4utdEDXCpS
hignt1RdACBYUhu921JNnxCTMT9X9jx9wOzL+/b+x7q0CTc8tLPhdWza8W/f4BAruK/bOewtc5p3
Zhsre6coqyuZuXtpmY0dA5SUZIKeyNtljCqxmniWceRl45LtncxUxb2ElJ48Cksbv2Z9UWpB5axM
n6e2E68ZzJ38gKJeXQRp4zVWQICQGRg+L/9UyWXI98lEr9jvhFR/Lj2h02/jpRkQB+qzAt8XUZqH
nsxiDadV0rkcUjv5nZl53/rEIlxoUiNb8qDpS2cKxaDAcVwdK0sDnWbL7xqiPaWBZS2P2BMtsU+H
qFweurhhO6voYYpg9vSamjHvHeeYuGpnBlOa2jUhtTT2aG5UHdJ2o92Hk1gWb0fNX0x4MYAlulf1
1f2ca8VS3WHjKxCqRhFzJ80cm8UBj6xj6dQV+BCnTfPjWtjGi11iBuDH9ZjEu2KZqvXglLMy7DTR
oNjZqm3p3pHuy2OSoNXpb9ovHwylARMtZ2X80rtlFUep0fc/KW+9dKeobXGvd6JDZWmuEM6BDinG
nQBDju5TnKEO2SNp0PiDOiTPFEzoT6QJnrP+oGP15te1JhGPGnr6ZpliNq/0/rP8SqC4cA5AA21D
U1Wz6ICe5C5xxjhYR/8mys25vCWu4+ZbJkA+VrrN6ZXzfT7doBbejGEI1chueNuP+et8x33fGEnd
ZzeenWQ75gmLj174GlarKnYoDIR1VaIl6KTXFj6vIkDO0IHYemkWBMqTODDqzWj0jpvemGpRfMlx
Xvg6a3OODrvuighXYWKxaBP7yvNeiMK4sVk0aTY9dqg6b5/XNdJ47AqTLm/aDA8uL+WI6vzDbLrr
be6ZPxhrKod+mWjEN2N35eK+MDOlnUd7GWIQsAJ0Qd6u7lmrZlZizG6QEa099LWm9oAvE32pUcBB
HHpzam5Qh9QHH0GS6gWc0fg4Gh7FJHKthb9ovXHI0nE+vn8fXthydCq2QZNL/DoDUDtVUq1Zr4Ka
anDRJHRSP+bjEi4Mxa7s7kvfHVdDLl2qAMLKyYbLkF/T17xPUSLKbCil6xiUXvVLNZLGz0fP2zEz
vjaZv/R4XMGmBiNlgzedBMw0l1U5uxAVYe7rey4QLYoRJbvLFe2a4PelpZATpYikOt80E95+4UIA
PyPBYltrjFstZj/h1GsTlti1PLz/0S5kONTDTJI3+dLN+uXtUvHsuYBTTIJYLmPDb0ovuZvHZhKM
3XNxyKCGqVdOz4UlGUdu88jNl5KG8dslE1xacNxzE1zG2nSHx4D1iflTsvdSRNEKa1GuHJgLm2Ub
8jK8gJB13tpqcmOmg4FEdubphOhxea77snkBl20HK9ekb81S/h83E+Bk3uxGloJmenIzlcDBHXvx
qB2zbgz6SbcfFFlTPC9DGaC7LIKlbf/ZvJGvqNn0qtGwQinePlnURsLQnWxyusVqEEpMaEk6QcyB
cP6PT7hlI+So1KTA4N5+Qi0ZGpTeViUyMKX2GWikgZE3brjpyB2arFR27+/SCzkQTXEoPRuSmD7w
yXpxEVe5IxYl6ou+fXHcegzcwrq2Uba/5e3YaWMi03lnmkZX7PTYKdm05k7hKlE51PphlmMdNGvt
BkPTW/9+7JgQws+x2ZSU9CcnXC7SG0uPpUw9ae5nBcJHZXjf8rxzd3h7XlN1unTk/lrulFCag2G2
mQ9Tu6de5qeppR2kUYvQSkt9BzrtWrv+0psEjEZwtGj+O6c6Y8JIB+nEixdJc519hOmaG3RLzWCc
FHEFq3tpqY19DNl508E/bU7JFhqHhvBlNMhie5amPZrtwlscYZO/vwv/DLJONgg7ZAOgMd8978MM
PWercFI84Wq9PtpIjY+ACvI5chne3y9qTF43F71X7LCxzn/25tjP/kzrGaDSKDmRpiHd9ShqAzXv
kuLZflYzbxWf0O01xc7ER0YNkKaPu7BqVtV6xDRNP7h1YX3NTdHMgQU25zYta/vZaVbrK2qo5O62
vZbGB5pyTrwnzDc/29KoENWcXHEfUwsl310ST+nD+8DZK1sAlgWLrqVZ6IBhV/1ZiV3Pb00g8j4y
/8L9PqyTUHewWJOXDLMS6ZfWrJqR29fqHMSZOn0r9HweDwjhWF/oxxGkqFBQyTdSxOtMRUsKf3IG
CfZAOvnvitY5k6P3P8aFnJM2BH+2+pVAsu2Lv3LO1bZzO2tRdE71wr4t5yIOpYbS+jYgovigaFYA
ifwqofheObsXdhxNV5hDEOyRmjm9JgaNBErFiRc/DKvZz/wXYZkO9HuktXx8/yEvNcI2GAEpLkqa
rLfFtr+eUrSKAGdmKJGCed9RUttCEVMKSX7NDlRKqfgErznoU9t8MGvjFe2b7un9H3H+vJi5gE9n
PGEylDlt/FU4IY5WDSSxEq0X2MB4g7h31k+GKNYrofr8nt/Ee7YhH+LKkKVOrsWqMmsnsRlVzwyG
jmS3yrEsuvH3+w90aRUXcSaXJS50WawVDE9bk75j6qjdNXI2I1Rs9WuYL+381kVuCWUewCf2BpA9
SXTE0qFFBM4KtJ47PmlAXF6LaVntABm5cgqAWNNCRxlDPFDNis+4C6wHmUGLzVbNfoW8mv3I594D
rKymnyQ2AseZ7fz5/ZfxB73x9lKjzcrICRU+ktuz/ibtmlJ36zm9QcB6uGno1UhfHdPq96S4yZGy
AqFBHWrgnayTibq3Wj9VazHv2lxxQmty1P3kjPbDlNpr9P5Pu7DxmNYgzcG4hhmHdbIb0nHNFnxh
EFJ3h+mAw2B/tGLsbWpbK8N/XwrWAJBfnXoZobK358xVXMZgJbIqQhnVUC1HPBfqLt6VRnFVRu7C
9gOODhODMAKW83TAX5MWgIgjH00gfb9OtFArv6HNWBxiY5xfbfQX22CkeE38zorHB+Av0+SD9hGv
Nm0NcScSpC8Wc5hMIGF0e8Jl9fTvLRAv3JddyDI+Mqzrsk8TVdDaU5qu8LvJGD7h3ph9dftqTn2D
Me9R6ktehnkSa1vrpVlePAswbqha4/jYbljs0LBXRNUHRUMVtaoWdMq0xGotyFOq8SqYwdD+LRur
9ydiyO9lblLXFwjr2wwkZN4FOt4hMd3oJnvu0tW7ht+5sEM2SCUVNt1oRkLbv//relSYeBVDiq5K
5WZToC9rvdOBbT8tRnMNurNttpNjsg3hcUVg4oA1yMlmHL3SMmKP8m+t8xdtNNLDqlgicCujD3V3
UB892BAhbvSqn9VCXtmf5zUMfEAaDoz7EONhgPn2QTUQB+5Y0hjujUINq94TITTkLkg8D2NheCHA
Grtr0jyXHtkgw9/cWxE+PD0UyexUhYI8+M2i5u6uZ/4SCXvYsHTjHH+s41gCSomr+JC2DX2FbuyB
CL9/Li/doRtpacuTmTfQA3374EjlzNKL9RjVa1Gw77yyihgDxd5viXOD9sOj0TT6E4OPSICazI6Y
OxEUV8boyq6vTf1xLnL3i77W1m9zbmbkFJ2J5v06K9eQC5deF8MIoPv0hi70ZToTFJfTx1Flr24H
cgI8GSLVGTlgS/PK9kWW6Q7cnXXpj62dpOpnLRtM98oru3C9gKVmpwKXAVetnqQMdaZSGRU96Ynh
yWDW7fLRrEX7z5QMCiS2I4yBjal6WpGJonAG9NqVSLaZOoeW4qUflwRF0KCRTa/v0dduP72/Fy6E
Uza/AzkJMs15VyQpyTGLQcSRUeD6GfZKax+GapLeDpyO9+wy3P/8/ooXrhfgquz/DX0DLepk8w1a
DPR8SOKo50LsSKp3wqBfsJRFdaV39qcfe3K9kMujKIaM6TZsOglAVtHFRSaFEs2LrdybqVc6PsXo
qgZZuyzf2XArxgFgkUAgt3UloyLXsu8zvZs6VOq2f0Wj3+h82Hber9hGP9o3FVu7t4rZesQfZJn9
QetyLVg1dUH4slLUYd9PSm3dSL2la+YMdNB/aQN6LoGezAs5QNwmHm4GS/9xnDO8THW5xMDeCr39
bGUDTVWKpLTCTIVScjdN3QQEIR7Fd8YtSCXpi2J+mrSV4VLfevWjwqQ08uhnUbAIxfQ+kpWot5iX
aVpoTqbd3HN9L+KJSRUoa3fMqzWMtRLc92R265NJyq0Ebu0V0HCrWumPWVGjY+/WnZaGit6b2Kvh
qnjwoKOWT6T+AHr0RqIV0bveYgV4BDgiyEZdHXG/bseHThV9RffUYXialurnES7J84isU+8rqTLd
Z2XXJojOcCUH6wK6sak899kwKKgAbk/OBwMs2BdXGxoX4Ayi02HWOJ25T5magnNf82UN63VdOr/q
J4ZdmFsmfSB4L5O/Jjgy+V0dp27oprbLfVTF5RhiR5OPIWwItUSQZfUgmCxNCe9ETxTVd4q2/g+m
BL5MSKrmX97f7OchBs9PKO4uTDfkU09r9qkXlsvsz4pUmsk7oejZtxJ15r1aTShKLtayx57gWt51
ocDZnEbZ9dRxcIpPY0wqKGYsq7cjiboYKklmZ6JzZTbSYiYJwN+3jT75VfYGXmd0J10+iZ72sryF
sFQMV17B+Xl/+2O2q/WvdAIZIj6O4sDuL6okrLEj3DV2p+8W9aqj3oW3DcYZujZ9LUbMp0RLx644
WLNuRho3ZwC8X70ZrSatcK9cvf3KQbkXBupi73/jCw8IrpQkhktmG5hsV+xfDwgzT2RjNRnRxLV5
iG21C5E2gJsxX1Oav7AShTlQAf7hKU/lXzNho1KeYyEzgt0OO2HlH4WaqrfdaKXf3n+os7jwR1UP
oI61wdiIDycPNStZO+mJF7W68nHltd5o8/DJGzI0BFcjuRYULi2nM1gjIPCEZ2NfrTYbYEk5Fqd4
1OzWVJgByYQWeHlsBGa1XrPfPHuT22Rtq0zIO0FEnoq84hSSWrG6gtGLnepzPIkYfJWCxWlbr8o1
+YmzHGZbjIYdkghEo7NGKwaBiVUiKxhZRZbFxxockRWUtV7tOt0exmCVHX57E+4cCbdkWj4M41pf
EYu79ILJ9/6wIC0C78n3XHXGEdiaOpHL2Po+kaZTHibQph25fVnftlyhVzKLP9o+b6Ivj006Y6Cx
T8V5VpKZ3N4VwB4vSgvXHo6dNpRraDBDgxgMTWECVIVnSK1lFhw4b6yNUBNT/HOoZz0Szgh5OXWL
5HObpTP4hnYoBqj1pbjW8zpL7fiZNGAY64KQpdd/cnwVdyX8KBjBdsAYP+moNv9yJuOfFci3VZA+
hCoG9JOs++158nTYavhs4Pdad8tLW0kbjJVkxp+gkPT5/bN76Yk2mhiQPtoPZ4epMbw5XplnRKid
LDty4vE2azM9fH+VS0cIoRMPvs0mM3R6hMjuqopihV2dz0VQ4IVzoL/a+rFHT/X9pS4dIIp6cCHQ
VoikJ3mcPQ84LgJgjwatVhPfsSbjW0vcfhrHKv5agkpIsTtKelLXeAHBZzM2kVcqgEsHCKAeymMb
jZ+HfvsBNUytMMqSbiTBB252oLQNIIMNU04jt1bUCDPSa8994UPSSuPUUhKYm+L32zUlouak5rod
UdK4YV1X3dFA9D96/+3+gVyeHFQqLPIULicuxNOxmtlrrpKrmL0lEKzaIWzWYe535Bf5c4WggNjl
FLJuqA3dILCOspHwxHOr7B9RMAVCs2ZW0wU4oCjWS48x0uMYY4TiAxFPkkDVViE/eMjipB9iJ22+
icYSyu06IowVSM9Jfk6mWZFjK/W6R27XGwLVwh7MjBVMtkb8KzC7GjSjjNq5ib+I2sl/umNRPOOC
bbghyj7SPeomPkHB3HfTi+pIMCaLOc8/ZmE219DtFzb9JoAM9GMTdKBn8PaLqPPkOsWMcZnj9v1B
U5NhX0+Gsm9EUe/f/yxnyQz9EEZzRHlUDQmMJ0vVpUx7W8GEW5JrB4BBPH8w0zyEFLIeLL2iZEJG
bPf+oueNy21VOpbMOpnHn6EwaOEWrYVsYoREj7KnLq8pB5jfPDeapt1kpJJJUDPTu1+mznpYh6K6
V2hoPAi7yCN78uCQCFO3XzzkeNMr9dyF42Dx1tGrgcbPrzu5Bghc1pq39AJ0xW5+xIq1Pslk6f6f
9045AUdFpyA+TZ5zY3BE1rlepDRo1OUIBDVBXKZmf+dAaBijXBmaH11eICj+/ru/cMuRimwBgoJg
I0+/3Vu9XvZtn09xBDCZUY8nvHBdvDiQdl7v5rxRb8RSejuhJctHjHr/GQXLl6f9QHLJBjfP9hu+
vLJAWd8jubTGqBVeFih5WR3LfmxRs9LKu96rxt0wzvq+LS39ypTi0tMDyGMe45GSQYh8+/RSs/NS
6zIyQNftv2xyDg+W0ai8ege1Pm2ow04rB58Ccg4WR72Kjr5wv2MJSTjbRGH4BdvJ/yuL53mlG9dl
HJkbexe5vKF+zN0y10IxrvrjsupKTYXYd7/ydU7ZeIXzX2el5i2IjllDNHk1lqNgkPkSxyZJSm1m
yeMCO7q9sk0uXUEenPON1/9HFOjtD5V9gcH1ROpaZ333sui5A1ggl9Ths5HMV4L8hSMH1g1yO1PH
rYY9OXJOsixKn1AG6KBamZQK67e9qON/7+/8C++e+gmAADBdmjWn775OtVJVlIYAVKz2EeUt7XMq
hdirsamogej+mf4FsZd52IboQHH3LPsvDNG3c5960VzU8WFASDzfOdXYV1cqw3O5CxYCY2rogLcY
Tfyx6fxrU606UhxxTuJSawLXjFKTtksPYjRe8NRSmmcvltP3QTcRxyUQiFe9zEwcXDyT3rNTZ+1N
7rTZ9O8b6M2P0t9uIHw9HZwuOxezzF7u0YqPn3QMg3edGq9XErfzTsT2AkArEMlAQ5FcvF2rM2qn
b1rVjRYzHg9zCu4pg5zrO43XHitumwCiheFzZDKcSReaVGNdFlc28YUTw8Vm0uXfuiIEtrc/os27
tVDagQyfcHtv2gp8tL6Jb1Dtvebmd2mpjW3GhBId4rM0vx7XXloVO6sxRfJ7ENO4w6pcfHHs5tP7
Z+bCyWTjgtXfCOTc2CfpgWbRScvAzkWDNZi7Kk6aj+uQOle0ZC6cTNbYAJFgl8/bw6vL4NLqyXqR
olq/qKnIjzN+TY8ZrzoJCm+0v7//WBfCwEZB2nj+hEJa0m+/lcgr4SRq7UbNAEzZd+YueykXJ1++
pVoF5MpsvPR17cvx41JC0Q0mNFSvHZBLu3YjxeLogxAAunwnPwLRZmfo6tmJUP6cX5jNxYcec+LB
dyejzv2YEiD1IfPVKwOJvr8FI7DeSBerkyvn5wyPQaGxtZaIx9uU6vT6lWuM9tWoWpGX0v5MRtfw
NWsudrmGynHVluJJjqsSWEgJXQnHf+LtSVEAW4Izu+mboBB4cmgcLHecOensyHVaZ92Zy2DuOzxS
XV+fdGO6Q+Sy7X0DMYhj4xnxp1Q48afcc9YPcijia0f4QjKMV82GSOYS2ciNb7dFTImVlmVsRXrV
Dxgd8X38GeJDaCOLstfavt25Vb++vr8ZL5wxJBIdlAQBBp8TpLnQAcl3lR1Vo/3SrV19CxchvdKZ
uXBloCgN5hlONJZDpzNQysoSgjePJjIs7it16dANl6P8jl+d3e3ef6KLiwHSYPoCwBujlZP3mCeb
w7akH51XTVQj3XKzGcSG3jCb/56t04EGp8lIe5v3nHyyXq3suLQXK6KLAzqjasVeqlZx5YRc3Kck
rbDJCYuIFJ5kzYtaGXMscytazaUrdq5aVyj/VGX+Me60XATdquV3Y9bkRYAjZPphbIE2+fUy44hc
qxWKzP/+hqF7b36jTM/PRtqe0wxDKQt2qt6ktxONpcaf4d0VoTq55ngltF3aobBXgFcAeDtvLdKr
NJfVHexIYbwXCGZJAT7A5ZWS6NKugXQL4BZiMaH05FOauAxNdcMqjPEh6xnWHBRmJ/egb8b/4/VB
UCeebbgopC7fblCkDFurrVkKPkDhl968RF6+eGGc9NqVpS69O7YmN+gf0PRp1plmvbK2EEQj1VGq
m4n1QDou1yzbLgQT9Fa25h/zARwaT1sGHq0SFz44Ry6rvJ8CK+04iFchZn+1JVLHGtDUn+RINhpH
1Vpi1t3URWiYM02t97fmeTDnl2zgvk1Glmz75N0OCRNzN9OsyAFEdT8VxQSyUtjJhEm0U93pUujX
6odLS27wp+0kbP2lk51jg1jNElLESIepdoS3tCnCQLnaJ1iA3SzGeK2be75VaQ8AS+ej/rFlOAnd
NNGnynAzJ4JAMIV51Sd7+knWru5BFL7/Oi8uRUMC4biteXw6XTYW1QAhadlRqdgVrGkVzzYkS/fd
kKtXKKLba3objHkqZj5k0w457KmQBBkYg2YM1SKj7Z2dGi/TXorpVcsWc1fkDi3R1I2RzuowaJD5
ddDdRoc7W5/6b+P32zZo7renUs0NJQX+40QLzkRgIJL+Gccs7VadYryAO20+rEbfjH6B81LmG3U6
f0C25hpW4dIL566jGwZk5bxMnKDK5ZaZOJE6aNVeh1wRmIYsj5rOvP79b3uhD7aBC/m6xJaNo7r9
lr8rtwaEMZxvOwJ0jYAqAmD6jzJPJUWLq3wqQTAcFKvynvt+saNlqbG7H6Fp3q2lOt/2rtEdxmzK
Pzpjsfx+/6eZjn7+NdjeCMggJ4jw8Ok5NnOXRwfzGcVF4k2vpF+t+TRbpaYEhmI43d5cbRTMHETL
9DtYPQKktFSk9DeFNW2/pBh4tn5tdch1ZQVoQPupbZV6aO+swrSKRzL+Idt1FX+9P/VLk/mTU3S/
wbK5zS9Z2yLZdxoI1juh1rl+13lMdz9ZGRWBP2Ls7t7ozZQAF5Jqs/6Xlt5QB/ZgohunWJ7ETsc2
kvwV0E83h5MhR+OgOEalHYWrCSPw2tg2A/S9x/i3g81WBeJgQYwtYJKd5PfDNPdIlEJPX8IJzXjC
kdmMr6Wd5sUeRD4YrrRCmC5IFPRFgtodKxGS3zKTGJDXlQ9prk807hVvKP2hz7ubUWZz7GdwEhYf
GX8E7JBD0h/drGGC0g8d4jNFIbUq0I1sIPcEHu2CNFqm773VTHaQ6emYhmo38n/2WZw+Ip3XjTdF
1mnxMYk7Vd/hYgdue0i8efhSjEal26FDc9x5XedeS/a1OTjxrjUAdu8WN5NYQ4ChXcuvwDPc9m7J
M62+nXNLNvu+pCT4PjfVogbA2+0pqBfdbHZZPSIQ1SD72T+pZauU6Iyu8qXvrNoMYXqUzwIVeuU7
vt3Nh6QpDDWEVV9bczSsg9YKf7QT1bwvJV41QWcay93GjQJNMQnruzPqVvyo2QPdbhTuuq+W3U1F
iLww4DFNpKCwYFbrqo9SGqq/6I6oE4ZXsf4FWn/6SzNGj4xLX5a7qoOsebBbts9HCLjVKyMOp/Pp
1hepjzyM9k3GujI8QNZaNL/XcOm+Y85jfLAme51RizLznyPype2XNClLeaDfPN+hG9VUjyshId1l
iaXnfj4VcvCFZS83mORM8X5em+kLUjC6F0pdmT9qsWXdqmqhfPEkf9AslpIYnDlVMMo0/q+hrLN8
tY+LKZyFXFFE8LTa8fwxc9I1gGbSvFbMcpPANFvjsafJMd3ayO8haCh5Rt+oRkMGrdFhvZVyv3x2
5lq8isEd9dCrciYXKnid8baI+8o4FEpmjMdsGutfUK3aOawxC/9eeWPR+YVn9YbfUo7uV2Fnrxmy
IS+Vg4+tb6slElqJMnufsyFVNeZehTb6yTQuT0qrkAvmeZsNvmcxnPPHzs60vQmw09sjc4jni0IZ
Hi5xzIw1nRyNGi+r6kjgUS6PhVG1MT/SzO5zHF9/itnVulDT2uXzmEg7DXHocR9t9OPqKbT7xXCe
Fi2uzMDI4tHaM12HrtCbbSqozkZN/WoMCOtFZWknzW0PIyJWgt4WjgwNaNMA+1ILpFXdbnjE3nSo
r+ch9WIkMWaLzG80DOWjY7aVc0u/TXyuBHO+V1cWJYaewxin91qfa/aXJZfFkWQVOH3WpANI3a5c
ZnG7FIkRPzh6lvX3udU6TYDCpHfLpFzku0Tx5H3rqcv3KV/pgUEcwHQg1zrzqU0LoT6uyDR5XIVo
w3CTluYPjRFIEcBX9ZYbwx3M6cAgcrhbaATYfomTVuI36L6gIgmUWzxm+QKSMp46HBFXSCJ+bGgT
yLM+r7/OeDVCeDDHdYZeTm/ucWyH8oOCrnt8nOK2mHYjHaWETVdJC/m3rPnYNrUG7ljyxjpr7Z6H
rmjmL1o6xuUu4Xp5WEeRO9BdFPXFbt3uAUFdYSJvOaga3O5GwGqlLSV91K1Xx3eFcB4dhNFM+D4o
k91pLSobTzD4xLe1VzgfRuL2973N3t6nxAPAon3hBqoNTydADbyTgW3gvhXWyBrKr9hfFXKfGMDZ
bptVy/CBSZas+Zoqg9AOJgz153SUtbPn27reB4K9HAPczqaHNm6SJQATOM/3rXSAoqEK44jQyPq1
QCoCBUC/zORQ+WanpmXgNOXU7ctCt5N9W5NOE+K0sdwZOoL4JCRas7cq3M2CLJlAf02Fbv0YzUVo
fj3qJQLwVHE+jTw2r8Q2zHdk2XxcQL5815Qx++U4vfFYVmjHQGes85/Z0M8/1cKx87CdksHxZ5gF
ajiP0nymU56DTNVWFZIM++8rAXmoQm9s5H+e1sXPk70Mt81Sy9+Lay9MjUs5fp6ou7kn6kUIH/fD
7uusryWmuaWy9vuy0urPjjG0/7Wxlj3TS04xvCnKdofypYYhRja5L1ZBzxiD2zorwhrpnt+2y1zg
JlbTqYm0sW7ScJ5S9aFxlaKL0HfOPqyjO9tBAaI89sWEz1yAoFT6GeHt1qEoYVcHuepUbSSAf+Yh
c29b3onGtr6mQIJizCFGR/UR8V5+zy4TG5S0MI5yIRPe9wggm77VW6gMl7aV3Jll3RY+rJYUnXYp
+jCeBu4zq3BWWsFCDHwy4IFPFfMWppwiWdZAqfPsx9rGq7mjqMBLyBTm8DIljdZ+XRa3+sJscVag
IjWI8tRWyk2Ls5LiRKNs08jFaaLh3jC8l3mS7Q8TFxtzx1VUqf/JaemsfdzHGl4NqVTNneja+oPu
VP1/Bup7BPlZF/ej0uvf6CeINbCMYVx8Y6J+8Rudv+/QNjKzw25YgL34olxb98aBK23ADRum3i/6
MkMWAtk3RM3tpn6a12SxaH1X5RjEgxpHpJLON5tirwhoscWf3Boh28CV3dA/kkLqxJcya2HternX
hFJR1h+1M6mW34yYrIQ9EAVqR8eWxs0idDcP4epLbbco5aIe9Mnqj4MmHCtUmnxK70rdWT/2U9OZ
Bzwk2ePAnpYvfQmeMhiF7oxB6npFyRfpKLiLHmguUCQLszzyhfYDRm6rPFqoh1LzJ/H6WSQpT+mB
q/1YNdmsBaY9o524SKNSUji58Wr/rMXQ9V/fT3vPW6FgTbb+GDKfmz7rSfE6TZwGMy20qHIqMyqU
fJxDoRaAGQ1JCeQnapzcDkhC3+Wjo3VXCrALpQcyUQhkkWWCUDst4mGLqyURTYu80tuStCR7hA1c
+a2dX9MmubAU4EV6vSikMw07rfW4kKtSEdzFCFfPYUIeFThxPBylaP9Z8YcHQhCfpo6p0V0+rWAb
Q02adO6sqB4Maxejrb5P5ip5ev/LXegBbIJqNG51ulRnk91GVKM6NrMVgSFWVh8iTPtl4U56NuK5
39tIB/94f8FLbxBgK+UbRHEI1SfV6mT2TTWXHoBM8sqdNgn9bq4dlLzK4pqu6IVduQm6w+fAugAX
q5N+6jJBFMR20OTqabRut6IpvYtbGddHESvDATU+F58jMdfExlZLrzlxnL/abTyx7Ug6A/8j7bya
HEfONf1XFHMPHXizcXQuAJAslm9vbhA1beA9Eu7X74Oa2VUTZBDbWkVIoY7qrgQSaT7zGrQbVm+a
p21chGUJILQL9b0lx8GdmoGt1Z1e9hHTmzZquqS/F3JPTJCpBqKEAmhutQ1zwvy5t1UVicFIeqkQ
OAzwbuApXHNutMxrGiGnXlf0fe+ZuS3Pbtq27X0daDK4rAIXwN0UQrvFxQRzaJ47sV/UFg8kN6HH
kbh6KPe138jcqVwVWokVUS07L5PWzOizLRJVfmalIYa2utp90sNeGj8NRa2mXqUXxudeTnUOKilO
ATbPlYlwc0DQJqMqnuDAnsOomZuuIm7qEZUhGahiaZeqThfc8luC+a7Sl5OeyF5p/KiiM5MigjvY
TwG4k+ltW1t2vJP6vLIPY51Fz00lT/rXRtFGDSMrFZ10Akol9CoKfijCRFxwoZ9VjpS7MgS14GCG
zUByFCjtW8dpy0VfenHLekxyRYw3QC1UBD7iYqTNUueS6clyFwhfjzUENe1ElpQDZeQx9XspNMx9
7IxK4RMEFQKhFrMub+rRIuQOVTWpHntTQcgDNkOdfLDQmZNcG43V+A7ecl3trEqvEB3CJhxrLg36
xwedFP5pHsHYe4nZacKrRDLPXqihIO+aLfgGaj6T/Dzmdp89AOc23s2Gk5Re5MBa3fVRqOQ7xQlL
7L4RfgdUTnNAv6n6cn4Zx1n5GKDsw1WcV1V4LylWW7j0t7h79LzM0VWJ87g5gOOrn4WzQLdQJMkd
4iR1XP4iSow7FSscOJ4UuyN3CqTZpgsYVtKu65u48ywko6hVCCNpvaJy2jeSZufcDNxj3V7qaubA
S8tJe19UZiZCN3fMoXO7VGT1Yx7EdfMzmZvikynHJumDoU/2XazY4T0yothGkkulwgO5E9zWTYrN
q1NINgqUcla29/mgtsbNJJkkLlC1849OkdUmNA7VYB8AAvjUD8K8rapRdQ7tpCSQq/Nwuu0yoynd
KjaC/jDkiTL7nWlnn0UM6w8hwl6P3GxMtXfCqJwvpDnJu9Gp1buQRqTkicjIs/vKBiXrNmUhOTcw
5MVDpk/QLYd0tpIb5PLbwGtTGgX7LksIHHLAyKWP56aoXLaqjN5SrdqPaYSmEaDkAi2xtg6LyjP7
vHzRddzy2IKZ800P82hg38yVviPYkulHhiH0FHQJlNlTIcIYqCaW/VshF3p6L2dINMBjnIJPep7P
OSr8dvyZGNHKPDMz5vcOZfGf/VzL864Os/F9Oo+VOEjQzTtkybXldyZjnO7TpjffhnO3MDZkq6MQ
VBjFY9VndUnj09C+kwLM0sM0OOLdUKDs6vZQnOVdZsd1Co1nsqxDYIuYck+ONcW+BKvxQ8rMaoLh
AlDQ7bVcyzEVMKa3SN7VhRdRY1RdDRuD/OhURXOI29xxvA5F7tKTJyeUPUL4vLgbY4Bq6G7JMR9L
dBCPZ0dopRtJWrCL0ypwXFky63RPRqeR3eEmzUeVjL02RILuhhKMd0LtReLReBhzGMEVLW2r7Ib3
fdzYtDgdtX2fNKWl+sAKTNNTDLIvOk8Zzs2YRn0O21BXD0Ydjn6Q9BXyY3RxIq8LW/mYNtrY7/Km
kYSXTqCbjqMa4kag9EHyTM5tfs1VETUbV8R5VwVRP7j1VKqBcnFLnBZOMwWWOcIs2nFeSii0gltf
7UNnqz67/JrTijTDANji0qP2fiYFo1gFSUmd6EeQsSJxB6Ntn5wiKRr281D8oKtePE1tYRzSCHFR
1zGTylw4pCrSiVry5XrAcR4FAJ5FzFRG8o/QdP3O9ozBtEUN5IjFUXnvBOSnkqqKW+p+1htKfAk6
io5wbT1PD9dHvhQAAJl7RZxc6Mx1Wd2qVttqx7ZR7TejGBVyjCnf68IuHgclkDZ6ZhffdPGABqaF
iug6tNIj1A2HqtaOS6jnlk5X+natxfssKL8GTm5+JkXKqVU2/f76i57HdEinE9AtQHOoNusAXEp6
SImaqR7NLJyRwDKEP6qpTVVLnjaGOg9xGIryFQJo8DawKzxdwZQ20iQxQu0I3GH2s7wNHzoOsyfE
uZN9qtHy7E3L9K6/34Vts1hNEq1S1weyv0z8L/2G3pzaUsyJfOz0uj46IvhmTPKWfcGF1QINhenD
hhH3pXUft+qjMkZgXz6OSmfWni2G/E9sdrsHtN6detfasbHBaL3w2VgtUHf4LxiiNaY1NgUC6KE2
H6eUE1Q2ohgZpSLeC8nONxAr5z2yxbgZpIZDHEyxd/XZsF5U+9IQyhFvkHk3N6b65yItdoDTpt82
KDJ45HcN4gOCLB/51I0T6cLcIhNlon6B6gP4itXwcZRmVka75tijArdreiC8qZkEhKVz4olB/w82
BLiUJQx/FdxY43PylE5Y3snzsVcb2avmtEQGMu6PhtFnGyCwc3E8wAMszgV6wwRzrJ8uzsYwh8IQ
pnzMg5KdLUtW+7LI19euMkTNNyfDKwdhLK2o3CRxpMQj5Rs7mKKN8ii6OoXqaMk9NsmjU/x2csmj
kVUiHLi02NfToNddawpiL6RJY+Nto2nTn0o/Jqk/2JX+rVIonGzs1AvHAyc9uCiEz3A4WXcG6wyW
n2mlkDJAWxx7uR39adYwZDQqcbuYH3oC2ur10+F8G1HZXEhkS55noJR3+gFKpxgVY561oxGU3U4Z
CnpKA20GB1HA3x+KkUAWU23ByXh9woOjNOMg40ZRCiOguzaI7IBajDntUoFQwMZknh97HHlQ38jW
OZjgpZ2+GLrqGMFJtnqce/D01A7Nh7nTjY2j4fyTgWIDgwoHDaAVYLbTURJMOeusDmVkjeT4oTGI
cWM1N++NCTpxL8uVN2mZ8nL9m116NQh/YAgx7UJrdjUoOpKBpceyfMQgML9r9To9lo7YEo279Grs
TjCKVFgWYNfpq9nQaFQd18gjJCL7SQXmQJOta5/TNNTf17UjB+4UgVTdiAMuDcshB0CHFWJh6XE6
bMfRE8+xkI+KVslvpDhBsCYz4n1PE0z3lBR6AtFB0tcb415A00BKYULZDIiTsWhOB2YhqXoPj+lI
+dpaKDANndmssedPKOqDqamHxgj8lhB0X8UjsmBKl+d+WrTWlp3L+Z7kSSDn0J9fvOjX943UwT9R
8poIdJrTfUBB+6jKrbFT6nYLQ3RhKIRKqNItkcH51VZYXRfnS3tGr6vHILa7x1TpUCwpJHX3u4v2
9UoxQWBhHsjVcjq90M3assXI5KjSF6h9KTDohxllrmzsyPPNAel2sZBdQC0cNqtlq45RFucYuxyN
MSnvwfoX/tSr8sZZdiFaJRiACAmpDQTr+m2oZRaSUeny0Ry5CGDTQK/Zj1OSqHs7qaveMzqR/DlR
QaOV3Bbp1uZ8hVOushSsdZbqoMo5cLZGIGfoIjQnhaiOMqTbIpcMeyUtyPnpPGYVGe00yC6QdPUt
Aha0yeGJ6t/QiHM+O2alfZPTcfgcYIuONQ+91kdRU7L3xmiREx/oXn5NtUHtX1RFUE9qaN+7sgBG
e9QQOHjSSIhe0sg2vlRqHNU+RutS61mtJb42RjLfaW3aSWjXwfHwq4mKzcZmvRASAdpdLqxFyPjM
/sZI7LJNAfsdNYwNqLWNiJNLIX1fUm0Pnpm4ub5419sESpi9NAhkPvoC/1p+/ksM3eaaWtgm5DzR
Rw2NMzr1upRVnpRH1XFjKJXf9euXfeXXAg0GQAhKnUPndCwExXKbouTIOZTQ8Wsp6D1mkjWqj3MK
kN5zmrG7Q3EBswIpjKMvoCcHcQt3DDW9jpa36iVD2ZSfEz2YrMcaCLDXgEV+GQPM4L83Rubcy0PX
yqNr15FpUigaDAQMe0NJfYQrjOipjUaDLnlTidIbF08tL8zMIIRebslf5smZcS9ENbTbj5mMMqpa
1c3oS62ZtZ60sK1c/MWgVMtzU4c3YpTHT4akRqBkc5MX6nLbDv0oGarieRiGdm+MXT896kFO4aJF
2tW50Qcn1p5rNUy4TsM+ReOEoLQ6UtKLw0NJPcS8AZcz4dZnU+b9cP0LrG8gPgD3gEIvBnfac3ok
kiqZxD4Qx9iubAQfUFc7aEEgsruebnt/Q5VR/eyU0RhuMYHP7iCGXpDoC7WdCAlw2Om3xyxF1SXJ
7I+a3YSpZ0cVLkrRUIZf5TK1ei/CMUS6NTsUpY9KJykf2Z0omufZDDr+t2eBQI2tJdPKAcq6bMFf
lrwlElDwVNuPbRv0fomEgpsoifnN0UEwmFVeebrVhhuH9+sLrhY/7RyQcWDkwHavkbMYBVDoq0px
HMDF9aTkpvOk5NThEHkbEDVL9JHqbzQFpfyQjyHEiTqsO9OXkqoFo6OEyZYs4HrrW+gJLfcJ/SyC
IP73dB6iIk5i1Cqno16UzlMopORoy4Pmz3Wbbpxq66uLoZjtZQGQAahneN4M1ijJ7jDT8hHJjd7l
2W0F3O5w/cNeGgW9GGDt6HMh/72qB+SpMweS2svHORO5H80pbOMm2+KXXFjKGnWrVy8eJu8MpG8g
8jTYKUd0jAH6oiwuowtotzurFoqvpos1PfSaMq7vHKk2H5WiGDYO7fN9zBNQM6NaiD4GHd7TL1cO
LTgdfZKPYsiCGxB28U0NAXcfW4F1TLVm8koznDcCg7OMdvmI1FnYwaidkj6u4hytR+AuGxBXxMYS
PI4aWNjSSnCao70oRvnYV2mt06OgvKuoU4sUny7Xd+Drog6VP3oxkRVKFrhIdFI2nu2Mjv/6bCgr
QGrgbjm7xrLQQasj6uZjpmTqXZkM5tI8sus/rRmXGkAsfT6iDkejxm+XJgUYIGcujnLf6JEHxDos
PFCgSEJN1VDELlymXL1pOqILT+qwynRNRL4aT+vIS7wgGsxPmtaao9tUSM/4Qq3bZ5OkevRkQBtf
8BRuK3S1656GCZX8l4Hd/zTmUdK4wRK+uE1X54Urh/LwExuLmNpnZyWxa3S0B9wMXP2zjor9F1l0
1ZZx1TrAW6YKngCKMXymczFQ3ayC2Ona+dgYSvAoG4V1nychLhr6nDrfC1B4P/EwFs3eKhvz/fUd
euEUpOxMDQY5AEqvZ7EyDDK1Zf/MR8C6cbmzJtX4mYZoU7h6mlvjAq4KnupEJJnXcjgW/hI0fMq6
Ee8GRe+ojl9/oCVXPj2VNRWFCmqzSwBEbna6kySIBLrTdfKxyssy3teoOfTIYeHHpmgIR7tdlNIL
UkB45f6kazFoXRbRRtZ74SBGf56Am8OLuvz6ahh1qQiDqRmOVdkkQBjkaSdLafCOwK/aOCIvnBwo
fhJ/UcwnOF7TOvU2CAju5/E405N5qruU1nJeV94QVvJtwcnv52mS/TXJ//Vt/F/hj/L5r/ls/+e/
+fO3spqamJ22+uP/PPU/mk40P/7x8FK1/+BA+P7SxWXx38sv+b//6PRX/M9D/A3oTPmzW/+tk3/E
SH8/if/SvZz8YVd0cTe9ET+a6e2PVmTd6wA88/I3/19/+I8fr7/l/VT9+Ncf30pRdMtvC3n4P/7+
0fH7v/5YLO/+69df//fPHl9y/tnum3j5Xjbrf/Djpe3+9QdI738CknHgsukIiIMqUf/4x/Dj9UeO
+k9C80XmkzrWsmP5UVE2XfSvP5R/4nHLsiGq0KEYOHxqyt3LTyTjnzJrCf4jdZsl3f8/z3Xyqf79
6f5RiPy5pJHT8ltPj4tli3LSUz2jX0T2eRa3SCP65ak6SzuqpXthpe+1DpXn/GdBlzobIe0WB5G9
FMXHzLq3rX6nmLSTsE3HnpZ2v3qI1GYnj9NGLnGaJi1PBd5nYTQstQSohqurPivHwAZD7+yEbEPf
Ij30hrZzdm2kiR30xs0eztk0kHPB5MJRhHoan2IVv4KrS3ryNRNJ5KyV3NosjPwR5wHMKnvsIzQ3
1PSmwVWeOq9HMpBgy5UW0jv6H6AdlaDtC3dEgewRaFjcuHmICgt5p9HSh5Nb6Y1SR92nGrv4Zod8
iw38D40BsOSjrn6uxpnQMOyj+VOUdMZX7H3G8BA401T5vW0PybuihTK1y1VjBhNC5BHslzcxd20m
WgXhXYAnB3OQm8ytnCa2b8FY8zWzpEjR853V7m2wFDBQzMzmfTUquMPHsx0eJBOSoJ9JAuf3DMj+
PspD2XTLSgMiUWbFcIhrozbcURTJp9DINQ34QqSA20mKBJsf+vdfahJ1yActUUJFuxWQr6JmLTgR
6N1+nOqL9KExOngIO0HXeU5I1OvCW0ZwMunLogN9Dc3HI+Wbv9lBPUYuvcLauU1hZlVenNOxcdEf
KUFyhsP01Gq2qHboTjK9+iKM6M5SVpouGjR5twtBUQcuVopG5AlJMkxXljPjg5hrYqaxtAFD08ym
PZ0NSncT4iT5qBBRbininN46rF5aVrSrNBpzxL2ExatbRyRxNuaTtgOj0h6BpDuPZlbLlVtKii4h
3zGCI5USB23+TKiVB28I7ftfDqC/N/qvG/t8QdMFwRgEbShCWcK502do1bCyM6rLu7KxwCJncYcf
yAJTSm5nqwBgUklDbrjBKNfIaVLObPfXH2AVT2KUAJSFKser5iKHmLF6AugdUiPmVN4N8aC9B7ff
PuPKNviTyJt7AbAf4GBY7IHxOt5MBe8ek+0Bhk5e0BqOSLT7zvqt0jqPtEjbqzwR9O2l5bdODSWz
iicZ/ZJICbIHR2/EEzC9ZiMNP81T/h6FqiQxBz5kyIqfTn04hmqSiJhkQRuLuykusl0WzNpuY35P
CWjLMNDgWWYkV4sqtbXKEqixoJ8R8DJVmdrPTm8bb0XT6T8UPfRxkNYfYXF85mjW/UoPWyRD0i2V
rNUaO3uC1YvaSimjPpoq/jAqPy29qPyyBYySkPojZ2kRdQSTi2xrsdF8W+2vs3FXmS3U5lInqFb8
HnOp27kypduk1r/WUQ2CCSRbta+ScPoOLQu/mFwup+frU7+6nV7HJ6xECBxVTayaVjMvFSTtITIs
Pos63Ad6HnhYnQj4Am12a9GS//P6eKuw+q9PvUTVDvy2xdpuFcbGpZQH6mzKvupgQy7ZWIO3cqV+
iDITHw9rTI5GljpvME3tH2fFGH9MZm69M7KQjuP1Rzlf22iUATdeCk2ENGtlwFLmcJ7AfAKtmQKX
Paa+hfWcvrk+ymkY+/q+7FDqw0syQxK8LIBfSjiDXSpaWfWKT5sqeY8M0Xws0tF6byDt7oIqpdIb
Rlmw0Zg/fzcSBfqlOK5QoiX0Oh1VQHmBSMByNiqk7RPgSLu5R+79+rudZgPLu9FaY4ZoGy8iJfoq
tCnL0Jj4nLJPFSraj/lYH8qeEzFXkuzL9aHO1ykpD6iN5SKSl3LC6Qthsk2MRbXKn6N+eCicofwo
jQWU1ErSd2UVbum4X3o1uLi0FZcbEIGU0/GkERxD0duyX8ZlfTB6KSOqHBIfj4Foq962ejeOZQ49
dUnqXgNrfXW7RJYJzjQNTdgKbT/vQqUwhWtURvmnNgV1T4VETRtXwUYSuho4vhsaUSUdlbCupvvc
qkDUdWE9Pg8hYNJdWnVQ/caYhBX1SYk7+fqXWM0MT0tkTUJGM3KpzmqriECEnQ4fLlF3cYbUp9ZN
pZ92ybiXNVDC14dSV/fCX2PZlrYIXZIirGEzyixmUaSTuhOmkL8O1ESgtAdG+6EphNN4OMvbqosa
L/A7+hwakjWhrd8qVjJMHmxnGftIVNdHZERm5yVPuFz2ehpQLs9HTX+PkoNcuGaJQpOPFyft8ECZ
MuV4/SUuzBdhk44ousF0kQucrqQ0BcQLJkbbKZNm36uZZt/OajPdWX0q3l4fanXWLNPFaUZs/1r8
gkl+OlRRR23amFzPehcpBywP5zfGHLQElkmDd2chB+8NKhYbJ5y6fPF/VyaoYDGsRv+LixtsIoHY
6bClsGWWYq7t8iJu3yZ1HRReCi5xrzQBWJ2uUfrIA+Q2Hrt0VAbgI8BJvSSIUABKtbYwb7q5UZCU
hFxyG5vJXB6EiOOD0YDo9PrWiQvkidXMuBtDnEoPuGzUiY8ZB6bNqZLYg399GleH5+v7AIJHNoLz
E33t1Qov7G5oB5ksRW3C7sERleNb47yFxFhOkPWsYWZClZLCKAfaatcHVT7k1WgrOzRvs3uzF+b3
En+mcBd3mHNqQV7vU2PAQ13oznvBxbRxRVwYn96Kgc+Ojg4S1bXTr5Zz6bY413B6hsV902h3lapT
96wfIZL+yIUu3MK2Pupa9e367J6fduSmkBMoeiMfDO3mdNyarnZcDLKxy6FE79K5aY/YyQ4Akut4
10mWtfE1z9/T5rBCWYg2Eq2DNZYB1QTTwc9FxcdWNPdOqWXvEGQrjkvrEqJhHGk7R1Klgw7Z2MMp
GKOL6y+8DnlYT6T+7A16l4RaaE+evjFFU6D3Vs0bR0PwzrJyu/Em2Jd08JwOk+GS7jVVCLoOmVvi
vpt4chkLxzW1vvgArRY9lutPdL7Aqd1YLDmqAEzOmXZPRBQuNZq+46eGZ9fFT9hxW9if19f69wJH
51JhAMBbtMflRdJ89dqWIXUtOH15J6dJMLtqaBrfaBApo48So6Xvcw7357hQDHLHDoQNVsR0Eg6D
XESoEFbZF3piZeZaYpwX9wVsP91Sttq7CP+Sdq8lMTApxSwBiOj0Oj+1aTrnN2FqU5yGAi9HbgyN
Wtpfn7q1csTyVialKvR4QPs5gOZOP6YTYslcxLq6g7G2b0NADWpiDq4icvPbjBsDEHAcGL7G02hh
itDX4tCVKNy4CsZMuxaOuqfHhfFGh6/54fqjnV40zDd8HRBJ6HfwcGhdrw4UR+JjT2lj+Uhb1D7U
JG10VUo4b+xQMT7+5lgA5GiDYZeyFN1AD57OghBD3SIrZ/kWNzNuEWHui26uvdGipf27Q5EsoO1H
Ek4/nl96OpQT6TD0J2H71JOQCxgHa0flpj/Q3LKerw+1yvOZwiUxoYJJvR9Ah7VUSn8N1jOI0PJc
MRYc78eZp+JAEr0ncsX6hgpas0P5A6JmP4u9LBz1NoKS7zp1CktRJNW+BpW1kR+efdQlfOdS52Zd
siZ7FWKrXVNoSos8cyLp0x7mp0FBb0A/qZm2dPG2hloO0l8yFQu7ELXIGCqOymY3UdUATJJxUHYI
Yl+f6NNAZZlnCpQoCiNTtIADX3tkvwwFqzV3AmGb/oyWxHMvN9PHko7b23mc7Dd9Gyp+mhXaxoV3
vnWXUblxWbkyEsjrG6+ZCnANPcz5CZumd6mcSK4z6snRmVv1Bqsc20M5AJhiNJU7E8mFe8708jky
4+Z7rzSq4faO0b+dYeD9/kcmrVnU6SkT66gpnc78XPQJStid5Q/26Oyrupv9sRHDHr0ReXd95i98
ZErxTLyGLRC4xdWhDIqh1IfcRD1gLuUbHELMB9VR08cFcPHh+lCnt8zrR2aopd6/3DOcmqu3Uqoa
jZVlqBaqkJFxIsvhtHU8nBZu/h6F4hFx1OKdsR4Ftc+m0rXA8qPRypK9mijGF6QJYO/AIpjdXnXE
Ezzt+c5GzGhjGa9u9r8GR6aHyVzkR8EmnL5ii6CtHoXC8mdTE7dU0sU+pLP8ZOZBBbUgcg4hNNaP
lDWyfW7V2ZHIP34JraHeQk6eRjl/Pwm6pHSnLapp68acTFuucsbCok49ZQ/tHKTfWrMeH/PRbm+0
AhaFVarVB2uQxfuqFVv+Exc2NAY47CnO/Ncr/3QiUnQSgKpKqI4Y0niHU5L2cUQ1YJ+I7j2Rv9gb
qdjyMLn4ypgPmuBBX+Hrp2OaCEJI9phbPnY/M2KlKjU7kt9jFdnSn1yv092MF/jHoZ3GQ5KbWwYY
l3YSpSPEwUi3luV3OrxIlTRxxtryA6RT9pGtCZiTafDQQQ36fn0nKcsddxJKgYX9dazV0SxX5dDY
4Iv83sgblxTcwHSy1Q44TdZ3yLU0N1ZqIVGQzf0bA9GBRxli+ZdCK80HkU7Rf3CGUBdhb9MbwAB9
FWhM+hSKGMq1j2AILP2acxSm+U+CofH/c6T1wSiFRZFKjFTAy/cCCm2LoYhCuwYXno05Xn7X+Rz/
+61WcUYmK0GfZa3lK5U5PM1mHu5QDVGfkGRxK7NOdnZTOl5WWwEN/1jrH5ph2CN4s5UXXlxXS8ZA
bZK6vrr8/Je7UVCo1LkOLJRzpsafF4SuOnTaflRie+OdLw0F0JrDGSYAldDVsorgkiG6zvGlRaN+
yJrOQHZt1PyM8s7N9ek9zfr+Op9YLwvKGf0++hanb+VklS2ZI8HpUNBe1COz+OrIjbgDApAjUm11
G4oOy8m7/prcPRyIoBRgeq1WTjgJEgQ0sHzk6yw8tOEPl6r6mwaXy+UGJJVXopaEGuq68oFURa7W
CqPMs9Le1sMsPaIzSdwvI4LSoInoOV2sPeS6VjxqwCw3QuNLp+6vw6+W7IiXgdX0y6FvULfP2shG
LMfMD9FgyF5KvAyhVE0O17/kxZmFbkCf36bmui5oG30olxLbgC+pJ36mFxnsr2ILIHdxaRo66Ra+
MCoV39P1IsVZXukWr5YAb8XOG40VORSuZQVbuJqLhyt7igIB1XKKm6uh0ob4JCXPQZEFLron1dRB
zLgbsVEWGJrFCIJAPdvPOvr/ovpcG9b8QjMd6EtFPXcjpLi4T0AULS/NW693f6U3eNGiQ+AnPTmm
jOnJg47L/UObaLUvhk4c/4Ov+ct4q4xHjqZipNnPy0dO5dXoTLgq420s1EtrhtIgUGob7gEX/unX
DPJeQo2Es7XNpPwtWl6hLw2R/B+8y6+jrE7OrhhyJZ4r9jw8/QM2lNa+reYtYshyUq1PFgJ1JFyo
npEGr96lHaleFhJ7Hq+K5naywlhyQYkPX/qJ9plbanFN9Y6c2bWaWlEOGQzw3fWPdmFzLGwg3Ev4
chzdq9AjcxLsXPPC9schFHcC0+d9gLwPcoiK/vH6UBeOGIcYi/IZvR66dau73pSDRh7xbvAhlxdf
+qwZ8YczvLYtq68NV9g+KwN5f33MC6uFMY2F9UeaRs5/ulpQLpNwaWfMMEa7OkoS5Rbx2a3m1cVR
VJYjHTLAbOsbCUdbJBSbzPZFWxS+rZY/tVr7G092Aif7FbpwcfpQruY/ACi4Y09fBaKdmEyFLxVr
ORg9SbbTncaJ92VGdfGJ+nL6ZkgU7fe3G+WLpa3LEQ3FbjWBROKaGfWMWlObeKDeqt+l0WYnd7ld
VhsBlVZArNRmFuno1dHRqjDEcnQ+/HQY00MqrOZThw7c3o7y+b6Suu59MmvzoS7kxpPkQT2klTod
W2R6DFeq662S1MWpRogI9Jm8nDGrqe4xGSlxMCHdjApncgdUVhBiUOtDVk0dR3c+PACLBOBzfbFe
OA6YhX8Pu8zSL+FaFEeWRNCErfs0tDu16oMfs1RZuxRrLT8PkXJ1La1x3MGGFdOh/7kx/oWaFSRE
ykMYVNIgZaeePkDcjmGXlaHtN8WYfuSCgwCtNEanuZndWi92bwzf59YEWhx2svK+VAv9Rcpoo0IC
mfNyV80GihcCHb6t1PyV3nm2QqhsUOJRCJHWl1lndpE2InCEyKYGcASKcYoIRiY9ki3bj3EmKZ9H
oR+Stsu8RA1QCjHE5DawUd/Pg67/aJvgi2VlAU5FsONqJ0z2cmwnT5goowSDJnK/USK6dCbQoqMv
wdG1QBRO53JCwcrOUbz3Qbtonhla0VEOgi0xgEsrFUlp0PCsHJDgqy9WR0VNxzPhiwGfRh1mkEbX
sYJhr2jheHCKSQ29sJR+1xWTaBVdcMi/QKgoJBIZn75dUYRJYjlkEbaC208EuGfXWFG2T7oq9K/v
ivOqDENB1kITzCTDWH/5Iakk4QB48+WhyJ/bQaDMlAw9FLEIDEq+Q6EW2f4OGcKvVtojVXl9+DUz
7/VVAROx2nlRcCbLrv1lVw6VmPLcDgM/BR+ue6j1pj9SSRBDgTbUH5NMdUIXgisk4aQY553ZDe8k
fBoit9XaKnb1IppRbJdFbvt6MyeDq0oL6Ls1ARV7gdEl4UGue/0lRtam98Y5CLo9N6T6aGMdlbiq
hYX5LrTk5i2hufpmKUy+tMhZzR7Kv2W5z4u2Qdcxr8enAknWciNCOF/IwOYpBgHcWgwaznoBdJnV
IiHdSo142LWllbxtqHL+dt1yocZx7LBXuLTWcUgljBgqY0rtrRF0dQpceI25/5Gq+biBkbi0ntAv
5Hwzl77sunRrAzN0WsFIYFaro5Vo6gdZzNpeqxpjdqVR1D/Rt98NkqFt9QQuTqVNSQ3hB1b0a1X5
l6Wkdim0CIOqMUmdgtnDWLU77tX4oMmT9TnAROVgmVXlhrbV7vuYq7ChV33HoabskhzQGPj4N3jM
DG+ur/ELecuS3pIlLMgt/s8qCuxagzsu6ylATa2h0XZq1XcmcND39IH0x9GowhxshJJ9m0IN/+ym
swFPzjab0IMSGtZeboppw+3k/GjjmaBMkwpTsKK3fLrv4sCMHNOZLJ9VWT5mSRe4QvTzd0UvS3+s
ZwwQ6jzcQtCcx8MsQsCpNDVpgBH4nI7awHqpepxeoGDkgxeqRrEnj/qujIq9kZ4pywucXGmIUMEN
YykQFIMKXb0g0qKtgxya5Neynd3a4JXdShvDtxw34j624wR52GhQv2Zdm+8FOjaHEr92asF18lad
8+qbXevR92pU5WdTwqfBzZBO3zh8z0KS5RlZGMCh2CtQ506nIwhDKaoA0Pm1kY3Pwmikb2iiBi9t
as4LSzmO5APK3eNPwaN9ntS5PVxfmmdbZvUAq1CsGQo7MvRC8oXIgJtHzoe5j7aqkGdHwjIICRiB
tYL7mLIsxV/2ZYIGatJxz/go9t/TyrtNM63wRkm7b4z+rtONt0bbbMQHF78+KNhFOINm0rrZMNQo
XptSLPnog0WFO4RYnuOY2pDN1gdUEqXP1ydyTeDjvOElbWxxoVkrZM+rT2lIIBjRwwt8SxaLWnZo
+EnrjJk7JXrzc+zz+k8YkQbgPoT0JzwkHkw09a4/xNnuWp6BgGHBa0CFWucwI+ssQlRO8mNQshBh
w5oOqGxgtSOqd9eHurhwfhlqFX/R4wwBzLBwimLUcceL3s65kt1cH+TSR4RLiiAqEi+LbsjpwpnQ
ERxDKZF8Vc2iYFfM1WxDw7blQ5C38ieEsrWf10c8OxXJZpklCN4LXBI6w+mIEoRqUFi1QzUpaO8U
O5seoOlnb7IxREx4hkK2L2Yj3zgGtkZdHVVp0IV9NjWO3zsOQtkAjH6qdYi5Q+v0PpS36l6a2mDj
ujz/gtwugAIXghCGzmt0YJ3OszlGauDrSWzd6XJh3itKmB2vT+j53mcUsCmvki80x1evNnC82LPa
B37m/G/2zmQ7bmPbtr9yfwAeqIsugMwEK4mUKIpSB4OSKBSBABCoga+/M3V8bCktMp9f53Vex2fY
xxYSVSD23mvNZaxhkE/o7nObiW0x44tHZCuzgwSKN4dNWRVnnp9/VlygbHyCt+HToaFhi/nr7QRO
XC9VA4dkDczyTX8ss6KpHtS9a/XXcD0NuIiqvVjJ63vvKRE8UaLpe5dZ/uXqg96xFdTYf39B2Oph
ssINcBRL/vqTIEwWXd2pNC67wEfp14hk8Sz3Ie1IpoxsshxusArOMq7N7RwHAmEEf/rpRxGXCMlR
PlLWf0hCZ0OuWDSmbJdbg3+VHVVtUbY027gj70nXqf7Z/TRe67wtM2MhR8MZFqwixVzpvHgmsILM
1zrg2o5ynQPoysLCKKNXH/na5x8ZwN42qQVhr2X4Y+/yPsdcmQuL7OIgbRRj5UZbi11aNPZjPo5B
fjiG2SDMaPrulthLyw5rzZjvbGfS345WJ4qw1GUHNpH2RRMGvUYmper9yQ0Zm6GXHqWFKKnFlK+H
spusbx6zi+816vvrYBN9sBNeV35cBgceYc2Ulz77stnvrXZtHjokMJxPu6oHByzWTTp58E0hbNZB
qCyHv9bQ2NYIQP4xogzB+9dtWACeOu5AXjw+ILfA6NLYy6WnT1BFhrRbc2Kk5nahGV4MSSAr5UQe
PHNqYLcdga065oqMXe/UF8BPWRa7agPLQTUNUL0ey93QWoUVu63f5HcaLNNI+qXw74VF3OwEbl51
dUQvyYfq6/haoqssQINRjx3E0naTnWd+MJgVURh5nJ9UsY9cgKReYt/SD0VmMeIofL25N/LM943D
6A2VZDBIDGdYE7GX44kC2bwzchFYkZ6C14oddzQ64K05kxJN6d7TsOTiMzBQuwRPH6gqsirCzzDR
+A677lHAcpXEz7BeAsnvI4P8nufJsfS7loH0cz4Lbwh1+ERko2hZ1sc+DobtofdlNu9d4L8i6V1b
TRA69aENl4XBUNwamgt3ePTZtqm1n94TREwrx6hoZsVtD40jNIWCFlpZQOl3Hh617ZK9sz8wibCr
nCCX1STyI7cybVdkBmqgYVu076viGVicyaC9YmfdLZ2Wjqap8NI+xO+da/uySgcedVAhb3zQX3ZU
jXpnRnnjVGHXMsNpKpcImzbX1m+MA7wyXi0ve6cs1p7QgD11OyFnJAWFaABFBWChuyKxSDyudcb2
YCJu+i3bS/9uAAb8HlFCC8NUEXyCA7w2btdWYfDuzaWDqWQ58wTCGYbJfvYgtIYGYoIp7HX4LiF3
zs13gbPon0xetg90eqZ555h0dKItc7uLooMIGpZOY3cx+6PlCwPn6ckKev4gpoF4DEkQ3yyseNP2
ntwQ/T2DT/OzQ18wP0a5NGtIymV3X1e9s+xook42quDUdWNzLI6ZQ+0KdZd2SfE8WOl6CXUKkn1f
FfltapvLcGkZUl4eE2DrQ89X3w8bJ1+6WM+1Gd3grErG5BkicMWUMLsmzmN5p3Wa93mbhHPr9N6Q
J26ZY2CsUuHEMvVNERILmd3YWrktIRE23td5DDKL528G2QAbxNxCtIGljP0VsxLJXLm70RfP7Qbo
rtWP8Vpb9jOe5a26nTQrK6IsL7U5IWLDIOKCms4Kjym9xUXeifqTIlPnk5Fm1kOvAVQJddVB3PNg
K372ywxU8GqmLa2LFpBuJOWc0rsrRD1EdBozvnGDw56ss/LDXFrzvbsIM+nhd2PjDKwtbLfLkRSJ
Lwv5DHVokKnymDt6sZJ1JDoWYMfpvoANbu8zpPJGNPju8Ai9yDUSsgJX77gwjORJjCL/oGeu+8Es
R9Hvbb9c+pi8Cbl8omtmkde0kC61W4vcvFuKdFoOvBQpv7qw9PEroRWVGckVRXUoy6L3rops1YaL
1IZ9tq86OlOh0S8MuyEaD01orqmnRa2GQAmieCVgj+VjU0X6sOiX8DmJ+3Bpn2v0nYX+ubXFNiar
3UgjnI54fVpcVDlh6U76GnsAKKp4GduGDJ3CxEVRk1Tphn47eJ+npc8ebIfEr5CA3RSi4zRiMVsX
XetjUbrgNBuIwTC/AYM4Cdb/GeakW/oRdhAxJkblWg+mNo0p0RFuJy96b4K9rCN3Ag9s6UdI8EwY
1H7UUwmc2120Q573+neTzBN9Zy+6GK8rR84dMd/sqKOxt+f0A+imvr61TOYgB1IoBjKVEdDy/+Ix
JT+KMKU1Jh5ofhwBY9Xh6hQiiAxL9UZChBO3Ck7wKL8NopznuPWXog6l27dXxkhCU0as6gddBduj
zQ7U2rGC2vC4rbT46Fodjt5yxhrxRgxYl3bCruvyC3SqCh6kiZ0aRULAYFQfK3q1FsTwUGztGESe
BzJ+0vpA0oehNRFXooRJtJl58Rm93/Jmk+Us3vFoz02cZ62RlEahfe1sexwvrDFtnnRmJSLCabzV
4QDsiLUjGILNuizGio8ADGyiXahVZns/I/BxdogwURPgNRiAnK/u+rGQg/EAnplwpKwQrBMa+5An
UkyIKilER54IWHN4G/Zg32fEGz0q0n0o2a2FekDrJ2sCrkzke1R2Iv9o1R6w90b09QeJjMiMVTMZ
3zU1Dc+zta2f8EvPvHjKLq+8tCOovQVHPYXBBpofSrTeXgHNX+p9nUKKOlReUV04Tu+u4VLX9i2N
lOqz6eXmm84hPite16YZPlhdWdwMNYF7MaBT9abn30pDhrOtu9MBOH3JLYPoyKKspROt68R2zvXL
6dk0oIjFxGS412Wrt5/Hphs1AHqGGHbTOmBA9pvFuRoIhR0uimJTw8FuheZHRlWb6ExG9MqRPeWs
n8G2Od0e4419Z+f18j6t/bU7EFXuA53f7NmP3Zk2KNu4kchmTEdsRLCANIovKbJ2qGfE+cYrlrE0
crVpfRIDaYFsbSR8sonrcqN5DZJor8EzjtW8aqZIlctlanYzKffy2ZrypYhaZWs3lUXyW7wxtnFm
F3dzwSPE14Ye0nTIh0ZcVX6r/L0ezOUnQmDHIZpGrSriumvHLaoGW3v0e4OX0Bny/qlb18WJJip4
Zwcmxb+sm2MGQafpuCsN5HNPoPkPBD9CP5/4vaGUpnkom07vv8iF5OpdISuziGxfpswtluDoSKVA
cCKp+pRcGBBQlxboLz0uIatfwebO36AdI/FTHzz7XUVKHm1GOOOuY3PWECzYHtuKPKN4NtsKR+DU
8Pkm1aAZ0MBqM/k5CxG+O4vkpCu/9PX0UGoIB3akNxMGxspPWsAxPnanZKMGcpYK9c2Wy/jd1xU7
ojpz5U2A1cYJs2N6S1itpatji/I1GVE2dVbUmVuXsiHCgH1Mam+a0FBONpKwpQnoai4LZxgwvMff
7jh1v4M7QpIDRZZ5rmv9YyzwayGBEYYBDH89NhFP1amyQ81ZrbkW40nJsQhRx7RhSsT81UoXKUxd
QnEs+OZMSqDU+N4w3zqbr+KlKtL3hdtoF1rvbUkwZt47uQUOjWkyM+puckJnmiyoZdVwABhsRnNN
YAXMAcTr2+yHpeg3QP3qw+tl2W/6N/hLMTXjr9GBU5za59U2bXM66Gl81O0fDHcE8mhsRtS2tnPj
BqDhocSXb9hg53a0YN16049ufkYL9c8GDuZ5Cnrqs+PFPW0Ue0swd9NSBbFtVkM06+X4jrWG7Xi9
qn9fmP9yqJM6VCOGQTUlnY6+1vKEPJ/+vZZVBu0N2R2qFaPE1qp70r3Kj69f6d/0HTD44KUCzhxg
LjqWqD91A11pdzNz74C6ojN3lRBqp4HaOFNm//ZKImemwkb9CCH116Nsei38CgZyjENMfpSgUwmN
x8F2oOt21qXz+4NRTtMBhAt8OiYM+KLbXUH/xi6XJu4ahqTsPN8FK3XT6xfvn/U7DwjNjP8e6eTi
NbIjB8/jrjEQW5LcS5vEP7JzN8dDuZu1M1kUIr9//aD/bMMdCVioB37QVZE6/XotnXFO87YaiWzE
/Ac+0hNxob/J22sjTc9ZsI6P3cm6wkeHYSttexcT8ckJdqToDL0nyZlWpv08B70zx5Yz2O+bBdBq
NRX1fV5b1aM5bsZhaRzz4fVz/c3TSev0yJOjX81A9OS5md2UbbdJ39gyZ+9BVdgaPeLd/jOO+xMZ
dPufEzqhFZ387csgol/gRf+HiKPjkb/+hEn685f8v4QXHVt9L8OL9t1z/TX/H8J3n+qnnxFGx//s
T4SRA42Ir4tOSja+VY9R8V8II8f+AzEL/Utaiyg6rCOI+0+EkfMHwwaP2HJgwIyI9SMP+E+GkfkH
0gtCAnE5MHGhL2j8G4rRf8gdfz+skM7QrtCZDkBZs3NghP7ri6EGg55DPWP0ydJJXIwa1Jtotf2W
MMZeUB2vIOF74q6cpSJtW82frC63x8M8COIaUj7yUbNQmMUYshrY8Y0uF5g/WXYg58yw98zrxb4o
h0HuBmebk2Ywlb0DYekHYSFcbY7oKblPhM6xfx66PHvb9RrEMZw8lJlZiyUqSs2W8ooUlw2kHAGq
FwjU+++B38uHqZXkpZRpOzjJ5qX2Ek0dW5MdA7JUP9hrr7WHroSmQupyni7vCbVwL+d+6peIi999
gpNFkBa2XvdONYt152YQ8RK5NuU3oa3qndADQeRiNs1HzhAZKeZAZkO/TKX2xqvnJZl1Sx2ZB2p9
lmajm3FNt+rr2Jj54wBM5J1jVXIlPdPbzGs7NTQrIh14S6Omd+wPNOqI/rTp8bIPnjX5zTBTVz7o
GcE9DzSUSElNNTyiO9+YrHuSSNlPZp5H507fHOLOkTpW1NDuQlDNSGAQVR2gwuJWlxmJqSJAhhSu
0hq5i/lEqhSdJ03diD6XkmuNG/Yw1l0B+j3P1CVofPUNfZdeRPpqlWrfeasPs6pk0kUYd2ceJahb
80aOx06bUfb9eImdDFLG2FabvCwMxtMkd42KGCCJVQYSkyPe1u3UcztNV7YxbL8yj7a8Hr7lwWJC
sxFU7RdoQLvHVdf8p9qc7W9uXhN6Qtm9Ptilln0kBZtWl/BrqXZma7tjuMBkycjFBYFOqTz3QAXp
/Jo3tqfs56xWtXwLNcc29nmhIVogg3ApPwyILex4WGqHT5u0aLaY49F/C+xE3BiY6+qwoIVEClPV
ju47z2s7KmuNpAKczccG5UL7NCZatJXEhqksvwdMQDEUkmM1L6Fqec+iyUG029VkhLEDzpYvZoNw
iH32UvQx4t7uEQ2GwWy6Q//USde/a3J2vntrAud3ZyCNoR8cNLN2YVf2/L0b0qC4rPoyz5+Gbh18
XoLU8q6YHBFcLVfa7TFATlhZW1W76b4moZgSsYc4GcltqV0KkYpuo1HlA5mzXp0OkeoVGGNRZll5
2LKmeGRqkj8r+k5IOl2vNUJkjNS/nWXNkntlNcniZPUdrnkbjRuzBp4mwfMeF569DUB0GGDu2qX2
rZh6acpjbQrs7xocqpanZDjadErf7DGd5/WTZwC8Cmfb6t6L2bK1MLc6oBGglf0tArNgq5sxb4Zl
Z9LsNWIt03MZTs0x/4bw8JYSiXRWw2z1IllIRj0spUO6ZV7p093WqPSxzbPuCIUe/DdS71Mac4Ex
3FedzIlPNS1xnyEhEeFkLt7HTOrBu5Y4llsd4tJNaW1WBNZ6bGJ+Tj7GjP8b4uNogbmRoh808tIS
dMQKWXwEFLk8pc7q+xc+BUAVsVIrGVpLATCLjOz6LT2DKd+5s8m7mdXlfLtWLdpLotlSm9aUEGAu
O6zktNWcAFianH0DYaiAlUm57SXZ5grq+hXK82WVjssU+8SY89RP/lDtOsKA/9Qx/f8v+k84wqM2
65Uv+lMlYPJ9+5+L/vg//S8fdf7L/37UvT8oHNHAgAZHnA357q+Pumv8gSLlqFBiPobm7qhS/POj
rrEX0GGLoaWmaqFAO+rI/iITmn/AvTKQ7R7n/dx289981k+EIxoeNXrdHOJkWNjRukKrLapELM7b
Jd9USAh2Qf5cgaVn6KzPei+0Dx75yo9EiomoKbZ5L1vDjdZ0WSOE0MEBT3Kxm/TUeBAdFOafruef
m8afJconKs2/f9nJpjjXSn3qfVsk9FjklWmvLe7qjqobjsINMYlppHdICxQqttCYVjLmre3DpOXG
3oT3gQQhdUhr26oshkxn7lMT17lFvMDBa/xlVzG8fXfmlx63yX/vjP7+pcdS4qfiTm+oiQcWiWRM
UfRY3diFhP6htfdE/lWv7PzKtZdmN22k9IROiqBmUH1zRoJ2Usv/ffRjnfbT0QkATwOI84KxmOns
WY/nWCOIfucrvi5dPsgEMXwV5fPcMlCaSYpXaXFGd/TrwPvvYx8Li5+O3dTE1OFbEcmGeLMOW3cq
7jJ61Rca2XiRMwf6u8Iq1iAcPO+csvnX+vPvY1q/HnMK2DNphlkmrRjlfpYj3AW/rm4Q+n87c0Nf
Oq2TLa4PaFHq2yySycjyK1oC+Y5ivbmXCHsTQtrzXWmLCcLiqkdeK+tEbtOw97PtjajmHx7TOLDr
5SYQ/Zdaufa+KcwxMjQjPXPTf/iMfvfInUiYMCA0de/OZWKKconqvih3LnkH+4r2Q2LRCLgkAFxc
ZkEgye9183u8L0TNGyrYNaOe8fJmfYi9wDtYYskv9dkw37Q0Wa8soE0Xeh8wfVZeH0qmMmeg8S/d
t5MiU/ZzMVS+UydbugBpDwgUWJZyOtStd0am8wMQ8s+r4v4DK5aLrLJpbyYYMMlX9ywV5jUDY6dq
lyvESGzguqI5MANosPav3cXYKXk5SWMK9WU07vwON1Xe5c7bRvBt1vJJfBzqzE6yNh8Tr1xp3+Ku
idINVaWFGnu3LA2oh9ygPduPxk5Ua6SY+u1kmpr7adjqK/r36mJp2Qi2DqfcMXe8sjNbEU5IUimJ
HM89+K0bMxv9/Zx11r/SwP73LcEF/OtbUq7OVmIqaxLG+XrUtAVYARemqd6u3v7Ma/L7dY/K89dj
qA42UbAuXG6v7Pf4jfQY3rYkf3d8g7rz45x2n0A91fFseSr0pbWeudEnGtO/z+5kxW21dIQHYTeJ
IOMNpLhT2m4009ygEsqnZzn5Xk3tUnkutJFV2NHYGiSfBnDIQuUujp5sRPOciwF48eecLMEIStpm
axwuNpip63kTU4Vso5DJujrkFNb2Ze1nFfYBC6zr2Mw7zRDEr/dqSSZbngMHntj+/74qJ6vxVDu8
7rrRJMgjCpI4QN0KTLpRl6UflEUeQXEsiFad2BVyt/3dhhjn4PvbeOZrcLz6v3v9TlZm2mm2Rplb
Jf48eZFBeRZnTaWuarSobFRhR73+4P1+JcFV8utzl64+bxZ0rYSsDXnoV9flY4+dRTfU/etHOD7B
vzuTk+W1qwICENpAJIKInjhFThaXAkaycozxApED0mkkLR9fP9gLX3DcwL+ez0js7SbVliULSej7
VbjirhKexoeHVUcYLhmmvpVfaHb7fRyRMbhLWZ95k35okH9zpqd2WY+KfV3VoB2KIq8v+5Z2g974
26cVisNNaxj1zrEo4iMtd0hHbs2MFB0Dc19Ife58YdzdqXDgwmexNRfBm3pNUyvunHVMCmeWe82u
s8SShQHE3w7aL0L35SNQq/YQjDp9FM0k3RdMvEIRUdjrQrXC7A6cuhsMh9cvLwroF+7myfWllB9r
euF1gvtz/YZoFxIgmpX1klGXFuzRddQ9QeFu5YVjV1VXVab7ZTyM6YKmyw4YSvh0THbCbTuXCY64
gajEw1cMWG+qyRc3S9W5gtJ11b+iPEmflEyNEYUHUa9i7cdPuT5l+L4GZI6YjLqIT4xAUeXwrQrn
wSPJcK3zQBzctPBudX/syqgJUiB0oJQmPVwX86Yfyb+x0socd2RyBBfV2vts7wpD23aVTD0/pPmP
BMtlB3xwkdEZePpgPgBYpNs0Y1V+mzk+en/Cf8urIhhpAy2urJ2w7k3t42p3gv6YJpfdEHiNvF7V
kn1y2LZdFSOJNm+moDZ2jrvYVlQ6MguQlXdEAJIAU7pRAJfN3eVtne2tpcmGg5k37j3MoabgzJrt
u5aW2te5LIKdmWq+kwCqte6UTzcBxphmX3elG9yvPbbLnWGnRctB1xpB8SRNO6yasXuk4p3h4eSc
Xgi0eut20rc653oF/mNpA/+QxkkyWtVlpcOpDuulMGhZwcadIsMcy6eSxtO9VUjxVtDtuFA1ozYn
M+mMDeQdeTAbrNZHndHmK/0Mey6Sfu1pideAYMG0F5C8N1Ebjy6qNyucW+GLaDZc8dbFtKRdMsHs
nxvXqb5jLgquOuW1hCQj+tmxB2t25DlOKI0K0ioiVQ/phElnlAIn3OLfS3/jLhtirt7Vsq4lcE3T
J6OrkO6jthWNoEFji6MSKmDe6E2GfJxJaadLtBW2sWNOzvg6NzNNJsGSW48laVqJ5YvuA/Dw8skQ
rvtVohbqQXM0K8y2QSejx5k2bQ87YBkwc5tLducWVq0io9UIIwGczn7eJGjnHfYS+ZCZTZ0BizaF
npDHSM6BZQz6Pq1EjfNt6s0LQbbWuC/mbqOV2rvoOdAPXffOGlgh/g6oA0VbIIl1yfClH5fr4509
8N6H9agj1fML7CGjrZlZXAzk3oTGWlfx3DpuLIMcYUwXBFeklY8xXZd0Z9A6HEK/g0zslxSnYZqV
26dgdZQiD35z68hMl+G9asGkho69aljzxpbpom/nB3uZRwWVLRjuMoPnOhpTn4e9GrLvTl63Q2g7
87FvapTOrmsI1QDytqlECwy5X3rVlm/nwXDfD/kyPnY68e47zW14Dnl0sthZLDZDrm6Vd32e/8j9
doMvDe+aIuW7896nY1t/16ze/epnkzHE+To5zwqUcREZakRkN6lx+kBWl4l0AjXJl2Hqhzxyeqt+
bjK7/FA0fYWEk5brCN+AwXjIMHA1QmWM9ZMCQ/BmNCzz47qM494EDH7vdkVLrjoCrovBb9J2lzpa
SlQz0g6/93fZgtsibGFafictqcUV5DuhnzvtZVaty/1gSHqMSynVk8fjhPhMouRMzEaSRzznVgWP
w7c+Tf245DsmWZez1PMLhS6URnNpqDbxkSMf2Urlkgx25ZlROhrbFxF07ZCsfbluO1K8tOu030BQ
sCjId6mqFlbNof3ELH6Vl3qb6jfFSJKvGvMBFCckrAebzMWF5ufqXxtQ+Ied6BS6Lw2p0pilxRtD
8fpyI1XiqHlxSawDWxgFAkmKUXlbvMqiYqEAcZhMK0lKYbcEwbPT6EW6k9Wsf5UZvcuQet0RF3Ww
jF8UFUG991sWz7BFeyMjl8bfzRo0A8oFt2N+LIiZAa3h5XwsjzrMWWvtT3owyKepIsYWP41J3Hsg
VdGGrhA8z/00pSlrOGtmVKigQ0yY58416C/ew9c/gS9smE4V4Wq2RrrMHfvTYSVLrbayiwqxQths
1rms2OMe8zf7CO+kFlhG2UskHk1CD7Jj1rNaSVaua/L6CZwoMP7a2h7nZT83GorNbILNM+tkkT+U
AYJRTUBfeXSylXFI07+vnGrebyYSR9oOiBVSkhXGjq1h0BT5Xhjo4X1nNMLSblBn8xXcE41cPLST
Zxw0c5CINAh/Kh0P7Uhb8pWdxXapbL9/o3elHb5+Hi9t0U8DRBfa3WkxbFVSjnN5zUymD0mgLeKS
XNF9sa3Grs+a49sW9BeKbeihIqjh2minc1GbdBV/e59OagSPbZwUvioSZy31t1A80ptlbstHTWlE
Ns2yj9FLZ4k21vmh3LJz6ebmCzvqU4T+6q0VCkm7SNKyVN/QgQLzKdCnG7k3t9ejJV00MNmYqnBS
cv4wOHb/NFCu0I8c10k/uK0gCmwLekIqvG2RO0i9BXMnG5EQIuxJPVD5M34xXGeCiNJX2b1WyYzC
Pq+aYAdvwP2kDct0Vc3ouijSrZQFxK7PUQpfuq4nNUltt2XD4oqoZFxMdj35sVHUVsNuXOaeXA+V
OtSpJjD7EM5x/S3vy+acq/ml1/ukWtk6wj1ci/ohqF35yc2Wdcd4Ajl+W7b/ymH21/t3auDo4HV3
yu9Ldm5mhBhRHmRtsJHVim8L8U5nXo8XTuTUsJt5W4HxsxVJMVn2dcbQlGHKURMEePjMUvjSG3hK
76jrzdUqa6kSy9nyfTcjbKoKi743sHt4oXx+osUp19u6DjqePfI8Z38rofuY6fOZReBYD/9mrTxV
znjAJ4KJDhVv2dBctOm6Hsygzm/RQhZ3KhuYjx4jRGsDgDxOT+emVNK525RQ0YpXK2nTSp4pjl54
LU+tX3WXFTyYg0g0ts2hX+mMAXUHzXbVaJEhm3LnBeufQpAXqSMv3d6TtYdumAf1KWuS0bcAKruZ
H6Fv1HYWHO53r1/blw5xvOQ/NaSHFdrV0lnHJiMxu4rgIDY7YoIBglfm9UO88KXzT970lmzTSdDk
pqu4mKFV9A1k4ME4I4p7oYfin7zLfjrTC/DcOlHK6SK0HvdNJ4OrvkJqOQMGPfMavLBcnRo362n2
a+g/dYI1edvpgz6/qTLtBl/Qdi1J84lmZFyROzpscabUPHPpThxZfy0jp9yDmgwGI+/rJiGVQT0I
v+CEXK2kMtEqe3ssUCHmITGiGUXvnBW4wqu0wYsgMKhEqdLE9VB1PaLTtBDf0U00Dw2KDR/uwdRp
CGEnodjQHQtqbWUt3uqKFd9yVHNY4ZnftnKZHj3U/4Lk2lq/ME1mFTFB6XkK3Z3t5kEnpG6KPE0F
VBDIiu8M0bbH6MEOWtky9NNdkY7ioV4lUye7Vs125oa88CKe4hqDYWaahSI9SRuaIBWS9X3bD9u1
hX2PmBdRPqq8ys48ZL+fb+BM//UtgeRttY3fFglxZM+WNdwd+XCULyUhwpNx6P25+mxnWNRef2Ne
WnNPucW6W5Ij4zOiqsf82vDH8U5vSAyGhJniGyja/djnwb4KxFO6edojIhA9HPla375+/BcWBff4
z39aFAQJRC3ZDCKxCfeK9MqVsTFuBSqSqjgzkHnpECdLW8fIxV+mOk8YxY0XaWHqxAgUzRXHOpce
+tITcrK0bT7egHbUsmSwJK71WeGMU464bjujvVgUNgFF5NXX/7tLdrLI1cfQszXws4TasY/8WXcv
AmJconnRvd3rh3hhpTuFE+YeYBMUCyKRNJxuja3VQr+2kHRhSzqkAw6j14/zI+7lN5/bf8BGBuUs
Wsf2yEjd+qpsVyvq3SaNDXQo+1qztJvR78Vlr49vDV78W8+VcucZTfsw1qbx1MyyYhdpPNeUGGHd
YMn0B/0+m8s6mUJXS9ukylUf5pn4uBWFu9+GivhhqROkp4HOWcdM7LVuOOTNUUTVSmc3ocam7zGJ
t7gQvpa0YKlwsU6WGOqTqcHKpXu5CseGDdDi5vKu5vbuUtHxOcZgcCXGnnSR3gRQ7aafyatVe48a
NH79gr30uh5lhj+/LyTDNygZTKoAv6XcR+Zehpiz3Mgl/y1GguYf8s7Uk06b0/2kKu1T1qsxsmSl
n6n3XnjWnZPpVTMhWN4sI0t66WWYULb6/WbiuTRH3cAfgV0wxII6Pb9+wieRAH99lpyT9dBT8P+G
VWQJoH/9xnPh3VhpvSVt33UXM+7Xw+D2JlVjb5IlNElS6+kJShOxY1q4GJiX5kOQawFJq6LDINTp
e3teEC1Ke/vsMmo5jghLktMrM6YMR5+El+bMa/TSpTqpjIMJf7BXjFniLUu/I4NeD1mIVtxMzkdc
eMXdVtHgeP1CvfhkHJe/n1bS9QgPki2J7aakFrettT/o1bB+8aZ1uipIcLqcXEEEQpXn72chG9Rg
ZR+rgoDa13/BC5sv52SdLUVQFJo+cLZHmRj5j1okC/hgr//pL01iTjMhVN8FE5ikLMkMaJ6baRRJ
s83dDjczXq9l8a5abTGRmm0lob8KTyDklzMl1vEa/maZck6WXJ0EBqgobGN0p0LSMC51TDJFAcfU
7M6c3wtLrnOyuaTpVNrbivPBW1fz0UrN5QbJ29feB/Ee0Ts512/6ATn53bmcTFz8lQwxsLd5IjzE
HypY1jtr3uTV3A1DbDapefABru/nCpUkuXbFXW2OOJTdgi2f25aMMejtI5rV1t2Uedbl6ph13Hvu
uRyyF661fbLCITa2htXnc111dXmXmrSDjc2sGJk4xsPrz9JLhzhZworVb0a8mkVC8HFw+JHTkIMw
eWuP9jlE7PGP+s1VPmq+f34be/gEUBQKDtGX/aU3G+hwNBHsTUcGuOcKk7wpY9wxM2rPfEtfOqmT
xQYRrNpafygSbh9mrsUUlzyyfWQjcT2zkzqJy/1rMbaPx/5pjUEenE12FdCh8rT8nhasPExBZ95W
XddGa6ZZ8YrP8T3HVRcM2fPEXPBiOZm/oT+ux3ixDdyW3mJHGySa2CatLKKJMMRdt5wrn154kY4a
/Z9/4xgoHDaFVlA+YdcMZkdEa+mt++Z/2TuT7jqRNlv/lxpfcgFBu9atO4DDOWqtxnI7YVmyTdD3
EcCvr+co87sln0pZK79xTTxwpoWAIJr33fvZHl0eH/fi4feD6LXrnOz5Uq83bD9j/h6s1aWZXgON
b0NUypTTYlljG/79dV57rydzTwjure16N6d6O5P8rpYiMtLQSAZd1W/MPa/M3KfBNC3dwAlrWXum
lE6TbQqd66lv1uTfu4GTCQfTPyrtOmzOBrzDEXwkN0ltVohgpWv/b13iNJWo7NtJ4PNtzoomo6cE
1eEd+N4bZLz6jeX1lbdwGjuShcTIDGvFTcgwuOlKHJhhO2y3StVvvYVXBtSp08iQJM0RoE0QUZ9O
H9PU7BBil9a5Z45dhBR0Ov/9w3plV3IKWuNXH5a5FMUZOsv3GLvfZcXoRRZk7p3qUkAYzlvos9ce
2vHvX0wXJFvoTSOOPiMUFTh0QyJq4fcWVQQZvjF0XxMQnJIpp8xupqBTxVlRoOODh5lemEtuEKvc
EAilRzTyx5aNTXkhyUsLxy6REBdDje2VwJo39+WvvbyT2SCQLmWBhmO0bPtuiXQYTIBGXMv6moLO
6IASFMO5slPM7hAPv9Vja31157FrMR074mlaDX0Rli58+5IzB9K4imME6UsUUH7/1p9H6t+sSKfe
oNbIXY73aHbF3Ecl/vP3qzPTuyd/0R7KIQGi4sRIDxH1em0Qj2KFCjCZ8z7MZh05levukG6tsFd5
jRp4O91ev/80Z1ZwmFwoNKpOlwTt5QYIQ2dJkRUgLUp5Oejxqlf1GLUjNo2Z1FKTbuGVWjPvkycD
dagzUe7nbLjkDfYHNRn4FvPMfreY484a3pojXlmRj3rtl4OxAltidxYDhf6/fV5YC+eUsEB3aw4c
Fjf7p7EdA84HXJO/f+LEp/Kj/+6Rn8x8KDVlGSyyONNbaCJ4ntvgMu+J4oUMUmKSXMz56KyqvDDu
oCRcW3mrZgr31PcS4eb5juMjkhQMpWwzc1ZaEAZLx4qqCzAHgytC8iCZiWzX2KsBcg22Z55tjG9W
f60rsC+4LYz0MJXBeG7nnAsivEvLd6lS4C2SVfvW7Q11g6xJvK+EBfEPitJ32TfSIlpXVeQlj7l3
rWlD5xEuiVnG8DPTmzo03HanjFDfw3Hx1C7rvHbeG9kTXdKmxRGR2u+aCZBGxLGLHgT8wgvgT12x
C7epx5EPrnbnryYK9Zz24ZIA5slktAZ+dTZvC11Bwze2aodjtfSTdMSaFAUAdn94FHJ2CwFxEBsX
MX4ZlJl/C6YAIaXRD+HRo+zC7YCWmn4zrXn5iIXtfvKkvnBX+qujFd50mcJatYHKjZxBgs1QK+Ht
8UIq2VWLuduEsiIdFaXgRLqE+8u/z1VlXaVFlrox/OF03iGSGfZe38pvtj+M9DXTAqmei8VfJqJx
rM/u1NsXFbjeRMpg7A9m3VCqADeL/73UerDioEv7M2FwO7kmbSIOWLrkLemJAghYOhe460Wz/GjN
blL3KCf7+8IvFK3yIITqgMglfOrTsRLx5obVWWY6ot01lpdiUOnWGuqByAb9bgqN6nsD6vRztXIK
jQwPkhAEKKf4SNodRnYNGOKTzqXrxwsZUuluxtT+YcK1U8Rqy7rHYl75VLayAj0wZKs6t5ZCzJFJ
Nz1Gk9DbeyQ6M0N6syHZYE1rqogBqT+vltVmGMlU8KGz0/yngfQpP+AGq8udX4/p2TI1BWijoaEt
76zIMCJHi+JIRnJTGC3ZNJMsUq5gacTQoGGa877YcyJxsRc3tbMcSk3AihBK2AlR144Tu9LPrzWR
rRYnNW3e6UxuPiG4eK1yO5QfMgH76TqwGuwRZreY4lxtm2lFJZyYJmmxoIXn/Wg0j/nkeETSzVP4
VfvhPg2oe8fYotbbIFxX/GtV6B8Ubm8BLMTRceERv4t3rBqvNNDwck9Vq/+yqjz7NppbvjdUVRyr
WLKIbW80wwtFO62Ne0Lrkk7TBr3QuQWnXlDpuMMH1wVnbO/ofAXghqpkHsDZRMzezmNIUtQHIx0x
ZvJV+BeFbUFlLZvGJH4MfhiJVe78OZ17dUnLETqDHQxuEdNNCt9n+WgASenoh9LaDofinkpze2gK
w31S3trtGAtGHc1pvVHrK/v8w9yk/vd2dksW7YKQ5ngJx/GYM9q0qKR7OgX7Key2jFk77a4zveTl
XhjVeJe5BEfFAXUPN97KkIDcIRhmqBNYHbKolZuLlmLW5YOBhQ6r1WjXH5BEw0RdShk8govkpFlC
3dqwKhz1OTgs3ZstOIr421J51a7wp/SAWG6QiRGm7rbvKSa+q+oFyMfCDJJjmdwspppOGbhLqhE5
GdwZI1mF0Vm7SuAaSNotgE1hpt0Dlhnk3sr0r0qhCfuVYT19V4r8Jqhh/rZf89CkzWNpmiCOA19r
A4kQRHbBaAgnRZ1cTPpaOSOYdn5eENtLmp0N6VjYF/O8dU7CrSMb7ORQfQ9Dpeddra2ZmIna/YJb
32TqKqeVJ9QrFZwLB31UVMMRw4U5Bepy2QgojhDnuDcmMY5ZFA6TPq+hz0BQCXP3jq++R0Iow74A
9BTOK1l1gY7bDRbbIaOK/+i66jqo+4+ZSS7dziJg9XKxjexHzb9nJCDmiQgcyG+c2hdPqcwMwExF
12GI9Wz3PENe7++FZJ5KiNGkAwsKyb/rlhHCUmseq55L5TuR17OgAoiaFXnw0HW+pSM5zMCzi4ze
e21ZfUR1xvycrrCOz6Y6velz4d/UQlkPeUu3EbaRbKPe7jyGYoGpFqgVOHe0V41zVdFtY6B3Or1d
zMp1ImfqrC9+G85t4o5IjdBS9Tdjak/kWK8fECweZRNh0TwY5WYU6Crl+L1avHaNiXAX0KLmsv5a
hRW/XEsAmkW4sDNcUGGs4W0zZHdr1xo6WvLABPs5lfM9ijR9Lwnw+kog3rgegkkYduKV7jCR8ZST
H10oMqcilnST9lSbmWcNj4AIwKp5xFKoHra2qd91oGLwlZrZ1kVNo/t8txipoWKPgXMGP22Fe1a2
OotNf5EgVfI5F4cOQ9qT5Nv9wsYAJlGN3rhDZjemR19qNmxHvW4JkS9MwwnBhZ+eO3NDsY+O7nxF
X9uNEHIJnMK2ESFYu8rV0AH7cu3x/v+EioHBriE4qKaoP6HX4VeDBdZ9+v2G6JUd2HOJ98VxoEiZ
JcFEhAdYNGNEGNeTo6vxJmTuOq8zqDhjwEpDtnX4Rr3ilfPHaf4nU+fSyOMFWY+6uxIh8E/Oud65
X+VPv7+l16qSzyagF/ekTdChsG3Cg6+oijVCEPtey3Lv5db4OHk+DehJVbuuHoezfKy9HYELy+Mb
F39lf2mf7C9NVKKeQRXvoCz9kLmWGa9KYmbBjBvbmal2tnLzBKRhHtnMyudwF81L3Wscvk7Z7ASR
OvvSVN9+/+u88nqfzYIvHsWy2V3dKe0dTN2y7GTK2w9bM74LCQUlRY+U4NTMSTlkk/LGFV85dJ1m
vLNsTiUB9xgljKL8aOMT2ol6Yc/BhHWOav8tlPwr4+iUFw1Ak7Ri8BsHuB9NIiu7umZvqXadnZd3
v394r13ieIsvHt5WpRD1Oj84kCxD9SX0bqplReJKrvkbJ+XXrnD8+xdXGIvaEgbNo4MXGB+mQojb
orLIsHfXt8KUXnsdx2H64grwACp6Zg4NgLy3Ew3R4bJdWmuPK7Q9WHPwVkjIKwWMZ8jui+ukxE+P
nQSGl5XyM4fYcwitaI1r+b3P2/W89Cb/DafWc7n2b05wz1WHF5fyhmowEeXLs3TGsdm3VXbrh4O6
odPkRds0emfCm1GnjkVzjQdNxO2QEf4u5bITLB4fwyr8CZ+PPUs+lVcqXayPRa0FHh+hdzYnoyTI
UC84UGhBdIPVQBPtJXaVe7cC0O0+9+m1etSlUaw1/rk2iiGeVqdODLqQ+94ibpbkg+omg2x6EH5X
XqeQleNxXvWVMrolkb5Zn9cVhD9dwdZgCd2SRhfEaCBV3/kzUglOopCttnF9Y6C91ol6/vsXD63P
qgIJXWUceq8Zzy32mQlkMgkOdh53Tkr0G1Q4jLZlaVyM+WTeS8tiQxbIt9g9J7G9/79O/Txbv/gN
Sjvr7SGt04PSYyggOm7VDV1CAXgON8XBt7ze3uG8Dy3UhuP4Tdmq3nmLNx8CWKOcINbS2unCdd+F
BfXpN0owr0zX5mlnQ2bj5BBedjZUvXVoctYktJz27t+aQeyTnz6XlhEuKV+fi0sgbiugZ65Ypz2H
4LdkDs8L5998DqdpCTMGXynkVp7Bkwh3vNR132UU2MEmZQQFoM9ti03jre23pG3S7At5PAOwO5C2
tr2tF5XNwS4NhuywabAQ9Rim1ymJoHuKFXgys/C2darqrpzap8EN8/3vn8xrLa9n4euL4SDbNGvm
in7Plm4kfSDbi2tQkvs/bdjb5N8Owntagl5cVavjnoU5rRk7NyH0sTe+FRYESiSyfHqpE753pOtG
9hhabwRgvDJt2idTf5ABgN6AQ5+lQeffhR7sRRJY8tgON/xtg++8UcJ+Zdp81m+/eAplZtZl5tn+
QYbrLZFL7aEkGCWC/pZGvET4Ibgafv/EX7ulk5WgDhSE5tZOD+awqKsVXVjMWVHv7cDEd4jZ489H
97+wixewCxL0Xjz8I0jrr//47lv94z//4/bHML8kXDz/738hLrzgj2MsfeACnyfLxDzWPjnMTv/5
H0YA4gKHImHabkAGtHUcFf9CXJh/gMTwAV+EWFkIrYAU89+MCyv4Q+AatckmsHBzH9kY/+///iIz
/ZMvlv1ob/+cOl6SJH6dEsl4JSiCcAwoWD4/NPDsX7cOErizkZHtmPQmxOaudbcDPNe3Wsq/7kz/
ukpoQ3EDOCW4pV+vMnTabmENZck6dPdgmg5dmH8j/PsaO0e4y0t1a4j254u38Dd39uvX9uc1wX8R
NAD337dOp+Um6JpmkCNul5T9nMkR7z4L5vQKUu23RSlxvTS2/cbKe9zK/ff0/Oc1CenibQtWTuu0
HQbNK1vbURm7zsg/WaGcoA5lW0TwX7X//d393RMNhOcRhhHAATxVD1qtm/tYaYzduoz6Y9twRhaZ
Wb3T2KewF6bWmTD1tF/ZGr7Rvfof98j1bMe1fTKMSJR9rrm/mM2YG4VbOnafqCJQHLqcyXpft65r
7soUfvEbT/R/jE++HTKJTMsVBFOAHvx15FBZGLLRclCbwHqLu3xU+9pCQ/H7p/m3V+FKoF4sImLM
k/PcdHRiVIU3JHO1pNeAM8AvSbtL/tlVgHnaAGX40lybJJrTzZFoOtBZeTok1UQ9E1GNsbctXHm/
v8rp+zleJeBbCzxyUph4Tu6lswjVaKpsTObpSHCvLf2+Bc1+0fVWevj9pU4fG5cifReCAMksJFOc
8hRKcIyuQZs8WdcQw2tGVUfX6i3jw99cJbBJa+cFA4MksvnXITCsSzUHmPWo12JGMMwZAxkO13/+
coj3M+HYC1tAuTw+1hfDmpWyLbEFj3CwA4/mSQFkag7+mUSLGHD4o8JiCjxmsMNMO9krrjAZ+noo
FlSqIZ3TtFssZJ1G77wxPRw/i5cTEeRRoh+OkwNxOYF/qiPlJQwKQYaZ+ObIds9cxjPbMMsvmROA
PA7gg9/+fiicnDm4M+K0ibQMWJkYc0Ql/vr8ZN2i3UTDmeSYeKKqpx4zWwb1GNssLpDCfMscBDjb
JK1kle4IuwidMUDkt8xUFrX+k5snU4zxwupokn/reKe+nNHxN4UgUSU6sx26ECON98hQm9+cdyj1
unLnQr4Q9DoLx97rcgjrj2lXZcHdlM7ZejAqnf1YKTBVF3bVL+N1v2i9fXZt5jr2yVZQX6AvlKQz
iHpgep+19vO40PZwD78WdZqN6TGL69bZhrOq0N3tiI9Z7RvdDVdme+zILqS3Ayu0u/KBOG2nPpMe
XbBDTuslj5c1D+RO1aTPJMU0k8VpduDnkx5bF+1BrYmXSIdiS6j9b87nzOpHynfSA1UP5Mkp77VL
fNHlWIKfJs5MQ7P3p1rFtLk0lLe129Z3Vrm1pXEJy20KrnxnJUWBCLL5qs3bzYhIPgn6eHTN9gPF
asTOOVKIJGzclHgYUoIuC0Axxa4kfeBB535QRDrN1qt0Emb3vQnq2qdncvxkvTL34SXT9jTjbbaA
8biVJKGirabajqbFo4Ar9Ox/Gv3BoQ1iT0OAcXgxyVm0pAiwKY/ubenQGY/9wXAuHVY6+H3bXBY7
k6rQvjVGmcVNBjsfU3SPCkXktgtc0jFal76cvUHBGxf/3qz9hiS15fhTzHIJhsTgvmk+D6HcmU7e
0LMd0/GpmMiEj/Nazlnimkv2VRIfdx+ITnwlJQ6ECkgDRafDKasZ46Q2NQYJ2+rAnFt6uRu7Tn8Z
ydP5uTkNKzNt989z7wzfctNEX13nOhVx2tIXgKW5eJ8dVAeQF9IQoWHnjP7V0dRNhIkRGDdgeLun
UnVCnhVgyrb95CGFAVzj+TAccYhcZKA+YU0QZthGacuwxhYix71Y2xxmug2A0AAF9m7oveHj2HD+
OpBeggEQXmVn4llLKWESj4a22qYrusNXQlZ7t6i83KlJ1gejLPyvU5Z3n4169T5hkViq+pbUnSJo
70ITd/L1HFrtPCcTRtRDnubaikmTCO95ZbazE6428qRkW6Qj3MLhR7RUnU6Ayh+7dqiIi8vAoE57
AJuzNftyKCFX5aQe4jQhWYiAHJKeg1hnrn/jlKlDQO7gEN7toNXcrjKZFda1GvCIpV/KYBtusgwb
O+8m874jXeweummh3zWS1kNoRqgXI2qcXn019OwaSdNZ/h2MUrzPnPZydMtKN++lbqFvkCrR3bSt
DUShmyzaCbYEPxhbllQP/lx4OW21Inwopa7c80XM5Ts51A4Eg9oR/b6qaAZcC4z1X4xN9WlkTYtl
XoaGpLlrDJ4tktSY8O/NGyy7nWyke23XtfXDzwk2282On15oj6yzI0ViXfeuNUxGrEMCZmKDcvqY
XfeFZRkQAraZXJPU8jnjtUEK5czG++k1DbSdSRpyJLLJFZd+yXyVjIEf9gmi7IYUFyNY6XOZ8MTj
mZCGn9oh6DhemWSKxISaoy5oTasrpYZ+vbDhNTAoNQ7KqCXD4zs+CKKCEmswnWu36+Rjy1K24jMK
JOp+d3F/zI6qP4rBGbPDMNvOlxXKwNcSLurHzZrEl2pbev+QZp1rIWCsParnpNu+p+tkAXUAmHNu
bmh1DsFasLcw85Y+sYvS0Y1WYny+VFqsjxrR430gy6LYEdox9VGrF18RXri5OYROVTkw+O30wRRh
jsTAwLVHG5CmKGIY33yiidT3yZzVfDwVX4UGmOAiXfTy0fvJAa1y6d4i5T9LHbrrJMlkfn/uqlmc
qcpnm6Nq2X+qRp/Oue/reonXzml/QA+EUlNWgRWh5LG+uOQLfK6Hcgnjgh1GF5UGcdrxnOWExBTO
ytfoi9KR54ipnANj2XdiFfbLt83UoxVX9gSIBXaMGi9nYa73WF6Cn2EDQJSpmF1AXKFfM8CCVN2j
yxzwnZK8QafOMbw7uydsAAZUKWQEcsMoIsUalNjCHucEzYu8JaeRpmG6+GCw6HoVhF6Dq3qcp9E4
RibkYc63Mc/QmYoQcUwLFPt9ypjPIryEhjrkQ5UhkhPtXF92lgNIRNm5e5jEUcq0ymquklQO/U9L
5kLtqFG3e3/y85TiJ7XqWxOa8p1wO5x20F6f8CJ3t4VxjDPxOxwgEWnvwzekIQN6ibkwHvSyrZ/p
yk2oy1Aob1Ftd+J7xhq0nlfmajZAjOmFRAgxVne/Oh2GvUaYeEatmcjeizLbnCEiPqi4VUiBzLgu
QJzBapSQB7zQ6CEm25OOeRLdfYuGdoxsU7ros4iP+xn2pIBBK2idJpaBsV6Ns1A+GcJre2djzkF/
kYaWpMjsre6Z58juU5AvLU3MwUI20BNy8xFGnU3dzm99P5arWH864yDc3dwQ/nHlNAQPnxleRdJx
tyEz2nmDeZR/Q03sL9F6m/dBJfm018HzL6zF8ECfyLW5sSbyOkDZ1tVdCNfAi+upEt51XwnfiICd
FSlGPUtd1nNoAKaWMiXvB/gOc+1sXg/QrZ2oL9PxA3NOKSIW9vBdQfPFpAmqvB+9aetDhaj5B5Zq
GtDVWhXrIWvT+b2aq81H0oSi+9oP5YLaDOcqoRijNr4OTr19nk1/Q6TszON9KnLnxukXYmC2ZWBl
CWR1vm6KdarxLDqjNTPdV0JhzJmqsEMSrZ1OzifPbu2nzQRxP1d0VeOutO2PQFugg2xDbtx07eqN
kZ8L+cNhC3/DNsB8dERp91HNz5ZwmRgOuy51zEcLoPEtvqL+B3s7h8yQzJ2QdfRVg/zCHGHOYXBJ
piBItx2hMVsd9ZsjgAqnxoNRW7V1HtpHc/7gb1U8a6ketzrQPRFdmo9sREdynvYTqKTFn9j4lQHR
P9NE/Cx7YjhZDd18pJ52Wt5zwNy2yCs6571BYxwvJwkiW6IHs2T75BnrFjmCXNxd1ykkTKGwex15
OizOx0GinclH6htRsBSMVxLXgtvKZ4aL2WV5XQKBsnwoLJdfsrSc6rG2LZhqSzpat2DONiMm3itF
7jjozQEKV+QUisXamDu61OOHqa+D68Gp1v7QG31aJU49whGbt5QcuqI20/nMYN+QJ7wqnKdOnSpv
l5YU+llDof6yke0aNIkqJGZmkgHc8ayE/bZzW9yGieMYMy222esAPjWtRFMxDdD/usUIpniR4/Ix
o6cy2dAB0r6GvGOXZKW2ofYyIrsa98uE2+xmQvYNG0UXbMTWeeAD4Okbj6bZ9U5kLLr+MGMTvqsm
C6HL0lvNuDM9W936dWalCelLbONUU7b74RhmRssvr4p9IxfZ7s1yw+si+pKsWs5N+KR1qNprIJiL
TYPJGp76QQrmDKIjCzbK+EcIYIJOzuqOG4eYqrD+DmaJPBvVOc73NgdEHPc9qS9RG7CNSgBV+j4s
G0O1kYNnwNo7SKlNkhVGGHwiw5K3L/vev2c/N5v4fJv8g+J00CdtcMyjbBF90utd1iZqYDA9gase
CBU0oTjC6xhgqnqt/OHppblR7TB+NsWwfOCp1T+grPR2nBUpIgPHl93jNsrhPgtTyF2plOyD86oJ
v7YtRbtoXAdIDc0qwnecftDKhF6Lck7nBaIpAifAJ9vOgtQjFRDPdoVJ7pJSa/1g+tTdyKDp/Y8p
LejvS2rXHu69DIOCCpiESzG51XlGBBTTJk7uIzfcmK7teTDdyJGl/x7EqIQpY/RALlwjr7ZY5Gnz
1Rocve2qeQG45Aykx0WjVYWPJLQJSDaVgo7VFvPyge/LJBbLaJafEpCVS9V9G795otLwaDm9McXC
JMz3fQ91RAx+zUxZLitiSKNYv3WzDlSkt2L+svXB8NmHJlsSRGiv37MFaWAMRNO6bqzSvDSEvT64
RaediIwyu72cJqPwk0ZlwfcAZuaFcLZtZDWy56+zuwK8sdMsvQKaRv9wdcUD1BZ9Iz2PyDbLL/pb
Ce5gioVtCPbVnEPPUDrUP0N0QeCy1EiTH+jT8knCQxNR3hDvBGe8kYDZ1CieZkYCp5Gcmn/k41j8
lmelcWO0lfqOhj40omlu2NCquuCFjRk8p3rKgaA1etAPazP7D6o4fpl1YcifAcfV94s1V/JiXDNk
qDrTDkcXZNb5bp3a2iY0qj5mahprc1c4Zp0mPqlVyDozrRFEaWARJDk2j2Wwqo55zUOHTvLgUctn
rsMaWUS8qahs0mZFges3Ty7xcBZqvSFgx+RNJvF5c8Y+xCXu4FvqtwU+jCALPwvIYSMLJ337ZHDr
Y5RXacNCB5UWXqzaZxNREJp16QWNQq2YpsGTrgjcJDTQGjivW5V54XYDYSJ+urafQeXIFSds4OCz
Do3ZplN7TCoblMVA8Do0kwgkA+tDt1XeXdEWa8V9jEO5awdhfOl8Pf4IezGzGWzL+eZIa+r2TNT1
jeyH9ctGxtoHX7Rovex6yX+mQz90CQ6N6UlMU/ZjVksJcK/ZmmlHRHmOuA2T5M+VR4rCWx0FLV3q
sWQOtvNeWxxr4qFpj6ZDssViNGTqq++F8tNsOkcQ1pBRZR8bKGGxGUyezawTpvnem0c/26VFKK6m
xqFq4bHdtmIyGraVxUuE+gJZV7fEgczA58ncZY+AnJGSxTC1TpcgbGxXqH+15CjWtsewzefgTfs5
hHM45nFS5wSW3z/HdOrnyE7Rd0h1VTq6fMjPsZ7Dc8Sn/xz3CSSN6M/tOQY0e44EbY/poD4nnDvz
mBhqGF0xxkRnECRaldY2MuYzE2n/c9ioyqElxv1zCKk7bAW6f5JJnWLsRUTKgXWMzCT8b2c+B5lm
HWEPSfsccDpzguHXeg4+JakhA6adh6O4JmMh/eAUqW7Ew2T1qWd/8LPJ3HaaPuww59G8BDJ42CYC
fO+oQUgBm7+ZjliQYf7kH3NcQRkS6WrABHvcSoesAjLBx+xKoURicXgOg0XOPyE3O0bELtJaJGro
gNImVlhiZJ3nSFnPO8bLNplE5F8Tm/Dk2QUBtAWJBysBGAXBtAAq+TNUCK6iMF+IaWvX/qNhHsNM
7WO2rUmT830xgi+LJ9CGwG4XIgPReqLvRxC/XqliWH7aoWF/n4qGhc5eSTbELbSMoF6eA3ZlURC2
i/abrIzK0gW696LHT1F7pb6dhLydDAvZdlfL4RYVG9THbD4m+taB5XxeZoOESTx5+L/hp9RNnLHc
wPwaVukkTANkBAuA68155lde/9kq5sAksrdBQNU69coMONK9Slbf4k3BKiaiARU5+E3mDsc2c2zF
o6+ZWiqgGYIzYRoUV3XRpIqEvADq7TnBi2qYI0iPSN2CWS6IkEkTquwoRan5s6lY9eL2OVWuL2Rw
oTsdDg8oWef2XdGINthBNamoappEW04X6QYz62GQejkK+NCB1rutpAIItXFy5rtmAZN62S2+nK7k
Wqsh35notFE0VBuD8pip6iEaBNTVGR+Hyd/GOzF1jf4ajJ5Xvcs6Pal0r20SKg5klIZsCeDsmBed
73YYSJYGOarBF0AzeYi8qtnyu45oOJLKMGqH+9kXFgfLaUXqauymVC4skFBSzb4GmbUpghUQ5qWY
6O0+HAly9dQUUtmwoSlCfgMs5QdZ7JrUFZ5Iqw1JwabVNPCwTImAcU/qZIcMfhZL6EduaQxyH1Y+
zgrfrKofxhKM16rJxgbd8qyRN0sbe+1hnUnoSBZUprB0iAskszhHysN+tmoaKjR5n6+TGROkV7of
mAMLEkmMzVmnEg/FLBWa/I4J1OJ5l279HZYuSeXQ8xoqhJPb1tCNt+MsQu2scS+txg+rS9PuCwB2
sMPoFxUjz+Ap90dLxI2p0HwzoPOlv1qCrNcPrmpdElFS+H3idm4cEwa4Iq2HhBmi0IUVBW1hzBBS
YLfm71msxvIjoTceblJiZCWGSrcvPuCro7mfij7oL8vBdfP7pViAEFreIkJO5AhYL5d23RYOkfOM
QQPkOLX/HTrM1iaYE+GnJ3Yzezg4lj2hQv6ZaD1DnJe0VmySm8Pa/lynQ3pPi6dFfL+MIqzyQ+YO
Rbmcr9a4WFsyKW/JgkM+W5OhsmiEXUatuATBn1JD5pTkk9NsjpMJ3kl7zLDR0nXVcKX9QbASK8Pt
vTLJGP7jlnh+TRf6zxbV/6oGXqgGbIeezOsZGR+GOZu/rS+FA8//4l/ZGOIPk3aXTw6lbQMNPvbl
/xIOuMEfDrIeEthMm39ihvTL/iUcECgHAsoCIWoSjxyqF4lXhnD+4N/QFPrXD/X+iW7gpMuImCF0
aL24ngX14pi/9Wu7B2eHchxN9X6rG/PLWLnjfgYA/8B2DbnOiyfzN538k173n9ciWQsNL7cVhiet
udU0yUvoS5EA7CXfNyWaSdl+sKdqNh9muhbvy4JYGXeQ2xsympPW459X5poWHVVkBKci42ARfU09
SyRl1pNl69ZUg+HM/P72/vZRCu4PcLFJV/2kxV078yTKlovkbvAeJTZh8+q6fEs6dtqg+/NeXlzm
5I1ZCmU7sgtBgUHl7+YGU4PuB+Ohc4yStSsd50O70BGhloOpiKCET6AX78C5Zm9oOk+w2t5fv4nj
PGe40Dk+aRVq9hAy0LxPHZux2I1xe23E+YE14WDxJyU7vecAEA1xFbMZvgOEG9ePHLMvoF6dv+WR
/dt3TF7Mv36b439/0fhl7s09gKUiUTprd73rXhlHfOw/e8ecsxyyANyQF4yX+BSw5zir1inA7QTa
obunAFy9Q8uAHBU09D/TMjjITC0ycDzasSgazFPlrCPGrLYnZnwK//BvSxYWOU3+7vc3JJ4peC9a
zMfr+D4qBsYsAg0+y1+fm0nGXQeljJVloI8UOcYqNwC48zpyepdpcyDkQcpDlwvnkQjFcIMgnYqO
bhK9fuq7HEvUOfoSyhiu1hxy2FSnwMZSjER3per7DOcy8pMbIiXKLM5FZ+UxvTrolByJLYKUbdsf
L4cqX0juGmmN5FGDG/JuFsVR2buu5I23BVVZ0GWVHVz/F3tnslw3kmTRf+k9ygAExkVvALyZMylO
GxgpkpjnGV/fB6qyavFRzWeqdVuVZaZyUBCBQISHu99zs4mZ2cVJqbsJ7coXVmheYwF6FqtzEJOd
k8nbQNExudwGo7IecrPXvMHqph/m0BaGSylAs7xRk9p0Gy1/3JRJ1NjbsB7L+BbITEm5YKjQllgY
qtqeVOb2vV91vn/ZCW6wGyplOsCcSe8l6nuRFP/MuLtz2xxQ0swZGUa+PXIWK+SO6KWljADRUiwD
5227Gb06yJt402paRE47s4JmjedzqLpyVqPgwJ6ZaDQOkauVZClhjjdW6FShL8iXgwUlaxW1uzHD
xxJTLAmX5pl7Konu1nrTirFULpHigPzADqJVoeX4BUWwVIm6ld7J0jlMbava0FoOSHQwUuvNluMR
wYppj9YhACxne7Y5Nf5aEhZtB8nYpi+CTqFuVROaTes8GjEoS7B3wNy+rvIV5tw5ZvF+oFyptUpB
wDAm66pCsHPVDsK8phBivOp8I4Wbpm16A0OM4GSAT63jeCjKyPXx7ug9IU3NRzgS3XgEXFwm6hE2
N4j6cLhLkK5RjTKGmUpXaGKTHSoVWt6+VNOfnJ9kngalr54iLW8zt+GadZcFEtbsS2vFT8kPogu6
FiTf4YOlzBrCsjZXpRkE1NbaIH3S7BzoMaEwKlbaRsqPhPrsOU5C/s+ANPJVmM0oCYdoDGpXNbv+
cpjK/GFKZTbYoAyCy0gIEocmFZ3rxjaU2RF505fAMqT+duzb6m1oyqjcTf4wkoqrpBrwuyGFD3M1
+rGHNVvROxZ48dDRlDq9aMlrJ2Q6rRZ4bB+lbo868loFAE9xR0zDhQiwVnPBw3a3tQpY0+Ni0fyw
6FLfkY2tSU3gDhI4gyzrnAsy9NtoyrQERnsvX09h1qFiiuvSdyP6ekOyYRKa2YSFfglTG3V6RQp6
K0tpXTkaqimq8Iki3igu9PKhwIbjXNKs+ZmSDW3YLDPrEmAbaRWyXUPrdmYqPxs2PEwEipFZ4hFS
aje23/Nd+lTWPgrqHS/tPNHBYmMaKDvMfnyZ++X0gyWVvoVBqIBHp9Y88pXFZeXEbJQXcaAwTTG2
kTcNe4jigPspc7eyJz7quWiMc1/PNGJiQ7SPU29l52WL+boXsWJusnwswQAldfaeI8FDuh6LhHVL
NbNjciCUodmqVGOrVXF20BVaPlxS/qkORpCP29FBiGD2reYiQ6KP/JcWSHyI3U7tupTqS1qFnjJP
SeeqpCSfxQDghVWq91dAIbWR5nyrepdlCQUn/XFRQHJSGc+4iaf6WZRUbeOk4RBNazMy52TdVIGt
rQY6uOVVZfio9PKethUH3rY+XkO+RQ0XdcVERhFilQ91qNGtvd+Ude3MelWjvV56LzbaXNXzmYKO
696esw53PbiTt2FDLgodsZBD14dGCzFYwfBnFRZxPZ+XQdxfzbTNqWDqlRRTl7y5hF4clytdacwR
vCXulyvw/3oFiL6r4q2My8bgijodxVYrzOWFyfjkeIGhlY07s/exmu3Qvu3JBWVeEklaxe0tl42N
gXU022BtSNLS4zb20GIDClEk0f3BpSAXZQ7tP2G7Gq0OgwBESZxAjVmiMqd4BhCs7VBNra2E0u0q
ieSuwtfEGu60BHeaqQnT4caoy0h2Q19XxYFugnDwDNjvDQdBmFrbXOsI0jDA1K9GdQDDU5qj0Feh
jF2oO+dRVQHT44dfZ3qhSgelU/WanGoBpgEVpnQeK3X5gwAz0FZW2PcXMt4wxgqWWGqt6IOkGwaC
vC3TLLh0vCVKZIcueWGUrIaMzOpMT6BHropAT3O3wFYjXZVFrLZ3BtWKwePgFA/6WI3mFrL/aN9I
hs+ESTnuAutQpT3c7cPSHxy+L71w+XIoVdBl5Pe7LoqEtOoKSciO3lE1cRS7jc/ZVqkOW3Vp7DRs
5LdyGcy3ilmCGrB7X79N44RyWu2rOUHjVNUedHXboMeHrn1+CzWt4zPL6oePsknMFIZxTP4eGwMy
BaC2mnZjRjQL7FPaZjVv2XawDeXZFhsQU30IeU5wCarx2LZ5OZ1JodQU7GQoiqlEa+KsEjgLOFpk
tsm69hPt+Ve88/9X1k9XVmK4//vKev+ev8/de4pG8D0nuTHt3v77v3Cd+F9DR/sflmwsTY5LUx5E
BULpf11aTbEYOmqCVuV/dnHyj/51aVX0f3AF4PfhRsm6xqL9373u8j9A3hj8NzZG4PSmawhI/qLX
/QiUr+uGznUa+y1V1WUT6PnRTUvO0y4jP+p795d0Djhvz5FzFTmXgXMROhdX75sf+4/Ht/3tb5P0
h9ur9rkd8euoS6P6bxeMmX1Pz+A7ec+Vc39dOHe0ezmP/OL1/SxwxuXX75vV08PLxeH+4uzlx8ft
j8Pb9eCc+jkY5n/j9a8/xtH9T87UUZoTHh5AsCK/1uEJAaX9uef06wBHFwKVer2qL89ZOI/31zg9
Os/3j/eH13cE3s4j/3/OnNm5e7282V0+3+0CZ3fjXO1ubnZnFzc3Z+7F6mxzs9vc3OyXv1rt96vD
8+3Fmbu/3btPtxfu7e3h8trdfxxuL/bX3uHwceLn15dr5zcTdNw4bRlyYUo43Hvnz+eP1/vt+fPl
8+HxcbO5O5w/Bs7q7OZstdmfrW5uLm8u15fLj7i/vr0+3K4u9ifucL8uT9/9LOhGfl8zdGEmZSN+
zeXrsmyYy9fXu/erwLkjD8E03rzfRcxl5ET8ZbH8cfN+98703o3Lan7g33wonaun0Pl4ebr4eHt6
uQ6d/cs1q+vp6oPVdX37cf/xRhzK/+6vP+5plXAer8/Onl7eDh+3oXP9dmJ+f2G0vnumo2u/lrQk
unSeyVufe9tzb/nz2nFWu/V64zqus3L5hbP1tqeuqstkfTew+DyZZYBeLvIhrPCELMPrt4/D62XG
877evAfOzQVzlTtnT/v7l6uXixNvcvmqvhubfe/3F9kOWkDhk4eWjG1lPETyc5BcUbSBeds5hXz/
/V5z5Av7z2+QnKGBEZmmCOuYNQUjuksJIXwPf87zaDjrGrGlPcXptY/KzFaDSJ7n8SWSBNXpG61/
0DS4q9peml+m5Mcw3gXdXSCiE+aWf9x3/5mOJI8m4xX9eRIg2OS0A4TLznD3ihbWuYmc19erl7Or
l6eri7db2bl/O/U5H4EB/jUVv3Kg/xz0aLnNdJ1ZmGX78JQoeesPJq0KiXIYp1uL7io8wRHDHpT2
RHLrczKPUcmKcDm0FRRdHGnHveeTpC4JyWr2iopyhKlE9NVZ2RBQK+/nn9+/7eOxTJrjNFASgjNS
1SimfZ7Wuh/aumgDy4O10583wyReem1Qb+o4yk609/9xKEMB3MrBviSYPw9FdjKSbQQ/Xlq1860+
B23sTqRAqN/M2Y/vH2v5sX//ZJbH0kkpk+Mm5UoS6/NYZkEvnEZLmqe1hX5pN7q/gieYnliUfxrF
4DsxNPBX1AmPNoW+rnEFU2QTZ9oOtDbNOJvcnG3v+2f5sgqXhzEsQh8y9QgSxNHDlFhGg3tVTY8e
dGMdkuN+GLBfpgil0+MbZbXKPddvY69KLN0jz27/jHOdRs3vf44/Pq1NihPxloFa7OhpzS5EF1BM
phdLs0E6qVedga5o9y9Hscg5qsgdqWYbZOqPIp1GD4GN+h0lrKaONjRk03YwlOFfqY4oiuD8Ldvo
m8hJoic8TnDCGO+H0DApm1eyTEYwJ6cW2sGJN/dlxTOKovIxk/1ftDpH4ZLRGE2sU0nz8kGx92Gl
2C55ei7rFMZOvBx12Yo+rfijsY6+LhtYQUaeb/QQVQASSm6AJNK/3G67zt/FZrNKpeyhsFqn6k0X
bM2WdbaSKmOtjN1WMYatmY4rfZxfhKF5pKLXsehHB53ijzH+y43AZm8DucHxQoKZGP9oVw0Ve+i4
hXYe0P2mdHGbGOn6gedDK4Pf9KvvF9QfX4KQDVRfhAb28W4qK75AVsPEiDwu1q0lHoUVUvyO6/zE
6/7ygSyvQGNh8WCLffzR0uXqn6WiECN9bJlxTuJQpplOmCc+kOMQeVm6fBpcP3gWClnLT/HbVaDw
k6geK9I6kdWbKyOOhnU69OqFQQ8szUWhvvt+/r6sLMpW3KhkKmfceHRVO/ruo1ZC76bUk6ec1Vf6
ZXefn9eP9pt2MdKX+QD48X66mi/Cl/kjurL3/qr2TnFbf9XIfl/cxz/C0TMPIyz8dOBHKO7FrXyD
juOi+DA2wV5cD+iGrqzOkX7IV/HkVLtmKy5phzux1R/P+vFPcLQH96HQwk6qAH1UMTYFoGQDba3q
w76oTtk+Hy8jPg8hDBxoEH0T5xzr+6RYL+W2aQdP6WknVJCk3JK2lx+/f62/UMq/zynDINxmSxCs
VM6VozkNSuErpTlPnhZmO6vC3X7qlUcLOQ1J6kXdQ0tXsg/LH/SCbEYqEp39w8xwgSyxrZGs2TGt
g25Xj/Ow7vQIv7FDWg/bTGu8TDpXSYsqi/ERrYIifrHDiXzYazs8KcrTQnb2y52CO9Msv6m8QFl6
MEXqwH5ZmQM8vOitaEvSuOlar5NTHjl/mF4Kzlh0E11Z5OuPNuUixngWD+LBy4rZfh2TQHsusvTE
pvOHQYjgNEFaz1RN7dhnIVaMrlXVafC0KZPXfd1fm6CjTrjM/HkQogOLDWfJbXzeCUbwHHSkNIOn
owV27ISiQ0rX+H/wKMzXQhJgtfAXn0eBwqz7phoPHoUXcYZ8E1/AqbNO7DLL3ni0Gi2FdApiDVUI
9ZhrLDBCUcKqH7wxSRbQYGrf2tTgzsdqpqYcRMJNJtx6v/8Gji9WfAKWQuWA+ZP5Bo5NA/0Az8Ms
ZSn0jVXsTWQiVa4KBAGpJMnUStDQKXOYeCm+mifO6z+9O8UkxqcNgwj816b72y6ui0zKsyRnVnWR
eG0t+R6NNOr2+wf80yjsJXRZ8JDLtenzuxOQeuS5lrDpygJzHetpt1c440+wT5TjzXGZR21JvqEa
1zXruLlCShHHFk02eGhhBRUVqqPY2QVX/TBZ+wRbcSdMxmyNea3KvyLwYhyK5gmI/FbroZ1R2Dad
OM3uysFcUSQ8AZD7Fcwdry3DMLgNcB+Ac7j8+L/NdaB2Y9JxWnoKdW1MUts6f9VHpbysI9oxaNj2
bwzQtNuZ2zDXeCVorpsxwyVMNvDlpYdMzX9+/16OYxImzFZRoSMsJhQyjhkPtUZztKV0nWcO0KGy
SdAGJ2BCpZhXnvh8l7jv88OzM5iKpdi8IeL2o89XL60ATVXfeX1kKTSNo4dooynZ9gb1K7/Mo7NZ
yOD21RvKGuOJWOXLcyqybJk68Az+tCz0zzPf1n5tdXJceYDw8f8zNXxu3NrsU+jeEIyVE8/6ZR0u
rQqyijyeixKDLp/Dby9aVlI686mneVNcXaZS+1gKyni+OT1TMz5lU/dl81DYOnSV3in+KMSxt41E
G+pYW2ZCJ7TZruRJ6s/zbu52BmZmN40Z9RwwQ7oBPGytv189X/bKXyMvEQnTu0jzPz9mKtldXzd2
4hkTFU5VKs/qrsREugyfa7vc5ouj9PcjftlHGJEQ2lRUmz0Lmf7nESPRjOTVDTaqChF2CXDXQThz
yiTh6PUZy319aZPiowBYox13SmUUimg/nSlaYRAtzjIrSpsbA0qmWFjFmCMV4ZicMt48WqIMapLl
khemDFskiaXPj5brZZBbbQ1OrSybn1FKtyh1PorrnR6Kl7+axmUsnd460hGcNRon6uexeq4Fvkio
QrZtpFz7cenfRXNW/t3L+jWKshRKVMguoEKOAhx/pvBcNkPmiVoAhlLC+KUWIjxxdn6ZN9YD7AnO
e1p32MWOPm3aXgO8uZk3Oooza52JJn9Q5alM111dNSei7+MLAEkPWg5tDjJWmcwjHS3AaVa7tOrp
kgYUIKydWWpkQhDs25ELITnVruUp0mncyKtpNi5LTAif5tKSeqfSuylewUosWleNTDN8zsACvkoY
WMbvVi7V58DW8mEV5lELHViLVAh3o28ZzQGsfAPwCmuk679cBoTdgr5Kom5yVIp8FLdJTdfVdehb
rtyG4dpCD+QgiR2870c52iUAVzAKiSPs41gN4jgExUizQq2MtrcfqvxGhaXwXElW/6REmrYoeRFL
US0z7r4fdXkRvx03v16URV2M9UeVTDkOqarBjujp4kWJObYB2aGmpV7tn4hrvuwUUIM4ONlzZGSl
6peYdLKrHideEPM2fRO4SLaYOg1clyyXlmTpWSGxoP9dtM2TKfCibS5mSL3ZD48WfMvctbOeZx7p
xmo1xKh4dYS5Jz5eRXyZQMJgfOUX0BW5hGMQa6IMnd/bQeZV42w5ORqai8GKE1fuq3mvDFZ5WwFr
p9geBetmcYZvrWZ0FKUaN2bVBFvUxcrD377TJTLniqEBWlk2yc/bVma1WpTFYebZSBi2ETSQNfpq
ceLJv64cRiFGhWyzBAzHgGEEFVGWVYwS13p0C08yvBpiqfq7uPvXW2RrXFInGv2US+X59xBBaiwp
BygA1DdS5wMy+26jRkr+H6wVoh0VjA1fAbHx51GSsNCltLRTYvo+XlvjoHr05Ez/ybPwJKS1GIg+
zc+jzFKP5EoRKfuVkn4UwLowOa/CU/6OXzYSFj6uhBpvhmwTl9nPwxATQF9fhkG0Ll1DBgB5jROT
p7RhuyHnmOzMKDl1c/l6vDCoRmhM1lTh0Y5mcI7aoEB9kHqIqDtPSUZ5qyWS5NI6lt397fJmAyE+
JpZbOmyPE2oJrSW6ao+hR6aYa5iSV/lZPKdJ6X0/ztdHYi0YfNKE8hpUraNzeWgmjWY7ksx5kBiP
5cCVAzJ+E6nGytZbVbx/P9zX16ZSmgDDIEh9CuKNz68NfaLREIowXNGb+5pdApjBMNm5U+ZomLBm
SLYyr3bzt8OyXDiolzrPQiVctu7fYvB4ymPaKVOJDqO8GlaG0kjVBqOS4rLtamghCntW7AVZVp/I
Kh9ddPiyl3XKaoQNyNH3qzT/28DgEXoILaHETjn4h7Aws11iBvEGpcwEtggZupQm0gXtZlB/snw4
8dxfjyTySfKC4yIhIxOofH5uOlbqMU0l7DnoAe4d+J9htgbHEvdw8wXp51K1euXEklre4efTlkHh
VBmcTNy7j9nWsPOKTEMJ5vq6Ja0QF9EpGuO98P0r/bpwGYX5VRVBaoYl9fnR7BjqBXlB3x3rfh7O
6ignGwjZRyq8JGZhnTgIvgxHRKmCIqI+s+xr5tG2FnSjpncWeAEk2vKmy+L7VMjaFg5JdGID/TIS
64RT4NfVlFVzPBIVSZueX9VyE3/M9zktyU7TK8n1UNfB+vs5PLotLtGYysfAO+LWRv/+0ddoRPyt
mf5EN8Rz5t601bG/NrpUiiYnToQcnHOjNbVNG7dBhsyrn/PxbwN2Lh1LfoZUL7+TecybTxutplYF
j0YMHEdSiT8N0vqsvS8qS/vbi84ylg46cLnHsWSONoFJ6uKssDLdDeOu3HeJVJyrWnTqvviH12ey
5uHFKRy2bN6f1yUIrTyTyOxBSZOTaiVpkp2tAvKsMk2lgXkqZfd1uOUroOlLZe9eouvPw41wAuaA
E8SNO6M/wOFpFqKLcmlmIL2/Xy1/HGpJ1lD9J6FmHn1xQYISP51ankyqFkMkvYJ9VEl6ua46VToR
TH/ZREDdcbf692BHS1OJSqBYcMndYOiHdanmg9PmmEP+/SORCudMpzDPZ7c88m/bMxvVpE5qr7ld
ZiIejNvaxBjJtKAmWHr7H8wfGlXV5FDnZv+rzey3weYIBJTaMX8hLLK11qYyShZNOlNp9z/xXF/2
/V9kUcoJgM/IPB0n4Wd/amI1ZijF7JrrcBYWiuFE3neYcXg1XiEnPuM/vC2yFTAmAahCdz5mTHZ2
X4uoaDQXKD2UhUwOtraZFd73b+uPo6CyYsMid/clZdoodlkMNOPiXKLRHh+n6i7r4vivL8JkXsi/
U4onS831/vOaGMNWLWwzZZmbxegkTR5ulGE+ZV35hzekCYssD5svvMzjyyK/9dyA/MNZrQ3MN95g
ueqMgEaeqqGCSYd5f2Ly/vD1UllD00j+hfD82A0YPUotkd6nP0NCiuLCIDM1WiUq+X0hSnQnDjGT
SfoUAyAIoFFCRk+MPwMZrM+TGMER00EWCldHIOwacdjGdOwPNoZOOLbVhn3ZD3JwIiHD1XfZ7j6N
a0FuRbpF3y3Bln2chWz7eFbnZCG4FFV7Vyp+NWxbEbVntPOIxkOjhtwxVxvpSeQFnhtGNpB7n0oL
ct8cm+vEzmsTzkUb3QQxlDOn0VAldA1Sb7erddyPOhFktwlMQQHhqKBpvjVqIMiEcbiXIaQKb2FB
FTrq7bY4WCWSETewAmzRSsPQSeDhKP1DrfTmKUPKFrlKAATJ7dpCXQfm7NNJ02raT43/+DwpNZB5
iTAX7CiAO8TYQQmKK+nMtl+H4CruMuykdnW4dFgUelDsZWiK77ZkK7s8E367SSo/PtMjjLw3/NoO
3LDR40taWRZaQTWkW0zdk2DVVrLxWmgks5yuI1XstE1SnCGeqNAGRZVkrqfaVBExxHHwBHa9RJIU
NDxTI8fiMBnylO5RAVpkwiClIhiY4uIhwRMQp6nY7+64ECZPHVDPFGwVFSYnkBTlpivKePKSiePe
ISMVwSG1GpRCKlZKa2Uem7dAkTCj14cmubOtVEy7HAzfQy3N+TUdTVriZAgn7npRwH1o0jY6dCU4
EcySTLioFQqrbRpgFeYAscR7CeLWiMSurKQrUNkxeFHSTW4bFlaHpqQBDmDG+og8bTF3QKQmDedz
g1HYxmwDHyJSiveoM4wBolJQAcNWUkuggVaoiQFPvzB6mhQjfBJSJRlO3YyqvpNwSey9jv6H94be
rzNiYSZtauriXNarsXZ8eQ7OpGDApkPEpvUSwzhRgZQFZuYCZ9SEmzYRsqFWS9tXsxwACmRRoj0A
O4AeNzX6OSauxnNFZds8FH0ZDk7Xm9VVonYDVk42EBQHOWJzE/gS4FZV87HyUpHLjqsZJycFZkOF
JQCMlcxa9U0pdno0h9AViKCppYNW0t0gYTBXJJbYNShLXhN1TK/soS/eujC1HxDVxqOLDcJ0CMo6
e1ZKrXmgkib9iCpF+xnkCw0K/pcVg2QZwBKaZg9GJNIIxIyo16YV4DNQYrLoxOjmYQ/+yp4HA5CF
UO6sdup19FJ2e9X0UWm6BHiWsa4ArnJlDI30IFhAHyF6Td8bA6mRHWPwC95WIoLbnh3+rp/s6VGy
MMZ0MCfADg2pywBUQ7PAi4UmvjI4qerZmttjEK8LqqNg//pwfsREE4OBaZaaja3ipko/aWLmRKq4
DbiDps33WdpXh4DbJJZIotTeJrMvYtdURjPZGnZfrWoxQlqoid3w5bL9CexXUCNZCe2528ukkx7I
Js36Ou+FdI4XjPEs5fHY7uhdyA8yvB9QRIi3riPLSrV147fBLpkrqJCUAhegGIK7ZC3R3dPvBpWI
Yj03c3remL3+nhrWeGNU+WxAQetrRMdMAQrWrK1lD+uM9E6qrPBeQu1+qQ4NwtUApgeWgG3WGm6b
RtbzrIzVRRbzPTpTmgX2ipploa8zmH/7Xoyj6ZaNNNmrSKhsVMIcTRRvho/kCgJjHnsKyQSaHYlD
mDu9119BWQy1E8bzeM8hZJibrpl6qKYKKKu1Iqk6UloYQvl6tJL4Sp1CSwZNo+t3ndI3s1eKKYQw
3NbdRTNncAd7aBGJW2KarblYv4Df1fjoFXeANYrYL6sU2bOqtj6Ychi8RS2gFMdMw/apa5rmahZl
cF3kufSschH/mI24YteAyU0GTsmwLp7sBMALtrkwaTQ/f4+iCk5rXcxpeFnJdMNSb5qm2xj7SZC/
+EX+LIco+yhZWpM3EpT3W2VaZL0jtBOeu+3v1baDbasju3TiZozvtKoxXgjgq2gtumy4oPqvfPhj
ll+CpdTHlTVNxctQ8VFjfNuIVzsDR7rtuHWC2xyS9DlcHLhobsE8Mhi5dmNqXxXZvsXc7afAGCcB
tyiNr/QqjfLaZr7P9Ri6FlOXsWoNuqnXRkapfuWPkHMdBcd1lJfYsCYbNYv66zD2pWuqstLLJM/D
xVIceMaMq+eMgM90n6Mq7CikRh2VDHghYj1GI/nRUB+pgqC2o9aYJqG2F3nW/SSYau+GsWOxLeyq
WxlO9c8wFJwIgKhrPtBUqV4Co5/YGmPMS1xdyVSO5jxFwWw1Ye72cgdXlfuxfw+OyM7lA4o0zuFN
2ybZtZBbP4O90wjggmNaxm4S28lVrTU4L4rc341j2/wEeOaDOMSRDl0ouapFuIu+jIPNeLVDpL1s
3wqkvl7ET2VqlPVacBLlrhkAK5PG2ni20yTt10FSIiwUnVbC8BJS/6wkkZjdUZKNFd8VhEU6ENKz
xIyDwAnNAenzVAw1swNSy+LOkSQ/EsSAJZRACU6hT7MtCMWKnQ/RpNbdpzhJDEiJ+UkdffaTEMj0
OPJKa4gUe6helQ71qMxnSDo0N65nI4AJaSHG7LFXVRjVjno1XGtGiXSP/V2/961Zn7YGsstbuOm2
tQqksIDCR4fdTCs/FDvHB3ktQAQ2/TOSZ56itsKi2FRTZjYI00a7YNPVrIem8S2WQRDaNbAy6LqO
trjMOlPUZ62rEY8gZK3s7seYzOZbQ1249qQAnwKmpbFH144H62c65OpDhZrvoPVT/Exmqr6UsJb4
OQ5F+VMKFRTGFDlgCdLx7isbzv34vMolv3NRfSaSA20pvPC1iBBIVTsEo34CTXytRkYM8xEm+l1C
hVb2+loq4dMpQwJlDXes165N1VcQyEXnNUkdN0z8aLHppNoDrqqEQk2b+tPGSCDLunoT+LQ0psmI
ONgnrrQw9+CT52mHvo1+qnaimY49Vgn+d31RFE8296/IkzhfCk+m4/YWWnGA86cehPxHCGEToH/M
/aYFp/c+WHJNd+tsSfNa6rLskbATRRMXhHTeNC2YSJp+KG2dmX4R4XPbzwafXbXsh13RhdNqFFCX
WM1W/TPudTy2qTHCFeRYQo0bZvGElCbKpHjfk4HVPIx5bQT1BtuoSWICzMmeRGLDQ6exHB+6Jojg
eaH6xxvWjSQEjzcWODtppQ1tbj6OVRbcmclYDy7p0zoJvKKsjWBHjUOa7y2cao3LlprbvCvzak73
Zp7SB5pgODmHbgRjPz1IkM8RY3ZFG27GXp6Sa3yg+n0QS1PrBUKW5D1A4kDd65metG9aSJDZOyh3
wR5klDCxsC2ybnJz8LfTZsBIgQ5AimS2j5NZJAde2Jd9tNcSVCpPwTyX/ril0FLBKdaEP9l72m+y
5qxWoJS7bCdad5sS33SHsQ8nDXIV56TsRDTb1Ct+bxGvpyIY7B9zltJsNui9ZW/xJBHajSDk8d2B
Gl18W5RBnf2wBozYYGqbchI8mNjUIco1sft8jHOQDjLfSZdGHJ46Vwb+Td3aNVrVV04OuFbmSkDH
kJOUGYhuwTmquDgSAhYjSMvwVuMw0HFx47jcAAHF71apeHFn3ZyFxt6MmrrfxEXrQ9eqIrP/oQDE
n6/gbRlKuQtA99GQN9CTH5lOkJth/275PhThOCqHfF0JKZNpDAewfW+qTZReVgvEf2XWQYdHslHq
vrznMizsdd8FTfTcltS/M2Iiri2Ka0J8CV1g1vV9MYA4WwUdzQd3ViCkzk1zX0ibsDYmoAs9lDCQ
X0EvsRsERfHYdAqfVq+HCna//lwT6Rn6ciEDGso0lGPAwLy+aFeWHVQ2xzb9CgAV0UVzUcp5z+aK
wCOt1n0Bl+HQ+uQQPmzZntIVJDOhvoAOr63zwsgwvy6tVBebto7SJWpsqv4eLYW5HP8DvmEPk9L2
IPVNs/Pry2zOSdnDOI4LdNlpiPNUa0dF+yYnVkKo1lLqJyOhhxdFTOeeC78q3RV91M87FRtklTNL
abLJC6UqT9dRCNX7zG7CqEHYEpv9lSKPRU3cpHVPWPMV06WoSZw7oq7l7g0hh56vLL3vH8ZYZYu2
zEGrPM2qARcG6WzfUCRS8pWYIowEwC5r4QpC3pBvuipUFj/y1uRGYWt6La/nsR4hzSkRQJJVXPtV
SUhXzb354Rem4l+MDc4C636axQ8watGAaTjxzbprkyi4yVQ8fL0W1wHpQHcAEgs5E3Lm2JIWj7Ql
xr161/IS8zWcggy+vY9z/Ktip5qxNatgEEio29YsNnM1Fun11MCahafetNl5EuPdcT5jFZBwkKlJ
v2qlYS5vyeWP1VMnYctz0Psybn8MWpHHhgM5FrR9Cn5S2dj06Ee7oEsW6oAYhLRuh7r88PWxecRl
ecY+QKo7cwe4OsgcgHN6vO2DIbix7bDJcKyleOdWshhSaB9VUrhRGaBi68h57ynJCsCwWcc1ikya
pFwBg5wge6ojd9YSBDZbTj74htcZREf8HR5xl7bFggGcgoiT3o7xHKakEMM2Kcapfx2nJLevoEc0
/ms0K3m4j7lZWgf4I1YCvpCkxiGK5Sk/C7Gw1i96fvD5QtLUYTjPoBpw+7TTussxQAlhO2AdJ7Jt
KY+s/2YoNQM2h27GNcSUUZjEdnOQ3etdKJXPc1yN79E46Hq+zX3GubHklp0ri8iKryBAy3vTqmc2
LmIga/rRhaKA0xnIIgm2UWtDWDbkNLtXQKiYq7GT/SutzLmrR3h6r7oyRrfBhMUfAZ+UvQIkaol1
CGYCLnkI4Nfj0a1DKsdWe7Brmet7Kmxt74//w9x5LcetZG32VfoF0AFvIuaqgDL0kEhR5gYhQ8L7
TLin/xeonj6qIoc1mqvpPufihEQCSCQyd+797fVltN/nkyWvbasDJSAwRqi2rQX1YoNUQ38Wo4as
iwQDO0OfN+1PCwAtB7HemcLMQUnH11Pgw1DbOSYPeV/HyY7fh8oOL2rrC0fcetkvcio+YZGTLNsS
xkXpw7LpoftYwryes7g2tvVQ6/2+X/udQPZggrGHPVNARV4cPdl2Q+48L122H2AENHsQz8N1LTUX
sqCXyG/szeW4WbQRFN1MJkXBdTzLr5wqBZMoUy8ft6netFutHdQfRp9W+qHO1u+8U9sVdp05mBNS
oZyDlJatB94IWQTChuijSArydYk16p2ftfPw0x41+9fkxFUBM3daPjainMmxqVp743SGw4RddOuz
6DJpcVxG/NdOpbb4AgOF7yBcsCpp02HC4tYtqua2U9QGMkqqTiro+yKdfzlOj951RRLbeDrYVv7d
WkrrWvci7EO8SYJusNRsuCdD0mpbE9zDfeEaixmU+pJO/qg18hF+CqCMakTcG4wI6L52+LTFvj2a
ne7Pad63G81o1Od2qoDcTho1C38eVbEcMkUj7ap0WfPEiytAVsxKPfi0msXfXIhJJAbMbsRawDOz
L1oKJt93dMHmGXtN9a3GkMbYNYMyQ1i3B+XrWC3QfqEB5Zp2EJbUcekxYqKQjEOi9Ht4jmBzpkFj
iKfeJINd1c0Px8jqMoiUKNl6ciqfej3tOcPW8guEL+n4MEIUbthQCMwTjgyf6OMb840LvckM+spk
5nqTnT6oaRclGyFMIKX6PDwnFQke3BTypdnjXm7+6gy8a/yCuXNnRBMKRpvImOyli5UpbvOVvMI9
UvulWJmcIHU78kEbEZZN+WwQX7Sk+w6FVD0s7WXZaLj6jEkVePC+flUid2oOq136BeaBgy9DRdAf
KJm6VETxJj6vkFKHr5GbazjYge0sUdSgO3YHuioK3blajM5oIKvH+MFDiiR3xsIiOACXXv110rFj
9M0IAItPVQE/aMUQsErzsrSXoBsVFlttIqrd8B27OuvsaJHM7OYRz0u3TG0wr3P0a4KWYgPQNb2S
VT1TOApZrhESDBHNFm40LRCb1B6098SVzbqMSz912bcRxYHwRLOoxflFDrDP3WATlNlbID7pswLa
xfItN7O+TDk2P0FUSsxKzBxyZyBrjQRx2w5dcjsMUZpvI5a08SZ1C3BCAqY3NgldoxN35U1zTazY
Jn4CbxUnd7VfPpsG1m07Z+7k4KcsehwyhWyBu9DU5a7ZJecpltGY+BTaS/3gWdRSr8yuo7Utjev+
OyB0KNLOsGK/hCmgClbC6CGhUFwbaVDBCsJPyLSQkbHM4r5Ri7m8VZTEzbEB9tJvTMZi9l22XC2w
ORTtYX5n8mJogepuXRL9FQsHMQT6VC3WA6duyniPxUqzbEFFR91OYtbGcUd1KryR8ATuN5nR4pxC
Wn1gKao8UhZy6uqECLbWbr2u1NVNG0Oy39DqXkyAPDVcqxXISCJwPIHLTo3PR3dQosr0LgCsYJKS
ChiKZUKiKvDcOP44Ar2/98rykjRU2wT8ejSNbQqiB/x9B23KlNasB+qgld220b1hDnScI0D5tOYQ
BW6+2Op2sOb0uRxa/FymaTGSi4IGu9gOOK0M0z10lF6u5kBr2qg3nNvI5QTjIwtUn0DkFpzzCRev
mtU1bG8seGJhmEHkGAhDHz4K6Rif+Dw64XdUia/zrtagaymFvKWtlTyGUuYDBS5F3dYw0eMA9hif
D1mvTxk2DjpzwVW/RvQrpVsP/C/NmwayJKBroI33qTbx01NWOdREloxMuFY7MLy6JMXh0C0iUrtk
S5T7LivTmM29Vn9qUboibsnMJBfLKIppn1L9cDf6UDV3U0UW4Iairyo5McgZ3IE+eFfZQo/2VTkS
kPscftXq0AirjP25qlmrYrd3P4EYVtj+iKfSYEGxJ+KPFDaSMuw4bdymMOGSwIF6d2NBD//ZYCaF
5ZdoV5eQdnmwqFLhDAYsCYPsNi2ANQ0auqvJXFvtLeyzB0ljcy676oB5g5WyoTHI5JTm/m6ScjEg
/c4ESPA086sOThS4Ztcm7LUm55KVc/nSWvSybZa4oVWaGG8c9qRUlYOYVgZ5PXkdiSsFNthvfdxf
kXDumqfqXnRPT+Lme/O/1h/9WTdzl8aJeOGz/PNfd8NThzjo6V/8xf5fO1n9+i7Sujr9maNfgX/p
f+5mNVs9+o/tC3jmg3zq5o8UA4rfl8PqdP2b/7d/+B98zcPcYN/6k3Zysf62mNs6IttQjPs/w3A2
T10pfyGtePoHhcMP/G/fVxNyjUNZlAI2BzB7JSL8h4Rjm/+G80nvEuVZk9z8+kf/IeEY+r9RpyLV
p7mEznf0UP8l4fBHlIxNSvAr0xF9rv43IBz7pO5oUbldC8NI5xDt22gdj+uOLRgcuyFDvJu0/CLB
grihtDmiRTJZ33QauayPiLmDIZ9vYzc/lIPYc1PkcQffS7SbzMn3tYJjzPw4LLmv9VC5sDcCsM4X
0B8ipNeuolw2MSJf45cpvlEoBksnDyhiPzd590nKahcRB5PkOWh0JVQjRaV6NzVLIDB1wat1E2di
n4jkc0xT4mSD8q45JvBtYtKxUWwDb2vjOr/IDO/Q2WO5ce3R96jgbfiK18Jw9kBL7JfIGz4uQCjH
VNnmnriy8T/D3kaUOcEmawt2eH9MgvB3CfVPO92TevWrgT0Rf1BWHuwy6rudaOvLBo+D0Q5NmW2H
1tq9f6WTKv+rK53U35u2yZOp4RV6eqjoXwftTGPYiiv+s0bMBdauMxsbW4dYniaxkzniUHugdbDb
ufFNquLk4N5DmMu1iJ0C64aHWK99fCuAXea3TXJl1OUOPFeQZXeomv1urdU1+aZbjSMUK7CHz5LK
sqo9TkwcjMHJG+J+zc9nAvwYv0u08zW71MYW8cYxPigzYEzKRBlrHAvsdm7qbU/6ET896kWse0pO
t0wOMRE3QesSvfwZKduJhz36p3UA0CTyjaAv0/V1gP4QoqDFcmg1HbodKTvuON1PP7NY9T35WdbD
IScUhi5uOmxO8NArBgWT9R0+8Gf0MG++hz9uY/2W/7iNEiSHPVMQ2mXUI8CwbkgrEYMQZlr6mTl1
In549cQnKte6MQcPEzaWBVIoND9sIgvHMPXcE73I1f6QH/znOjYC+RcCx6nswUu6hl4dRrbXH5LG
usjUaFPQSwzxdA/dsvOuYWES9F2S2/m4KLd1PWyJKHVqJQup/6pRYWYQpf1YCyzvf1YnStRXt3Yi
FDOR5Q99JrsdXUAcdZyAJApSgjVFH29Jge0HG7HmEH98/7Jvv+R/RuRkQfYU0tjNwEtu7QKTJBhP
OrzjZtgV0TmJ5uuFY53W/1zqZInCV4HUjeRS80QEjPlbXH57/2HOXeFk5UgkDlZexxXG+VvnPPTy
zNL09mCBGbF4CgM0xPEXgdqVqMxhkZXanZh/SofZEVuQDH++/xxvfg50BwJqoKfffOFY//HlgRL0
cDbiOm2xMg73HNjV5f79a/zuWnj1MbguTuWrBNrQTr7v3oppFCyZcXgEssKh4pvZ6VL3Ql/UQOTk
md0IQiLBZDnuUvuqt1SCPg6bjvE4cXwk/nvWrfQuHeVKZ8xW7cyngQIqPoYd4MWUvwojFp3scFCg
hpbTpyxHkV9UO7LISAmSO6Wg8V/mW5p/9xi4xmLcqeQJpbfcCuen2v5STH7eaS6VRr3UOA6SznHJ
N1scxEwYugt1/V+9+Umr8WO7EBYnJTMPIG5eDDiKVQ5fd8tXo9BUlFa7eMHeAoOOzdJcRNPkJ0B4
Io5I3fLYKtqlMWQHCvYHMe6bhkNEX9zq1ZN6mWr1j7Rzni1zeLSt5Z5T70fh7IV+C2D3gyyc50x6
pI+p4GFUGGXqPcoaMkbJlWDg+oSTet0BTMBsQnoU+FUOgU5gjyEOhhtl/NblFhUvY2+N1p5DIKB3
6MjxLS4ZW6ZIWIr8FoOz67z9JQkhloPzQbQ/c9BB7I3rI4yVtYtA+M4Kkp3vlf0zXr5J83OXe2xO
3y2QTNFE4mKWgTl5QY6F1dJ0AUq9rfCwN6EnbuyzmwWcspzWFttPY9vuyLRe2h41ZnfDeRA5WnaT
zVh9ivp6nS5K+qtNy92kZnvHTD7yegKMKnzJTrEa3sW1dT0n+i9XTjuMn+9R5ZCDVx1y4lp+Debl
poZbhEUsZOBhxG9rPEin30/tfZRgODdflXofNG26lfro66p9BXUa0DcZHPugltZmXLcHzsgZGh2n
Rp2sW5jodRT1FebGD6XMgjlhHYfu3v6a+EtpiZ9SNQfuD+EpWzsm24cIC2T2hRNf0cxH6iS5yLLv
hpERnKk7xrzi3DqIG1P9HRFggJop8kBzgN9xalyJuGVjbEvyUGLwUHrd4ewSEId4cx/0hH1C/ljT
kqR6Pf22lrtRDVV66JZW8bM++UgVZAdkI5iaMqCm/4VsE7sfDmIUo5a8DGr0MBA8djq9AJH0WI/1
Gy8ZgrbQd1Zd3HaO+T1Xs2+pudxVdn1bL+PHfnSvS0JZGNJaFF/SXkBmN9kL+VOa3gYPnkdDKYLI
+TS0xC5J48f1DzE/jTgAq6jczCk7wFEiEJpxk+vv9aWCKrv4BQXkJJQphkbZLy0yN4ZgP9Q02u7x
MhE+gdPeHG3GodlrZJcov9xOtN1oeY2pj2+DC8koTRbJct0U+YFa/lXZUg3Rm5sprr41/Dap61u3
voNXyx1ATwaXEou7Ou8Zh3HrorCj2X5HPZYu7cfC4uzQlgeplExIa5c335AIhvCftomNMfOIhjZu
fCGyG9e9x0xuG6mWr2CtMkwRNQ192ys42BBMosa24+JDV1oX40ghdV4dT6Zt2lU7cNeY0USPhtkd
7MwOYOntFtr3qoT8dLrFS/Lamx0axiNCNHi1Tdkg5WBalv2F5ywbZS4Py9q4TpV3fcLcFfd2P+0H
/Ru8/21W3VtIBXk5WJD2dRVSz71IqvKb2ykfUtFdTn2E8piUVgxIRblWcHzBIwhH4W+ZngdIRzYW
y7WYO5Iu+BRE96KpdxoX0ppmZ5bjhRkVu643D0YkL6bU4xMedqb0kJHFm7z2tq4aEmgGBlz00Ya3
rZD4LbNDrASogK5RFmxpUdtHuXOVdPFnjwVKycV1qT+rE7JLNUw8kp9DQgYaUm6MijH+4OjDrdF+
s/T4Yyeni2G4adw+QKa5pSq8mfVq1+H0o1YX1QofK/K9wXI3ZtMt8rDHLqqwRkuuOnu405zyZsnz
g7RQf+LHpOPKm/YQbYYzMvaX/qmjTZBD7doPSq8F8FjANsdbOl6XlPrIY+2stL7MKMjZULYsktbY
llGwLHZlxZFQp713xtpR0j6velvTTa7yQb0Be0MuagiV5BEfpjO39iogPLmzk+3ZgcxSEJB11IgQ
b3XRnYqtoZ4tG6t/pFq/8/pyJ8RftkeQFzgej5NI3KCu1s0oS3cYyvue+ShktjdRQ70ffHhrrPdq
2JEgszCjB6SL4HjYE6dfuwdzHg4YAfaDB0sh2pYilCpoacUJSCNttXG8WwOADAv6WaekvMgrcotf
Yl4FthmN3vrDnPuOvNIp1Ftk6NYzejLi4si8MqX5yWwNDo1UNq0ZXr8TtOovK7H4auyL0X4UH0X6
QJMiqO/Yz3tsk7XtcDA4Eg4IiaPOt2iLVOt8q5lfmmhrmEQncU8lzaSSiPIwsfaoZm47Q4Sms+xc
4ynN4xA+dLh+c7Y2PFLS/ILsLaAHJCyouYFbu4mGaufF42Nia1ucwT/0jf5tLGffSe7tGDUPReBd
OS/3vaKikZCHao4e59H+UpAHXDiaqHq3V0hnUpzbNE72jHQMVTA952CWRJ0HPV4xKRuJkfFBJ+ca
bk9bjX9PkH/e3GlHEEtg1GFwsU7LW5U1MenuTWW3pnHcxb0eGOPlUV7KvqZ+dR95ZyLjV/kjuk5+
J6NoXaXTYI2c/4iM+9adLKq+3Q7BU5/KXXOR3KYkg4G3/56if5VtfKhL/jlNGR4lHW/Sn1Bq6mfx
7t/aP9W33ylDnf6l/w+zj8a72cf7uqjLuvrXRV98r371f2Yh1x/8nYVEN/NvDRIjXWu0VP6Rg9Qs
69/0DRkwrjgrWfzZf1OQioWBlKNCG6IEp2k4vPw3BalopCdJNvBHrBeIeoHJ/QWM+2QG04lOEpQz
j+us6FLyGycn7a4qpmh2yjQspalf9o1a7mxkRiSQ7Diw+mi41HrahxGuRNvCWawtfhXTDqcnY1Pa
Uu5Jb3pnDpYvZ61/1sPf94SrAOdj4BjQ1RjLP+c1xsCTMOGchojWnC+RWWsmltRT8WDURfQ0zgXA
LpQ8N5Y54dsBqjL+AKosUTeU0VFuVaxi+4Yi4APmoBX2iWba4tiAK0uNJKYaz3yFL82bp7dLLzwf
Iy33r6msBiInG3+fNCxUgU9gjQTvoRvqtvdTjDhCd04alyRtgwMrlZ+P02zVsW/E+Krg0n6LGEL/
NDTu9ED3yWJt2Dm6p4LU3F6Z7OjDjFjvWcd946dlJsunGUnBPaL2j5gpKo/v70PHCYPfw76C4Zmj
WJTR+HU87FqCiIzCWBra+phduLGJOpwm7N37Vzk+zr9chUmLUhWBk8M/J2kJGrPctBUTEw51XDCY
GprRqW2vwOWeI3qu4crJi/FUF7Ib5CYD7s7653+sj0Oeeo1r80BKKp+LAcSe4NzQK6hPOs/69PfP
Rds2cBoiKPCrJ5v42FqmLhMzDZPGMa7VQohtVWXujVb20xkc1xsvygMMYtogsFbGxcn3AfE4xdKm
y8KsStLduLZ0LFh4BO8/0JtXYWWgoR+aBkyo49GbS0tNJ0wuwiIusx1/o9tOLgq4v72KRQcUl6E5
Gg4D1gJH70jX6ICYFi0LYX2hW6M0vcM5VD/zLNo6JMdTgTqqQ6aTXwPb6hSYKiYzxaszZypQmQ0q
vUwOCmvaBq/WjROXDGCr6xtnduk1wRtyY9ADe6btcA0WT29B11aUxQp6IpF1/KSZhZ2mPdAqMCb6
MwKkbk8hl+pKEsM4XFJqwatJqUDcduaLe/0iUSEwyuTSdQpaxvrnf3wGCAUicGFuFnaVjAP6YCRH
nrY58yJff2xAmahS0CVIMIIn2clVhKvzvzQL1dajajxY3/W5+qwUVdDG05neubeGkg2T3DeFOwNG
z/G1IGAnc282WSioxW+7QVhb2ObKpnWbJMAStb1eTFTlRYlp1/vT9Y29yVqLg7QVs0y+WGEcDeaQ
SBcNXV+E7vQt74cbBH3bkfSHm6kX1PMeMnxg9JhG/yoKPEfdlss9Jkjf6ULZTDO9Ojm5bPnr/Zt6
/YJtWkA9KpVECsQaJ0NvD22iW/WShB7d8I8ezRgf0WJ1+/evcmJduK7ctsOuQFs6NM7XQBGs5XUX
+Xa27mg5rRte7o+jLQ6jhzYE2xfn4ExK9tXuZL2Fg+Md0HX0OyyjzjHxXr9+4PorL47ptrZsni61
mtm50ZBlYULq9NA0hiAqUadtUa6WSGplcn5dUmqnXeK/PwavJzlXpjOfp18BOO7JSNNEQnFkYuJN
+P7SukHOBynrsPVwsLujtUM9M+bHx96XIedAyO6FZ4oD0+fkeroGhMyKedIU3f7DgmKUNsZJacQG
+15L2Zg6SGa4nm15oRQp+sUoXs488luvnVgUxAMwAg3C/cku2sypMZuizEKn0bwrQ3Bys4lZNo3s
ddasvLog2SjuM4x8SaPZtu8O6exb6HzOxIXGcb/sOhorzZet3MCu0qQP7fizl40Gvn8uRZimgs0i
qRsEwrgt1XKL6BXpe6aUhfRRD8VX6H22NjZi7QZNRk0GA4V377elMoTkgpCA1lGJ03sl6WLc1DEt
zQf4Ljaokd5IUXiKyL3uRKV/rUnNB/Ece+6GZi/xxRnM6WOJPTZ6PL2bn9RpSZ9b18sfRhqW6F+j
sfC5oXXP/usFlph4/Qb5Px/7KRYmxRLQLJO8D2tl0P2+INTsNcQCibVQjWxT4/79uf46UGPrV1E6
6iSCCNhORttwBpcms4nze9c2B1B+FkEsCoKsVv+uiv7yYnXKkDoYCtB0vN/jF6vJpsV3WuvDlK34
UsmNKHAy1f7rfXCNZdR1k/IMItyTfbCdIZhOLwkJ1WCuTM1nxcyH/5eLkEGjtseZg1j6+FFoxUls
enzJ3aC83RVLrG9mb0nPbEOvV3zK4eDbrLUpn/Xo5Cqz0jZIwwWpllgvtggCf+SJcW5Hf+sirk7f
ugNN23hFYHZn6FQYH8qw0GW/pR35aZhld2ZWr/HdcVTkGsR9nEIJnDl7nMSygt3dE84swwxd3UVs
zQjzPLW44PgZb5fFKH3aa89tIG892Xq4RsfDOwKSc/ySbKcFMDUbXFRF9pBbg0TVVZxze3jjAyLm
p6LIFwTi4nRWl5XWWd7UdWGeDrPvtZkSKAwAp1TrHDf/jWM8dVgIzC6HHcNg+h0/kVH27oAJXhdm
9UydB6v7LZ3O2q6RTnQT6cK71s1k8iGjt1T/dOh7cWvcF22dbe3BmT7pozD+iuD28lHbBEqciw2I
p6xYx7dkWwPE4qQSYbUs3t6JnadIcY3t+4uU9sYgc35Yrc7YoHTjBaz8R3ArGjMu1M4SYV5n8aMy
dzmFmdhEypR34z6pkWrTtw6e0hzQnNOeP86lj0rYQuVL6SFDEtOLfje71WdQdlTOWq8uqzN3+dZN
rjE4qRZe0CtgelqC5W6qRobCW+EHC3LbWPfAM7n9fGZleGsmECn8c62TmeA4jV6SPpChBmphZ6Ef
vzMThRwhrasX6mQmu3rQrOvG8pQ7RwV6UJKe8Is8yg6ZFk++syTOmcc/8T94mQorO1l3+RrWXfxk
uarEnESzZo1hU4PazUoE9UbXOKjto2H8aWupRa0d90EU/AA27Z1nVl1IBqhR/X4Qgk5Ucsd9MLsJ
kN7ESSj/JPHc4Z7iSeH4NFRQwmlt2e8SupXHjYUlae6TIWlCu6Yz/UxIZKz70cmiRZ4E9YbLSW7d
t46ntlstE3BQT4Zpa/TbPOkyGpHwYK1GJLAOTpPkxrKnzCH5FPX9cBmJS1qUxYo5yAq7285VEe8W
irxB1+AnYsw6aaOi0Mm/6sOvEVvhlXuD8qXnSVPLeqYjxQxdc4h3dZrp1xWwrYsxG729S7N9MCZ9
f6HotDrQ1A7rCNXHmV3t9QRmuTQ5ZMCGZk87Pdw1qiM5PqtjqCq94ifC6z7bdlcjQDP+jmizzhUA
lowpmGSOWAQEx2PbTnIw7cUZQ6WbjX3SF08tmt3D+8vG6w2Aizjkhl7+dU4dDBSjFR1L0xSSYxuD
Wkkcn9zeOZ+ENTI+niZkukiAsjShAiOTe/wos8jxR9DsKRyy/ikV7mXmUDSBX7IZBLWY9x/prVcE
QJ7LwHE2yQ8fXywaTSsv62iiKbgrNjTKzbsyp6OhUdpz1gwntPrf74jdhoznejXsT4+vhcIzi2Yr
n8Muthrfi930ogVgudOpxwdDpbSX3pz337XU1oXP67Ov3NFF52T1dU/pfSw9gQC9MzwSH9ik74WT
j8+ZQQPGmUF54z3TcwjHiuMiP356dhl7BLgqm3CI7XLjqxLzVrujK+P9oX/jiEROgLMxbm9rZuc0
p9mWuuKUGuOxLBmW2Faf02ut5SayrtHugO51jtod6NuCH2H2vfadDsA43tGt0t9HMp7PQQ3fmHjk
47AiI9XE5nuaILTimG6YtFnCcUm174sCOJ6POgsrp+uDYgKaeWYA1hd+MtOPLngy0xGmKm3ZckFB
S8fdvHjFvjP1FM9wO76cUSpsRtlEXyp1Vu9FURi7YZr+rlj7MikJsshxmViLArU7ySQmsYNXVDkt
Yevo7X6hD4WWLkUElRGbZ573jW+NKGuNWzkhWSyNx/NfLvThpOW4hJGN8Hr0Wtc3JOQ3c+zPKSFX
tfnroeUTw86V8z95gONrgTahDDRaCwkn19gPumtAVjLjqzzv3IOSDCbJB7xLknSW28VD9jMYXepn
ltI8RJ2WnZnqrxMSEMCgU2OHoK/mOsbx3ShN51bYZC/hzOqw6bXB+kRje0abU9Vf0r3e448g5i2j
97PrBuVMSPnWuNPCDY0VyD1f9Trv/wj2NJlbIkOEE0KE+SJiBBtTWT/2RnZOQP4Sm59O6D+vdDLq
IKHwMRnpoS3tubhBXOZpO03vwYF5mhB3i2kDRiiiQoILNXotHOJOJwvRlPZ+ES6aEIME3EMsoKts
ZtXSB5SLnQhI3Hv1Tqn07qeLmTsKqgLsyzVfKAxuTXWz66qtYZC1TRK35yLDV6vC6mIBfpQDI+cS
CK/Ho4eoa6o0SzHCzs3bHbweZb92FYeJCTAkcMdm9gJPpb9kY0x6/cGjGPh5zmsVT6zWjXL0MtaC
PbRHB3ZOIyY72ajc58qgPb6/mpwu2mggsHsz4PPZuI3RIHB8n2lKg82S1X0YaYqFCsZYaAjrz5FL
X1/FIRUAxBrMBOVz52TJGu0yN8AmyNC0RXrojLna2e48fH3/WU7HnLQZJ0yTBhQ+FwMc0/GzVF4z
NGPfjeE0ivk65jy7aWjy+6SklXMxI1m7f/96L1WEPycuylWCphXFTB1q9YA+vmBTaNjj9YUawnxz
foqcwH7Tak6sIFwdhtgvMofUf71y7H1+hy5ozDcQEKYE/796I4cF2vVxB3NnSNLPTit7DShS5dGw
rPVaARJkbdlYz3Wl74jEvtPKlEbEprXp9eOnAdYZCvw8u5L9j67T4pteNqimRgU3xTqxVAnHAzG7
b1cRibVU63rgEvSgmzCGgB5tGj1fuWqdNVCShlkWJKOJ/Q2UfnTnAsFKHdBF3tykitvlQN6m5uf7
Q/hiZ3c8hK65mkzQGYTnDyfL4yGUUlPzqupl6KVaQk4TzPnBg3lya7YwXgzlk5Uv89cFB5oLF4P5
jQqFtg4oV2S1X5qZd6nWS/Orols+3eQLurygzFLMubq8Vj7Pg6P1cFgc9TJZtUXX2IYsF2m0lq8R
tIgfSeI2UNxQPR94vbyZcvSSUO3s7gG/e6oLceHavly6XN1kUjTGjczoRttEoLAuSyloyqBTQSUR
OWNzt0HhGbdbaQzmo5Qx7Ia4z5R9mVuxSy84xu743+njTbK0BiJEYESP6PaQ/dcdSRJ/FYvlfl9J
2WxGV1ofKADCYbBwmrqcLQEVQ4+iZUu/X4VozpsBLZjC6ZYrZQR4eakPpvik5xV610H20vXjDtne
lUtzzo0SL8OHunYXZ1PE6jdmmIR4kEhAC1URYSk5Oy3yV057I3RhI6/l3tKB/TDV4hrN3FA/pHne
0ls50v+OhX2TT9syriz64c1mX1blnBxkSg0ArWvUPeomRxh6WRII2uVifIlsjX5d1ubO3b8/gU5X
FqJNtFweyb/VZVA9raP3c5nqstFlqIIn3GrA8rcYAxm7v74KCTPqsjRR0qt2CshvitLS4YERg5su
/TdGjqY0x1fg/au8KpzyMFzG5oFWVSCNOMcfQ1SLUkaKnFFs9The2mLZ5mQf/cxYxv3sTN+tWoOo
MRtoxCUnbUx1+jOHtfU0ffI9rnLEtXK5skBPMZkoYyOAdpGkcKppQYWAoxv6ZEOCuPILKFeHFvSK
481PZx593eNfXZeGdQIsA6LKaeRVi8ExFLelYNBjtkkbitJ/LhkGsRkVz3uuwMk8ewQhuZ85i33b
2Bq9V+S6QltRTB82y6NWjRX96cSG21mbO7FxxxiyuaAv+Uxt5M17pSDFusUZEH3F8WvqqwFRujSH
cBoGKtqVrl7A1C222Hqoh6nxBGcv5+9scohGmRsu6fp1v4bveKpbBPYyubKwh1BCTfBHNeNUR/LW
f/89nIacXIUsIv2YNoRUnUD4+NEqrRZOqypjOLpKelCHBYG2my4DmiDCqa8CDhEuH3ObPAuQTa0f
tdF8LuPzxvDyjVFwRIwEJfY0/5ENsuiKWeEkP7rLQQMXt49nPf1gVcOFV3TRQykc/eH9536VyVsf
nECXFD+1CrDjJ5k8rNPsaIi1OUxVj0YRsSF+u+Xg+KBTwZ9b1Wfv+z4UZoCaOmxY1QttFUJmwZn7
eGM94z5etI6cKfkWjl+AaDvBmhtz2pnEdOEmunkFqsi8xAbI2dTGjLeUnkCwaLQGmogGIcCaHWpF
CuBJCWGkrHTNR6ZzNve7xjInHyhnXCbeujZx3j0ZoAKXE63OuTF3kBOtD8mzq5BtabO0PvQ6q2Jr
CcSyQ5x/LzLb3S01nAFREbq+P0JvzA6+Aqwa1hfFSn4yQF4d0fe4HrfjUcLYmSp5B5dLDVRrav3Y
qHEuUObm4v2LvogcTp5+jSgJlcn8r5/I8WuxrSJrjGbmMIQaaB/ZQ7Szm7zfj4sSXSAPq+BNxfet
VsitCeN902UFg0GdgO4b4X7gfAXSsqo0Svd5e21m1rxR6K+/Qlik7Dq5OBcDdqI/Zy8dL4wEXtlE
w1GgD5p5OajmI+ClZMuCzJmBN0+bf62gPI7o+1lGGkqqqiTN2YHBUB2KKyLfUkossAaZjRszHaoz
kqh1EXg1GGtV2GVE4IifnG1604myodCWsJ+7fusOIBg9AK9BUsLuy/TZPLMnnZ5E+TZxv6G4YWuW
SwnuZFFqBWX5XEZMPV2OYW5DC4QcKbZZ0tX791/0G58fgSjZZlWlKkV55/g9KzHcErnkKhgmzT6M
S2LuB085dzp86yrksykr6wjL4JYfXwVDCi2rrUENe4tgVq8G5zCofEfvP8urbMY6bjYbxyqGBcL+
kkn74wRfLQYRe59oYVSwv6KSWeM9g3j6w2BX+dd4mobPlpck4hJ+D31B8aSVfltYTrtTclNt/aLu
aFd5/67eenZSwWtbP8oCzNmPnx033hT5qKeGnuciIIH74qestWeu8ko6BDmdmiMhDHk5HLBOE1Q1
hBcjZWsOc5gaAJy8GC9ktUzBb4HofDTqLPlM8pbWtCiO2zAbDMnpLE9pChgX8HUUD830ADun+mG7
SX9rTAU9ZA6EJc83TWCVZ5a118PC/eJXBAOBdY3a1fGwZINHOm22SG6oM9sq/KdAm4dzbvWvv1xS
8SjyELC/OLCcTDyO+C54yFoPHZvFQxoAMs3WENdLXySHbFygCrz/tt+8IDnhdSdHQ3L6PbHVxcvc
L3poR24SQEvsNwiYtO3IqdKf8D0I3r/eSxh0vDbxhH9c8GR6kR3AEEkaelgZ8yZ20iwAQHWZms41
yeJ0p421exgUEW0zb4x2kG7NPaka2Aiybj+SCakCuNTzZd23/8PZeTTHzWRr+q90fKuZBfrCJoCJ
6VkUUI62irLUBkFJFLz3+PXzgF/fuSpUBWt0N22CIhNAZp48ec5rXoYYc+KSTsU+E5O0GYwrudZ5
WONRob+C1aNcgU/H6ZRnuhGBbOFRawkJNI5XhOMASzqoosRXhro4Db8NtQhrNhnPNNAgONh62ri0
CqgtJbqyEv0YbOAsXksjL61mdjdCGyANZArjp6/m6yNaNWqqHrRQ9/d+KPNWCNxeeavzVOBtZzMD
GMXIYknJ8IoxH/pYZXEZpUAMtzQPmYgjRycn2aCoZ65BkNlf3l9h5xckWzbYPfg3kaUCUDt9tUxW
Oju1Yu3QTJpw0N75JReG9ZEet7irZfS/aaVOL16INP77A1+aQ9wLUGaYYYfAGU8H1gR+JIYSaYfB
KMIdUXt0aT1PD3qKFoM9qu1/YzyLgMTencvQy8pgWxhGq/qDdpBQ4oH3KoX3pl0VThroGNtTC75y
q7qwHVgu3DlwXQHZvYRAUe0Ox6FNpwOXHJK4aFS3Vqu9oqcUXxnpwuqkHwk6GYAS4y3rhB4ad31o
VNMBcSt5mwXmPdjXawC6C68DANhiphiERtViujJt0K3ZL+DQYgW6IycL3EmlN+PllX/lfS6sDLow
4Ky5NtCV1Ba7zbZTxG8LaWKmLPWxGXLtPo5Fij3zqGypAiZX9t3F8WaRABOHONM8e7XZYGIWwT1E
0aRvTC5sX8qk/SZpZvwwoYN8pRFxoSxik8SwBFEJYt0vazwj0n2FEQr5IAoZzePero5akCJO7Hko
l8tGsPGtUlkVidVtDNyyb+o+lq7cAC5MJ88AcQfbXSyBzoK10rRjyhF+QJC02IQI/tFtjLStRoH1
yue9sDzJ3FDY5lIwy9EsjjCkKhohQNseulD1bscB3reP5OuVOHbWVyZDmtt33AVtYACkY6fxBLtV
K+3mjGM0reIHOrwcyBrKbAYKoDe1nAS3cuP3Nyqa4Y6mQ+8VfSNttEKo21zk6T7RwldsuZRdPxbZ
Jov7wH0/4F06y6l3zPyrGZtwliZbVWSNtZzKh9FuoQebfXBn9FG3C+vweajnGqWihTdJkn5R/Sy7
M0e0HIqBEnBWRMYXaQQt3lQWEIoObHjZG4gHZFXlNllMVelKonNpfTBrOp7QVLBomp1+TSsrUWtW
DflgNhYsSUyGnzpTn6/n3jXq0IUTSKNHSZlupr6gW306lIoejEgMXzlAe6H/TdvhfqiS7KERUQ0U
2FZmvhYe6YHa/Hx/Ri69JCcC6jsGIpq4XZ6O3IdqHUTdpEDsQMkoCKdvtdEbuyRSuvX7I511+efV
yTE7twZUoOfyIqZZXjMhz12rh8kqHnKaAFvFT5vvHA3Zh0RLxIoaUQ33PVG+KUOufjLqZNxpZngl
9lxIMYhzXHVl3AQJros3HoIwxDW6Uw++WqHbNOkPWW8h6kulxJ0iC8iRr3x4/9XfwucihaWrzpGB
aJrBUTg/02/XtsLspHjwDO2ADGQ18yyC5A7/aFqFNC6TGDHf+AaZTHhuVh53KkonlWGiPZBkmA2I
MT5kpfGLzmIVuCr9lLU9yvYXYUviu0SiKW0C00dEygoLgFCtGWe/oqgfesSu6iJ2kBfCc6GS0Dld
W6aE14tV2upXpU3Hh9EY+i123ZK41406uDHLWRWFZV6iMZCmt17cC5qxqAk39CeMonbD3MMeqZD6
7hZKUkenaqpHOGhykKTuqPhTsTIUqRydIVAEOqd0ze4Vc1SAMHBRyoE/S2iwC6OtBycZvVnqj6Wy
NUyBCYqUZT8UGtio4ZJuPdaqAKQmlwVC0tQMc6dsrPyLJvWy6iJXbWHTFBTdl2IKUzSltOinZ1R5
sW9a35irfVjRr1K/mEWY7BxtEc/zr4HKLy1qwELIi82VE+iki5A70YNC/L/WDiBzHs2pUO7w8Jk+
YZ7Y/tJHub9pIC66Ju2+50z2pAEQfFE/KFjX795fYxeOGC5CIMw4vhWYPYvd1c/etKrXa5RYM39P
CxH2oWn52z8eZd7CKpp/3MVVdXGQZWatepHkaYekDK2Np4p4DbH65Q8HUanUKICBZMyuBbXb090y
CBXdkqYRh7Dpy3WpC9udcDS9ciafRT5GMdGcnulzKmyURae3VQJ9kD3FPAxocq+w7VAf5kvOrjT1
a6HvLLzTx2Lnz5xk0m4yyNMX6vtYR+Uklg65GWno7RZPsTw2qyTOpBuMKRpXtoPBtfT8GrLqwsAz
IJALBqEXWuoiYzWiaVJyZNIPgm700ayK3knKtF2HU/rTkhEviOKpcdFcurYa/y4DnIQ8kO9cgrkr
ytiOEm9P37kEeIoudBgfrdrkkkpVJ9jUuOnct7UUTi79L4nesFJ197QBox0OyMW6CCdwxykkU92X
KVwIrG4edYSFfqR5ZH4OkTt97OQYU0Dbq/P8I4WVEImjeMy8jeL3ot6Q/uRrfJBSj8tjUNaI7KmI
OtT1kN+UQlXLlVkAuHEJr+ZjrJhNu7JbkZcO4lHYcFX4mO2qqfALZDqm4WAbth8iIJmERyHZ3TFJ
2YDOiOHRQSlT+wFNneQlyhVsW63aRgslwRznEEsi/hIFo9KhStb3r6Ka2gkhnFp9VUxvQGulL9NV
09t4BOt6fU8UjZRtrZTjl8bofQ1Nby3FW702ZiHBqB5QTja0n2nly79yaL/cSqMa0ZMZTGqvEeyH
6xwYgbofjTA2XFim9WucJnuJyET49z1YPFrDYthJcdwjgG7rHxpjQn/ZDxOxK/tJoGGNZcu0bm0c
4swUfMKqDowxcKtGa392wWBUTth3iMd1qtZtUEbL6jU183CnSInqo2vZUkyxSlr2ZkYl3cvRZ8E1
6VurJfGXVFdTrIi73Jbe3iq6obqnHygURl90q6zRffECA8WnLqi/NnqNcZhNvnWw2ina6Hbh70vc
mZ5RwtfAfhat9hAYMF4wWUoQeh7irPavBIezJGFevVQh6Boxx9QFTldvj0eKSWoQHuU68JH0kKW1
Eta52+pFs64LVKkKLLeuJJzn1V06ICb8QyIshpT2kswrS6WeidaKsTinEWf0ZfEZxuDolJJU7NSx
j7YWthJbfCOM2VhL3Wk0cyfMf27NWoR/egWFB82VhUIMHVwY4HP8/C1niQTTa8deeuQ5gjVucpob
Db2+qjEDgdDl2VeOlvM7Ibm0QZ+SJgRjwn04HbBNElTeEfQ/KlHcrjRTmrZRDM88ztP6ceqs8VaO
kYWui1TZhjh3PCnoLj//6dFDvULnas88cKTbi6NHtlDetrJIPZq+h6MjLjS3Qk3HKxM9x/vT2Chm
RQuyhZm4TXfi9E3VFlFz0QQ6rmTxVtIHbCsCVXGTHCJooAYP1lQOqODZ3bofsZJ4/xXPzz0G57ij
pArnBXPa08EJaKoJVk0/GHrl35s6xoBJhlCTh6bA+yOdnz6CMiTJAjCqt0k9HckIcC6Sq5jXrOGJ
BHRDxmyMtsjiw/ntsJUo1VYjTgv7D6nis7AHaQcVIZqK8LYXx142BqBLw1o/VKpdOUIy6xd/KPWN
3dvjTSz63kUHJ19jGHLNe/7CFqYAPmPdKQTD1zYXu6ZWMfhJy9Q4eOn4eYwb8dFsRQSo1AhulFmh
Ky/HPTEncIWe2w+DEu1tkWwbKfj+5x+f4gYXO8KXedbRE4UQid0axgENkvbRmLhPr4quUndyIj3z
8SGgQipJyQDi6dP7Q19a3pQ1Zzoi5R0gNot5t/2oSEPNABo4TY7VhuldaA7+Ph2T/jGvrNuoSGAb
R0RWn1vK+4NfCCOUU2HK0Iuj6w548HR0LcjwZhrIHrswRx4kC4td5yNHjjel9c1Eu34V6DUelDxW
eQSwk6zxOawe33+Ks3oaK/D3h1gsA9szWwzUA0GTpJOdwdb9DcafHnqCiE1Asw/X74/3djSchhRT
pq7EVOP2y712kWIOMAl6HLTEoZJTCchZlMRfNRGlLwYHxZNRAFl1GtlKfKcpGu0r+YSCUUITI4Af
quOsHx94mIb66CUnm7avkTgU4FW/klAAl8ODQDSrEgRrgXlUHe9IXw1AFNyI4Epg/vUVEwJVgjkW
t7tEUfoam4Re+jFU5Dzvv+mFHUYWTdcYtiNDA9Q8nd8yH0jFKkscxoH2ON6j0t6uK/shSr12A14Y
VtOIuxSABWTnY3ELE6ldFTgvbGpcz651Jc8nmqchs5/rtDJk+sVqq9Ucy/K8FAeActUxy+xXNni/
M4PUuu1xDrpycpzd8lSGY2VTwedo5v5y+vIhGMEyNAZxUJRQuzNybGiCsAv2V77xeeSGsQ6sGrkN
urqQ1k+HMWZ8NsHLPOilZHwHDM/NfgyOSqjaj2qO0qgvNdJXbZTqjx0eGPeYbt02kS39hC5GSq2m
vrH2VdxGXFlNvYONG7ErJ1ocOpnSjVewC/NeWi59FQTHTIEl6CyzJjORw6K1RnHoTX8CDOkjyQhY
cQWS7pq09IXvQmCZr6RvoKLlLotF0Yuw0MxD3OMy5Nu2su3N0b71B09bKV4Mbz/vbbfqLPnKBj9P
SE2DdHTOyeBGnxXMM7ypsKwO/KMyTsNu7CR/3yZ+vW/roHd8OUrXNL6zK7H0PJBTQyb9o7VMLAcj
c7oM/CnDEcgygiOiEMktVhzlDTe+wg1LVV8NUz9h7miDN1V7ew/Cf3LfX4bne2seHk0/jnCqdSh1
nWSgud4YqpwzfFd6YkczqaXVghViK4F5Bil1jWZ6cTySb6ApxBa6IafjxXJq+mNiBceoLeut2SfV
DrkoxYkTCR1bDBiufN7zzTyjbSDCCI5nA8z5YjzhaZjNczHvaLNQ4gDVkGFDdCVknOMmuMVQ64Tc
M4NTYCCeDtOCZqYdrYRHFZ3iDyOWsPWqDHA2vPdHCcdHL0uKj3AmgfPGaoNxk9/l2MgF4AChAPl+
ZK10tev7laYjUdxMQntNg96XXTHW6WOkoYF25ZEvnGY8MskLgEECEU2T00e2FEzlKq2IjsFoSm4W
Bhyfcap+xYxX2sqZ5LtFYym7Qql4Wssr9rFWmgDvNekD12hr7cWRthNWbO1CpTXXY4vOieIV7dGs
s/Cm0cZxDWv7gAAjhuFhpNU3Zm3VO4FB+w3Wd4obZQhA4tTzZ6LfQD6ZC6g3yA7S2CVPXARWYSNA
muN3fEwpDjQVhacuDHWu3bgxCbQb399A55GR0TSgv4ggkwW/rYzfrnCVEUxGY/nR0UgQmwVqFbmq
USP+T035yu3twlpmKNC+iM7N9+XFIksoqeM7ZoVHTBDiL7kcpHiJ1/WVO+nFUfhw9sznYvMv7i5d
XEp+havmUZtKfwuBA/dyHR3k9z/bhThA3vhfoyxyKQlTosmIGCXQsKZsZVxZPRtPVLlUNjBp/hth
jmvgrBlLY4zu4OLTyUPfmVYnR0dzNPQPZVtMTjeOeGIGkn3T9sG12tz5UQIkHcsCDeUIyrjLlk9Q
yZaeYHd8VAH7beCRNhi6CuxFVNJAY3aiHcNSuH/+Tee+MkB4XpKKwumONsfUx3fVi44zUWaHkDrW
oQDp1kEQ/si16Not4MLJxdUPeDWQe11jIZwOF+C6HehNHx8jvJxXppbdNoP0IS31X2qnHe0husOS
/mEosz8V/WCD097hSq9C+AaMsLh6BlRHDCUhpnstcPbQN5GWTcfuytdcKA2/xRE8TaiScbEmK1AX
S7TJvNoLZOpTyJjA4YBE1XzJ4M7Iqz4mbK2mRDL22ErhrtsIqp4tTE4c/zpEhUIVXXJQU7r8itvd
IZimPndMb6qNtdVH0wYB8qldIfkQX6tvXdhX8DrYtVDgZ83ORVQfMGycPImSsNmnc2+/KbehiMNt
PEXCGSFpXtnHF8IfSeFMuqeziUXQIlrAEExGy4sop1Xdc0gdfB/V3StUmGsaTxfCEihzqOgzfogh
5xf/Lc6Wg2enRWemR98PoUnnke40qjlcmfQL+9aaG8Sz5gplG2ORLoh0VPS81dMjKj+012RJuD10
NScXdrzOEG1yK0RK1+/v23NMwQx5ASfBxWNWpVt+xHSoSDZbPzv2SmU5gCnTjZ0a5a0FqGBbBXl/
TAcdfH2OMluU2MZLgdK7y83fgEFFTbcLpX6DH1/2ULVW+aBPVwuHF6bZIimeO19Ua6EKnn79vrVS
3xdjdoySNr615Im6uowfaDFYzZUpuDDRzDKFQRpUFCiXOI6mQcDJhIl/VKNycKpMQtI5QTr7/W9+
xp4liECrBHXAgfCWLpy+kWz2CkpLcX6Ev6QDEteMG68y0q9T2b1taNon9FnvpsjvtmQ++aaI1fIe
9VFKHYZRboqpgdEjFa9VkYcbAFPZuvKSYYPNVbgXXfKsRgbEbrWYfviw6pxEgnL2/jtc+lLgEuiI
IjVHDrK4Okj9rADZWTm5tKwQgGuB7EVwjVfyhiA7vfuRrGMhDrWKzBYE2OmX8mH8Aeyzi2PW6DHL
MerCLeL5SLthrK4lbqsV4fcghhnslmqjfZ5GvzBXva57L7QjlGM3qMMnT/WLD9kkxHcvG+t6Y5tV
dMwN1fsBgw5LZ0H2XIH/bxQsLy0vvbLFLn2qufI9l5zfZBFP32GyS60M87g4anqe4HPQ4CI61an9
/P6MnPNhWFV0A2e9ZEiRXD1Ox/FtUQwDdgpHzfMQU+ix7aaFEvd0wGqq+vVab5V1VCK+PRm10w79
vu7l+3z6My36t7OL8jPNUDor1Ejl+Xv8Fi01lAWY0Cw6CqyaHMTlhn1kaJ2jRXa9taf+15iZm9Zr
qk/akCVX0B8XvgLpKZd4CzyiQHJ4kRkoMY7ZMPCyY6V1JpRRZfisBVgtwCMS2winu3hVaJihGHIe
3Peojq4L0VlbOKqRI4LKWGe6ll/R47xwnBO+ZpogHClgQPbiZIQe5yMvRD3S1Ab/papjXBc1kFvP
I7a26Uoq1RzrFMzrUarTw9uorLSdrkGeW7W+InvrkH/1PTEV7kVDGEEpacrhFz4p8FWjzJNp7uHO
c62L8ZaznW4+m/s5QBo0xlTuzIvNF3npkEAm5U5Y69WTVgbiEyUJKoc+3Qe0ohCWzF1uHbaHL55Z
7pmRYov6dCg5fYjovVMaXhtvyqzVv+eerNw3vNxGzYaKfTZI3ey03UZw/zwJX7SaWDiX9VoVuP6o
xodO0mHkmIVUP2MNzM+gBVo92qwdjpTYjzxaYzhabqGVfbFWoEHHbmNH4z0G2b7hUpwd4PP4FnSB
2s4wbvcKSWy0Ekjuurfq0HfaSksKd5JLkyobCKW95LeBfCNNQb2NA1NN8X+1sqNQKh2McDVVWNT4
aCWCIpBc7n5OE5kPiBhNh6IHmDEZk/iBHa0oV54uVR/bRm1jR5WD/kWuTD12QHziGFPUcfbD87r8
uUkmgV+JYmW7xkJ8BVsBDw+LgRYxXuASbraraRgkTIX6WLQUX/OichTiO+K8ngnWpEwz49jERqlS
2PXHnzGco9IZ7ZquaYRqEubqCYqTq7aurV+jXtCIfT/m2Gexbd5qM6aNQq2gbLVY2JqkGyG8mOko
yhjYEPEAccgyL2RsC7HghXA8meR+7WRnW8lOevlTBLh106kZmn+gQxRctaVpKFZ1Xmmv6jB4H40O
L1caKpHvVHiisDvQPsRuBY3eb0U3eY0Dc66/hWYvw29lCp7ClvvcuvV19Tm0miBdjVMFMVzXKoz+
RmW4VYdmgoQbVCVDJ6o2m9PJL2GmTp9zOWHjzBbFmuslcnJQENSik9SMcbKGsJt4To4dVLGOhyL9
jj1Rp7q5ajWq27PjMY+wxx5aRmJxq8MFWHuWm3jc6yWu6RiylVa3tZVc61eVrlOoGJIG428gWP7G
rHGOdnKts42N1RadspJgSTTw1GfHMxNz6TV27KkLTdVOHK1UMlx7jeCnV/h5CEjSDxInTRQR3MDn
k8j9Iy34JU+N/wUlz+iDgumwdVtWAr3AYmYn6NrsVUhTxl736QQmrU/iEUqblk63MRzpbM0BqT+j
X+sRLFvff/FKH859r0KYrXozmD2jgJQ7klR690GcxvmD38Rqf4PzudxtrRGs2Waq8vzD+2vsrCZL
t28GmRA9ZkSPvMg0gtCLkrBt6mMfWYljFAXGsmp1rGW/WnUGiqRG0n+vB82+Unaeo9tJ9IOjAKGM
XjXdllkY+vQYGyNysGgaq2MRJ5qTt0gn576K6KKnl9umu8owu/CeM1OdwhGHOJeZxXvWUYbFtu4x
XuLdtgn1qRYLagC+6S32u1vWFtaSqvbHF1qyUN6RTJNaHK3NxbCq8BVrUrv6GMws6FkQfp0IBPjf
n8SzHJ6GhjnDT8EoUQFZ5nH1lLI95bQ7KqV5HNrgJZF1+67HQP7KarkwEKnPrI4CTJp1M//8t+TD
axDB8dW2PeYIYLtcWuBl0szYxGV1LY2/MBTgdmSWCYBY/C37Er0CUoH8cThmCAw7xIRpDZ3SuoW3
Fl95q/OmJ9Xq38daXHUjLQej1A7DsY/RMWpKWoD+hHiYFqvIXHAQbvGuMD8bBidyEUTVipp/vn5/
Ds9jPS4c6EiySKmAIHB0+mnNOAUzYpnDUUVfzxW1sG+ycbqmzXWOuORVucfOqTJLhYLC6TCiiuLS
qKThOKhKvpVS0d1W+GOtK70fbwE+WE7p99GTlQAbSmbxYXBorSuVhvWn5QUe5E1DmxITt4/lgwxj
hA5u2fTcx/VqNfSlsQbUkbsx5sLu+5/2TKaTJgHnKGJr7MX59RffFsEXgDpJNRxrQ9vGif+tt6zw
uSzLlTV7wreBG2v+dhzKPciGWzDUHxtW36owNenerEYZ4rDYvf9MF5Y3EwCukc4nZY/ldSJstdCa
Wns4osmZbJGJ7B+jHkBjpVJK+vPwMCtWcR22wWVR+T2dc7tMulGn6nGsjAYgWhxZH6LeRCZSQyXq
/dc67z1QKhI0PfG9gIMGduV0LAHkSQp8XTn2AHa59slmJm90Uq5s1dk2tL6wjwrJwVSTTDed9Qs/
yZIi3YX1gBhuxCdTV5Np5IeS87Jfja2n3/qk0dEsmwqTofFSbQ3gT3yf4IQ+JiFnrlMN/a9hyuMf
HDYtjoW9NO2h+nIimwMwtPvJw5jxz9cvohBUnBH2m8VFF6EQ2FGn+aMYj4aWazBDsLkKKGQ90Uko
r9y6Lq0VGsl/o6qoWy72rNS1nTTG0ni0x250s7hLnCDFYsofg6sCrnOF9fRcpgoHd2rulFItMxfz
h+Bbrk6CsYwmNJ28KQv4+wJZ8wzVck0K7iHDSG4MiX7HfNz1qp1f+bDzCIsnwDWdCMUSQvdlecYk
tmQM5NzjsU5A+CPwJZOa+aiaShP/E0H450TOM9qmU3rtHD1PSgCAQA43UPCbNboX+TbNuskI2mQ6
GlxnsAdNkaMSfcmlCJuxcVD+fF/SH4bcDBcdmO9SUA6b36ozzVE+2hB5zFAtP2mp1uyHHtb5+9vy
QtiHpTXTmki6uHVqizykxcJ2KpLEOE5gPz55NiCEyMYX1SlLWFyrDrnefS4BnMDEOkGP1J7sQXX9
IgaBVNbm5/cf5/ysmwHwFH2ZX8qBS2ZjhmRtlSszIniwn4HP6SjnWuWVCHs+mRCCwJFR4ZoLNsuV
nKl2WJZqaRwrPYg3fVfxyqoe7ZUGP8W4a5QrZYgLL2VREjHmLAyRwCW6gQI8Yht+pR9llHtWfUbp
q8rtZvP+p7vwVpyWANNsTvG5134aX9uirqiQ1+KYVUZ2E0N72bW+Fmy5PQwAG2T5T6FYhIO5cA38
fZ6opY62V5fJNOqjONJKUZyUbHbdyj2FaT+xd02J59/773e++6H5gMWiO4PCJf99+n5p5qP+oATm
UbGBIXnwz2G+NNLeLymzKVNVO1NmmdtJCn6+P/Db/JzGHU7jN+whurI6MfB0ZBE0CIZUfFl8sPpf
uk4q7UtJtTZa6ROfuH4q6Pe7YW2Br5cT6DcFVqS0dPU1cgjjgxIYiWNH2vea5BBbwyA7WogWb7zG
1FehaWRXlvcbNmr5vKCcUbQgYtEUXxxAdYyR19Bq5rFMpGwtIAY5ZltHz16ONpvcoxBpe33ocska
7/I6K7gT++FaaQrJrU1RrAL49k7cgyp6/0Oe7wPgH8Ax5noFLZ0lDsTr+ByGP/hPngrsffQb1YkQ
pbx2SpwfVJDNCUjIrTAGji6n0wWeDOdhutdPEvXIo12WEvfvobURnima/iUfPP1olhQNnIluirWJ
fASEnDBUlBx9v6rHdTc288eE0w7OFV7b3zGcatUbC0ukXRb59jaIIrBvlgcNezUUIUbFo1+Xkzsa
dnMcSwPvMJFxvV7JRlThAWsY6We0xKdbIbIqRXwvsOE9ADkHnyzr09oMongX2XaXPoN6mhC1aEvM
fxNTJGtKNfkXu4W131VB/MTpnP40/VBvdmhPZZ/KSreBtxSh+uRNprnhMpO+yGUeVIhzeEPqCl7m
FWyBPK2IQtOzqsWYc9XNiKqE1ld42BZt5a17pVT2gFein2GhRDIHWxL7jpXqVYlOnShu67aKfpWk
pMiYq/70pcxV8RiVbRojHB9rD6mKuuDWNHG4Qfh76PxVi7YezRyvCJJt0medkwSJYF2VlFfBeQ3N
WsVS/E7yAWmDPtfx9q0jEStX1sOcA53uhlmGfxbfAeRF2Uw7XQ7NiBiqmTThU9SgOW+LXnW11Gy+
1rqEeIvWNTeVKWnrvKTJNSEadyVFOw9bDP9WraOvRSdzkTmEE/4zuoftTxZrX9MhgKYSxMIx+1BQ
ejXbA+0S/HU7NEzf323zHz55b8RUyZEAinOFQW158d4ixJGmBTXwRDOnuh9ys3OrQCg3EcWwjeFF
/j05v3Rli5+nEwaZOac3Ww9MArfV068tJexL9pP61LRpfucZ1FL7VBrclJ77viRvuzXy2NsUGI7R
JMC72orj7A56bnnleHpLXBbvDy4CYVlwnYgkLEsfTaUqPc+iP02BAFE3tJYhrSPV6B8Ha1QelCig
2uvlcqGthO63gJY641mr8T6ALFp2qObjKXrbcTvqN12W6Q+V3SPflKWT3LsFiRLKkgU2Gk5ne9mm
j/waIDD6PCvU9Vp/DZhUj1w91+19zM2GtHRCYt9VlKxAk4yaOEbKmJ1TbQpL9Al9s+EEe38FnGUE
TAKhkP/AEwyhnMXtQDRR1VfkOU82dVrQZ3bqQJKcNkXVZ2t8P0L3/fHOlvpcQXuro9FeBa8xP89v
NSAfrW0cISPtqRZVfI+ZkQbt2LOST6Wcf4wrWX0u8954xvWwvkJMODtZ5pFRGJz71JzQy+ZTpUl1
rUqj9tRXw2w7LCUOoJtr59eFxU13ixLJnJrOlffFB03tdOjVotSewtHPb0I7wRzTwI47jROTo2zy
0ftToweFyf1mjPFXq9HDPcrU14Tdzq59vC44BfgcYHA0GrSnHzop9DYK/VZ7gi8xfpT7LN/ZBU2+
oJH8z+/P6aUv+/tQi6yL3C7VdSLnU2pRnBwKKXXIkPr1+6OcxWhARUBuoKZi40Clcn6K31ZOaCoy
CkuteApGTdnEcpjuQbxreHGO2a4tCuXGVzU8teR2uh9jRbkSKs/LfACaqHWDPwDrz/dcpAyh3nPs
C09/KvTBWkdWug2DKFnpTXkLGve5y+SHeur2uV49dmZ4bfT5G55GKpA7pO5cqg1BW33xjbvelOQm
C4ynaRqm+zZWtCMqusF9FzeTW4XgRKHZVq+xJqff8Gb/lOXhLFxbRdcSx/lIWDwIee5MEmMaKPov
jozabs3JrFLpSa64SKwUs6eTjShL81jxs4NIsYNdldlQaI6FtN2v3m93DUEWGmlfj87UFKGCtbQd
fX9/eZxtPH2uTMLs4lhRwZ0t56eOfcDjQMOOajv620E27ix/1Hamnms5fjnpeIN0b30wYrAzZZRK
1CPi7KX2tfDadlhuvdnOeq6WcazoZJlLgJhiVmEgqDYfs0ItA7cepSJeqwFJvB2XceZAkqFXYaB/
Mt3ZhQSIvEhLhNt83W6+Wvyu5w7IsY+g11pFcyfNSuYGWK+H62pCkWkl67UgbFK4RE40m7I7z0x6
c1XlsbSrEt34UUIiuKOz0FcQQcP62eIsbVfwX4p+hUZ5911vJ/2LLRfhXZnL9BY0Lk62k2fQ/Zy0
mmtnkR8Pny1tbMAoR+ktToEGolpRpq7I3grVrbjKSEiXFNPgNFOSRdRZaPeulCENr7lRnQGh5gsV
KQMUTdCt5+o/st9kSl+U8Qdfjyt1P0xgblZN4KPsGHZWra6I9/FrF6vJR09Sayp3U9x8UJtW25F/
J99DJdJBWFMspmwY2X7gIMBLFUPBbefXlXU4x4HfNwjPirEISAII7uCVlleLZDLyOo14Vli5CFnG
VtI4XVcq21ST262uBvk+UPJ0q0ZV/GGcBSsBX3Su0sexQ/3zmpKKstyweLfQdQF6MjNKOP8W2RbK
uuFYlZL6QcI8BJH0HcXptSK+BRYljVpsZg2XXLykSvRgTHy5vNvpQ/yHCTYPAYUCb1XUceCKvIl0
/Ba8kVcxWsNT5Q9J3gpH4LjpyNMoth2Z901ay+WqKIL+W48mNMqdV3KOM6QSCS71T3vmxXEqE0FP
j46mbQzPFKn5YVIPYXJfK485XVlLa130Kd3ZR01HkjeKnkRjY9z2dYSopumF4xv3KRlpZa31TFnZ
6pcoi7ZyWl052c6OlrfnAyz57+dbOqANVj9IsZKYH4DGbtO1te/W1mpYB6vj+2tzeYTO46BOQSOD
1Uk9b/Ed9L4Y8AviO8Qr1UEKxelWvcsWuvK9z0LxcpxFkhdqXtH1gveRHWVVO4GLCqS7jlZgQ/5e
V//xY/hf/mt++Htf1W8m8T/yApUVH9++0//7f+7DH2TZ+a/mf8+/9v/+2eJfPRav2Yemen1t7l+K
5b88+UX+/r/Hd1+al5P/s86asBmP7Ws1Pr3WHGr/aV8//8v/3x/+4/Xtr3wci9d//fUjh7sy/zU/
zLO//v2j/c9//TULSP3H73/+3z97eEn5NSf/kdf/+B+3r69JmPn/8x/7OnnJftbLP/D6Ujf/+ssW
/wQjREHMBjnJPXNuX/ev//6JBU6Q4gL9EBgqLIgsr5rgX39JivJPmvr8DhgXULwzTxoNqL9/pP6T
NcQvIKpFE44K31//+aAnM/ZfM/iPrE0PQDGa+l9/va3u3wImaHgVs59Zch70LkDXRYDCjCCikqup
W9GlK6O7jfxdWN0ivZam+6ZyBR4EiBRlVO91H0ne3dDshHaLUNhqzDTYNDfZ5JYJOo8rNLOwMOqm
ndw7mripLHw/1oISm+7UhVvWH7poq0n/l73vWnLcyLb9lfkBTMCDeLkRNzPh6Iqm/AuiLBzhCfv1
dyV7zhGF7luImZFGUkyLqqoukkUk0my/13IE361QtWtQrVynMi8/Y6EO4LVllXlKt/Z1rwstv6Ha
ielnJ+1XBVgOctsHVNZwm1ao9tmEK+O+vk3fgSH/2b+gfkbdDigOjp8G1Uv9uXpOfl6+mqGJTwHo
HrBahCoQ/ASrfh4+jIf8uXyWdao9iB9tSIxXqWDGa/6cPzcfWUiShIyvPQoMj+gE8e1m+BgiVMZA
4pG8YVrudvGqid/0BMXqpROPm1qhQ2wPuXdOAAwFnNank/AJIxoEDiHp4103zIiIC4jeF7e0mLgn
xqmoFT/AonfGY1HtFydXXKw04a6Q0blMtuOnsF88Nuv0drxPnhRLOJHkCc5a2VKwNZglBQQm2l+L
Q+eTAdhZFRqQiII/vDpU/9ir13tzdpgTs/sPGqY6s0Gm6f+/wAaZkwrTppX/PqnwgzUHuBCMGV4I
ALeHx/auTKpUApqQnuqKE2XlggBA/ARiC8TkfZ0lw3muF2HuahMh/W9ebWqxcZ0APFG4rAhPAUVh
ahFV6pgHags04YbqzkBBgUpjFjMcempaEPF0xEOjEUNzIguYNiOeYKd/L3KvBzA1WNNTMhY+sFkd
1ekswB2CPahBnSmpT8CQItrjQM9rFFKeVdreLl76dx90MndwSgDmj+/CGRWDJFkWR3QFleiTHJ0K
HvprtEx7CoZonpW+Sz+C/RlZMZ0GIPK9E7aKQc6r6E5Et6eBHAyBR+OexH/8ohakNwg4mLoYVVOk
iYlhJTlBWD6prfhMzj7Vb4P1+TNMmXAnbOJDB751ZCuWwS54Gl+KHgA6NNt2rD0EKvVPdO2TZl3d
6ydanMjaqIj+KN3X72hruBkeulXA0kNJ0CUZHYBfgKyUqJFbxQZgSlDS8URz8M3GtAvt8Qlp0ZAB
jDX6DPHqZ/GWvRVvVUy6gP+vFETfvotbBWqXk4lgwFQp7hDnRxnpKXFQX1wBOQlkI+DCeJZXEasX
yIASHvc8nh0fPc8oWVihknoOeXV+mSfy/ecy/xWXeU6aTCnHf2tpMsmyfBNmHHoT+JMyos9ctl5J
6rLtpUU4nFSnkIOPTlaBnlFG5GzU4OYCRhoVFHXO35675EQ5/BaXnHp9324TnZEIT6LAE+UFv77N
RJOT0lQy1UFpP+1ZTW8fUHW5pc1MLGH2QhNz+F++kPwjpQfmHjglCOmBrGUyi5Gch/KiLkFa4fs+
VRZ5RzIDTGkoBHHlqO/tuugD1zDRYKUAE9MWEBkjlZ5opKqGhcWxOEFHMaTeoITFMgSTCVVRtQ7Y
zrC09QGSt9qWBZLM+gIiOfaTjPnJbS+rJ6C8nf/Zzv7LAl3fzmSBsjrRI4SKVcdUaErDDnQvdITX
NJISSE0g0m5pkLFTxKDMWiDcEfGxB0dZuYPi8FuC2JnRb7KXU0oMVO/SOaX7w2N6Pb7JugbpSQRt
A8Y3wLL3AFFYeP4JAFk0PlY3i0fdXbjyYwHfYHHTvbab3qk20UxGcG7Jp/BVf/El1yb67T+95HzH
TbxA2Hb/e8CmtaV5mGaiLMDMK19KANug/eulbgjKBOnXftzc1ppmLX6PrTV3r+qvxeO/fK/T0p7L
MeecBjLqAvl/E6lVt+EpHgF76jw+ivTmJiBn8vR0dzzORCUuizNdvOvrTMRJsMgAUsivMyyDw9lD
NSARl74TuGfvtfAqD/2Flk5hIHs16YkjOAr1SUFg262LbUZeXpbMEhxrqeNJZNK3BXlQiU4ysgX5
FjFnjXp5Epn/bmKm8qXqF1GJBnEnRy7gAPnno89sb9rhTgqthJY5Fb1qpBmQkvbFsrypRApKUQMt
Y3eGN7MhZ8ZyCQlf2QRA0vjdxjK3YS769mos/+qG+aHevtowF3Sxq+toYYBQZIoN09qAY9OX9bMH
JZM7qglAAqufw6GYW+9LZuTqel1c1iKylKpzZv1b2jPz5nQLwAYNxT0hCyMGfYfCjrNBYleJqKnc
Ji2Ch7RkaNE7wV2aq7WYOzGXhbga0B9+YmZXbJIw+HdXbIovNz2h05rmWm/MNomwQ7KU5o4It5j6
rqoy6VOhYQLuUyb827tkIi5/910yOwkTufpbTMKPAogoDAagH2/kM79r7FHiRBo71Nc5jD3n5Lmw
O2fzDJxk9mjHjHwEFqlZzRY3T3RfWwpxj8ct8vtkYO5qoI8uc+9i4n4tIlFk/QPr4GpQ6iRGfGrO
C6BWY1Cig+Q2g6Kh+l4jvR3e6k4zkJaFLX6rl/mqXuIgP+ob5Lv3yBS94Z0FFdwBR/9sK+ResN9L
V3nSWENN16elC4JFa3HnwznZ+9b+Hr3/O90CURVRXA99lHTBdA+BNNq7CxY5Z2JQfFln4uyQNbX7
VWh/ACrIGmnNCuujWqlgC7zdITQlWLCdP/KNz9TdmXwI1PESx7BaTKBOqPV0Jgk+PqGL9wX7OEHb
WbQiS+BB2uErVPVr4NQ2qGjxZiDt0redtiHperdghqVZngkNZdAC49DZiVi1fSai11IDT6t4B+AT
aOT46+whwiV1ph2MLQ+XSY7oPcSf52VjP4C4bon7eUvom87WTx172C7IA8Jb9GF3SKkDatJ1RnIP
OK1Qxs4DXgKsPtGWS+Qk8XZleeKxN9EGkTFZbo/7PYpVCaoFiW6taos/HgEkTlbv/Q2YD+yGVqy2
zmzV0Pd7GaI/JcD9ZjF91/B3wBm3KpatU9Laj6uGbE4eyp8ZFATr6ONmFXsVKy1Eh27C9Spb8w8r
WGWHXrdsH0vQMpAiJx0dlvE69hrUs1JkfkizjCkYxnYywofxelgqN/yyfIQ+9fF1D9JhPBLyvn3S
HP9mQV7cz4bc34t7lDz3RCSkXANcE3NcWDUTH62nxDtbOmmt3HuqWcM6Ni4729hgmgXaEy8gzkAG
4mbU7XB/MyeBm4bfWVq/nM4pZnHRoDwRHY2qo5HaOuFOcQMb28udiNxsejba2bqz2M5w0Nm9fKo9
S1piiPZgW5TNWH1zkmLaDfcfkRRz8zOpSarOZXkGcAGfH76p/I1x01kbQKIixf0ssZGZJKXLl2FN
LcXBGciIaAe79XJ53M9Mz7zQmpj5P4XWT6H13ym0Jrbj73ko5+TDJAD7e8pPgD/+QJgjrQVOKw6v
+l2xv6Ce/TEE+g50U8UqJjpcP9ZWa7d2YzXWaI/4md73dm8j90T5a8OyhJY8X97HM1L8NZRS2vlL
5km2ZC+WI5OpxDRbtkKaWokVWTETrNY1Dq3bugLVGQwaZuJnBItaA44BkRtqVHZ237Ce6mTdMKu1
tGVrvQTMZAuLa1KA8nidJRwHaFFUqNkdngVjIUOeBj47LIYTrBpI021MQnL3otCXAs9zFx9Gg/OR
0sUuh3Y8JM7uoLIzDKOWHHK6lhuSrM1t+aY4I11D02ZkvVs/POkICoTEPcF8uM+JScaL1oaafl/d
a7AVEM8wCCxAQP2SfUPe+dx88gEdP6G+8XqH17lR8f7+jmzoksZWYgf2yUlhvKpksBu7sPi0oCjz
rmSDrdspKxxuFKD9iZ2cr/U21nNmrSemfAQksSyockT+sXoNZq+hC3zxlVegyvlKrlrGM5x8GdVl
ZxVe5i2cwuvZYCm2iNSjjCBKASs8skANZgdWaMf4LUN8PbXQeo4FV5hhh1h+/lzpgIEUwYzYjqya
nvA63m3nNLJGN3USvNq7yQY+L5iRxJs0h0kj2iNMUGABrYdH8BPjf/VGciqrs2tvtAYGS9+3ZCLb
vYUOAVjTBWww3AweEkYVWT5uQ8fXYMF6YwYs7tJqaLoqLeVGdyRbRCDo5LV2wcAMAwtcw7ZfYGVy
+0xlt6A0Qz2NFbqkvBW9cavs83XpyeuzQ0MrYKiXpegDwXCkZeZGhMA8t0ons1PL7rzz9rwVbZFl
S3zSZs/QckXDJTjrKCgksIW56QmOH3qCIQnDkEb3LX4/WTnr8Yktsskg16Jg1mBn64ypWCHuBAMU
pHzWwtLxZeCGYLTzw4PAgGuszXVkuyZK5/Tb4aaxSeQFHgU4khPObZ9ZUTEJWP0UFX9ZUYFms69F
xdTZ9RtVSNA+z4NjNQRFbaE4FgK/t/19/w/F4OMsyZAR/BXtEdATkA8SE60BJ9B3RDqgSiJjsZ06
An1r4bBi01peBICcxxruQMNGK2UR9rOBQ3iiJ2fJss1503n6Y4/9rBIfcdhxOdyg7IDhVARWZqP8
nPsXOL0DRfIfH6neiGQrP4aHMz0tTe/snB0cPltxUH3lhdvcQ1KfLi4nB9LO+lqkAtxiZp4mGY2q
jdEY21WqoyAkwE90Q+HJbzrK1WNjaW+j3bICanG0tceTN0IqgXCTKYzLSf7QUZOq08Y5MZRBQ2Kq
1onVTmyHmLcA/waKkBtYPkMRPn4GVu4Ey8g62bVTOtIrl70JJGsG+Rqz3AmP/O9SVKfw90b7CMoX
JXWs3ODvIHulV/4JkhvbJf4+ZFgbK6U+EzDh7Sp1+Lu+vbP+4O/I8Qht/j1YnuxoKbmlg5+4YmSV
tHZSjDvCupxs8Mnje4KRJVZqFTbGhHvMoAVAIoERcKnvsxD3kTr42qQOvx8euQiWMRvdnI/H5j8x
TtxJjnfxK1++brie4H8HYbtt3RQil4tdAwaEgYBCRHeJl8JmWIMGEPbDiZh7bVl7p0N8UB9zD+Ib
uvW8rW+lZcd6Gxh+TnMxcnp49tyYQTMBk1jjZFgFlYY0gZZrLGgMyG+gHDn5RUbn7LwdLUh3yrWL
jPUKXL4fe6yBiFPiWwU904qKDKBqB41KSCgkLLSEXWQndmiFFgOSNIwTgQlQ71x1lVAIle1bg3ty
Aqi0wR5YitfONiIJ3KBQMdbW5qo6dHicApg2UALonz0MTKLrhV18ajAsfBpugK3HBqLtkNtdBuyY
o+rHAZcmzZzFIXYiBjXvQ6/5FEbJgLNlAT+FaphJpGRMRIFyCoQYR6OmU3r1ul4bznFTQlVWUGOb
DjpUxsArmrBHydZw0zUmqLYKbHt+vgA9iOKnxFZogEKolbsyvY7c8ztcYGIwZAyfuY2LfC5UboMD
gtGyympYjtBWYRl7dHzg2qZFoPpaQgxEDUZ65/rQ87DLXITCvdpTlvVacuRH9U1/q9nwFmBn1ixZ
L9at68GvzunIHW1UlMP8SskKoRy2Ge1Hu7WEDZYWlmfgoEptJyx752TRTyDD0c/PE92/I51Oj3fb
l5jc3XXkHVafjwWjjRvf6Vu24taeREZy4CGWmtzyq5T4R45rmTAPASaKC76/35tuxRAGYXyblVbn
mrsAK7zATJWwpwdsLb6kGlvg7ZWNeJPTufkqx8JwWchny8fSlNgHA4rhkReC1bNG4RXCe52tLEN3
iZXk5jhQvrDr+GZCthxbyKcxhbGM7QD2cAjX0SphZ1LDyT3DkTBxylJ/FBAayhzcFt3KTKMDJmZN
Q5eH94hlOpZipTfBzWeO4vjY8bH3MzxQ14Zb4IJawbMmltBgQOzGxwgzIQvtUv4yDS9deSTTkI5a
gLy07WvkSS7RutKSLz4JP7DcQuWHAhmUi3/SP3Lfgx/ofAvlYwcuGI5tdKDdarbEVCqtJQjYZhus
DPx+9kRLiUjgqpSfXZ1uuJmqrQv7VSLNHaQYy24uliqkGpdjsFjtzE6WjVNC3sF63Q93jVMdASa7
qR2JQNrhfZCEjrQCL6nLJXMMCZxDV3FZB8sXsc2EVwniATfDBCLkDVCxjvIxWjdP0lbbJOvA07bt
Q+70RMBfmRYPkSKyujPhG3BZyOUwiLnYRcpCMyROgnOrQxZ++2wBvwVrlVTwmFTYsNg2bmAvcMj4
KvEAI2zrlWT1NLzvbLwL4dwWf9PtWqp7/QqS2TkdA4uP8ewiYMsQuDtbsGCzu4CdYGMjLv3QPVRO
w0rYnRHkW4LPxy6wQEMH8RLjEA9Q2iN200tFKczqCtsT64QVDJ369QSnpmDyHn4czj93gWJH8hAN
xS5EuJRbt/jZ2nylK4RauerkoplH1/m/EGaEyi9RyFMhGAvvFBsRNoMT3QyIcQr4xMxBZzQ+5fKw
gM8K2cTDqpBdmIwQu1pCfLyBWS1CwppOB3er+NyiFtI21jxIa1zEWADbHS+hCyXHd7gbNrfEwTMC
rcIDrWert0b4CiZ8DoXwI8yPqwmBbcJNDTAjJ8w5QBh36QPEnOfTFO4M1go7IYVo4w4vHE9UjPIE
xhmfz92dxhMJhQTHcTIuqugyM66AjzSeupXghTjMl4d9WrbOmZpethVRLJndt0ttg+XiQXcSvgh7
KHLLP+pIDmArbX228PB12YoLlKt+U6jAw35IMATuRGjbBVPwxZVrcud7wgGKeZXetW6/4ooZxoPN
PwEoV/hEblTAKLEzFrncGRxxiF7heddejfaHiEAP4cFXI4bQlu21bBvWG9/IEYyCzgnhAsLowBSk
a7SN3hSOG9kZpaePBoHqBVa3QSKkxPqZLMJWPjug3igJfcc+xgTx2VYPocN3NfeQywc+29CKcHaw
12+5GhJu+Xv5swtau/zfmhc78oFrTu4Nhg7cKHiDeDfFtpsxCGd97CmGwU8f+6eP/UvzkTTnTkzC
9eg1RfNqh2hcDOOXK44aRt4LF5PyZq4oc9554aO5KgD46bz8dF5+Oi8/nZefzst1++91gx6PgH7l
ukwyO5KQpoHJxTdKDRCT9hwDNvFME+DcNSYFQv/SNeadsEmq4KcT9tMJ++mEwe766YT98U7YrBU9
SVT9W1a0MSOPpy0aolgmqdkjU9JR9ZL3KDyeOM/Wyg1PrPLKMeQfCYIVyO5qlxxiAd/UQNx4ZKol
I4+hIdY0Ig7D49vfokao01uwtw8el03oR24S8f1hXCK8jX5JS3M6hA1AfEF7FD3mLED5Gw/I8JjH
tzjrivvHc3Vfs3c6yXX8de90Nv11yaRfeUb/pekvYG7+yOABdCJHsgJw47SEvKtawPy0Z775Ea1D
vI7H3O7v3+8H+oqgKmDZyT2eKBii6SuUCXb4rvDQOo/3IQ7ljez1MJKbEm+tKYLqtwK5QSnBMrvJ
bmpnsTs/yDtlq2z6vXpbWAUC2iUqRwykq2qElshut3sD6BnZIap5IjuEosbluBQ91KQuR6dkGkL9
jZ0jOhraEs29AcWsJfBfgGcD5zq0Cf66JePy6USM/efnMSRHpAEwVoG9R2z/iRyAgntIkNgDVwy9
52Wbgr26XyHwvQYHMX1/jylqP5D5Q/T/vmL3SG0gLqjxG0YJJ6pCGv6Tv8Lvfn+PubjMET4ZVBOX
d/Cigv3715nJH0fRr1Zm4tufosRMFkmjolaZP1ZI+dDnzupZTh4NYt+iEeehJQE59OT20svuoHiZ
WGuC+pc1Kmju0CNjgSuGgVmI8LRdi+SKnSF5FVsREhO4lxgx1/t3lNoMl1n7RO1LbH3OcUtdykm/
M6qv7mRiVPfgFtd6GfkA/bl49D9QZu10S+MYveh7oKvt+x2YnzLSh4yzzutUNAnAzYWRGJvFEc2B
Kmg9Yt5N07/mbzqSfExALXZMax8dXhSNg/Jet9qOtE9fr4AyQbq6dA+goOp/z8bEUAeVGgB7fZwN
4ClHyNN+8BRoSt+AQURYQKINeKXuUju1TxZA6I/JMdyAahmZuwgZIR7T5vXBX4/p0mD31VxOzHpw
AalKUvDcCjJUKkUmCqkQxT6vF6jj4vk8FMSQ2r3UmtAz2vglK0clkPTQ2UvULqFjCplNZAHrS1IG
yOA0xlBRE4McUYcU5mmDnBGspszRntCiOlN5DCygGXnDX7+SyzFAqI1IwPh5tmCB8fIkLfIGG17y
MyBly7MDPD+UoXCps4IDL19qkYnz75H7QT3a+YZXo9V3J/zk6W2eZPaRfubpdF7OxNPfvMie7/eI
psi+O1VhBSpT9sFtZa5KlZXAlUfgeXBjlF/XyGDWLFr3iNK96Dej5fKSnwUtoO6R+MUqLpA4rZH3
a+1LOg1BaD7ik9dfypJMlqB+Tb3h9QqtpSxFmAgZEsWfhdOt3t996/Pzbv2ROoddlpAsIzh/kFER
w7cQZ/D4abIaFWo8Os5j3lzv8+8dIt/IWyNR0Lj8d54F4rFypBcRXK8u+WSkbP/N7SVPWiQaNYv8
QcGWT4l4qUFAv67Lp7e7U9yS8OxZREIaQZRA8C6XkBjHgg6koHciuUvZ3d0xZ6l9uUPIxP37e4be
Oy5Fvz4HP7YQfzmblwbNq30k9lnUKg0GWh5ONyoIKRkqzZzWyXkVmFNhkca1/DBz0TlteekQu7rq
T235n9KWs/thUrL/m+yHOWEsT4L9f9xpmRO7l8rAq437U+z+ucTuxEL6k2n1OUNJ/gMMpTmjU54Y
Sn8Wo3PO7J+C/f55zX6DRxO+M1WBkcoRxTTY0RPpqOVlANARmHqL/XOLyp2bvHe9m+xYbyQXRd7s
A5UU1ol8JJsAlhxqD1hzhzJ6Gi1hXrjpErU9BMU+cO/eeqo5NWrJgFnl6Pa4yRGJiQkK9dpNcqmr
yCjvMgjvTFjeUULDfeGAlSneVyXZn+DpoVlzxpSdvb2Jf/YXu70LYct3qweEe0kC9DTI03grwpXG
WKR1GgHoFs2yA81uG5TIqA8Ge+SmOa+F7RmMcVrdwv2AA5K4yUq/1IqWtNnwOtDY5m0iLdBrwD5D
QId64nV7vHmAxTcosrLTjQmXn5ccNciQ84JLlPJQBWsKyHcHfLAkl0inO5pkm431tSE3e3MTa+Ev
dXPKDyu/r1Zucu4GMQkyGQDEDsIEGlnt7xHXuH+EH43aOxFREMfZqYi4tPQSndw5u32BdhmJwh+Z
cSe42vpqD02OSOkDyeikYSQ3trc8fr2Gs7c50Zm/421qfEa/us+J/gPnXqQ3FUI1pcVrSZPtiCCN
HUF6vfLgy6u3lcnL09oJ0D8aLb0tQjZAp8ErN68odsTbcooYGg8rDNaz4tSeaqc7ea27+mrhpscA
LATu17PHR/TViCfacfRNI1/0GDGwbe0VAnpff/yFMPKrz5+4+Wdw1OWyAelRgSIazUADTe5feTOZ
tFapiJ8ZKjA1l1do8kr0E5NcW1rxsnHuwYd2yA410MU/K3TlI2LRrRUqQTj4RKGnw2hVBMVppO0s
//D1wGfmxZz6v70uCuGIeUn3T2gd28852D/WGr8czinvQlH24VkpcYHVGV3EI6pCgZZFc8T2EEIV
yC3fGSN871fEVW2POOhky/CEZr+CToZ84P+PHbBu7iryBNIsUhGMEg1tPEIYwgtfVuQAXYgGpyPi
eJ+g3kJZ3ufM6ip8Fr5Y3Sk5mVCMQiyGuAlIlQGDfzTJY4kAMI8WP2/4My0DhRPkO2+CWj/xxROc
irCvF2vu3JkTMf7nP3dT0pF/9tzNbd+JwG1+8+07Ebp/ze07Ede/1/ad0Y5TMsN/SjvOCeBLJOvK
fPvTCGD5x7OCRJQBqiFOkAPZczXwLBGkWtM71XkN0Z5UOzmAexBsfICso0eYKHeQdwy9FDxJNdO5
IIlcYHwv2H65+CRBehrPci4oPfprU1puY3QUjeiFHazNBdnrJrUUN0OxPS/nN9FM1QNsCnWeRw2N
UK+r6hiAi7sk4Dqs4cyU6OniEh6YGorbMv8JJen2diviPmT2GeMuWmexEpH+jUmKrpycKfQo4p+D
1zu81ShGwD6yRRf8LCRAFwmSNDzQGluym8D/Se3YSlFijRfR/SHDgJaZyGT2wu3oEi98LWyBuzkz
OROPYCgjoFD6WBlmoJN6QDMNl/irHKpngFnJfxUh+jfP4qWbhvfWoNsYzxjk8X+yWLwLu0dvuWJz
HZET3hvwbOIvSzzNrSbeicP7EfmnPZcEr317hDv+HuAHwym8RQsYivh5mX+BZAZShpaM5OCCoNuQ
9mjv4ll2QG7x31Huj44ktIUb6BhoLw0WYFLDK1ZGTOdb9b60lKCgeuDRfD1l/x/99Mt2muinNJDS
Jk+wnUR4SSV5DYhX0sMteGK4aViTjNn8Cb5HUivznp8fBvagUCDXFTB6Xl7egWADHR6T9/3nMsKu
L2iIzZCyubWd3fjcwr06df9NG/+HsFGLxS+rOFGqZeVnbZFiFS/mPI9U8AdfNG6+xfatd4seIvQS
oYH8YvRHWN/b11cwNZP95/09oAc+PhbAfkrgD/set/DQT7tefn5+opfw6NJPAelYvrhLmfDzTI9o
0YvQolOgDy9z0ODG87Xx8hhaA5mRebN3N9Hof627mxdaE13/U2jNCq2Ja/iHCa1ZS2HiY/6mlsIP
DW1TEiUQ2kiycglOXMlL39ej09BDF0JLgQkaRzqHgAfU3UiWL7oN8t/ljIz+IeTs4uqSk9uNZOGs
xzIuGRrSey8ugEqxqEDAcn5VQ7SftlLrpLFUsSRJUzsbgZGqSoAaVRMCCq3HrgPQfplmNRXEYpe2
8msRgq8pGypHM5KamF0rzo34hwbDLyNWJ6ZcGieJ5tcQnEAiadGHi5KckBaeQoYN4oNnNPa6BWBA
7l54UcJyGwCff0YDX6L83xl0V0OYGHRpZYAtXMUQ4FhzEX0ILN4ox+HsToTDwvC+wQB1QntYV8fP
E2ohvrYBZG4VfTWCidWU9k2dhCVGsOHe8ft+wwERb2xg+p05qs3dMib7mUvOzfvU7Pjt5/2CZP7V
XU/sibpozp0g4K4lu4Qlh7qwkiL2hVBHibKC0hlxXjgwApB8OGfYFn183DRMyT5DNUHEUCAxuFgS
bv1qCPsjyoEipc/7r2fqx7LuantMVHu/aAVBzjDMe2jrV25hwiqD2YmQBjdpH5nTUuARFWTHQRbf
VAALcdhGZ1txP4Q3drvuLbcE+NA7Ho+haES/v/88fn490tmNzNf8SuD89ht5dkknmvQPWtI5Mclp
z64n6o8Xk3OndSLX0yBRuqTAHkzJZreeifPOfPi0tvmf+/AL0cQXp/xSH3G1KeNe0US/g0rCaalx
gCXAlACYhCab+OFM1rwLPqKnbY6SqgaQY8DXANxXQbYAZ+AVT+884/BkfX1S5s70tPL3jzvT0owR
MQWR/y2MiBltdJm8qxX7DbTR7CaZyNh0jHQD7N/YJCIFlFiAQl5YS9AANeXQt1wnCOS5Z/D5HQ1F
dAMCIIntb1GL6KCW8YjefDpjmcyOaSpN/wxjmsjX3/Iw/YOOcvftLE/4Lye//p//29Tn6uUUvWR/
I0318dL8Lf/82/H8co7qc/RW/wWoLzlzzFfUl3nyI75L/lff+C4FSTP+DrZZ0NDo4OxW9QVe+kZ4
KYCd5u8LFZQTCwOUuBJIL3+hvFyAJlNEyb1iqrKsiwYHQvkfzktZ+ju43IGNzXl0lQX4yf4Zzkuu
I34RxJoBvjZdkxRw4oomUvXK5IwZWq81euUrh1qQYegmQUXVMDecs0Z8JNRFA6yGXU+kcTxeTdU/
9sd1vyS34yYXNgxMD6jVFFB3SpiYa22bwrjW6qBSD+CryVluhIh4GmPofX0V/im/uopkoj8BSOIL
BUFhFGT/+ipa1sZN2pzF/SgoG8EoP3xJQBGq0C+T7j1Q42wJMvcZPfJrzYkpnVxzYsHm9akq+lgU
93XokzQMgL9Tp4AcEYPdophj7P21Jvh2MRXEp+DSBUudqE+mMRdSvz2buFiYdSIzUfUPhrhkYBFa
G46p2IX21xMq/bo253JBTZYWkiYrKhhSp20fbVMrlX825H0VJAfZV+t15ZdeliReIHS3lToIXiRD
Z6uu32y18xiSmQHwHTlZUkPTJMkAi5UJwsGJBM4VkPOa51ze41LKulHlbWTmhVMKneF2eYMIqF4D
Q6fNZaaH2fmY2K3cwBIvsvghijJP8M51e958Parv1hzoqqqGWVmICxmk2xOHNQALlVScImM3qg3q
++thIChgAjBUYYzuoi/n9tikahXLgAtqIJCWwea1kLXpuletXuuLctR3mWYGdFhEx0oSVlJalHYR
D0CGOsvj7SnrexKWAtU6wMt0HTDhi6Hw5EwD2muaH4PGMGYU5HfyBONCk51ioq8YdLxT6i1R7pMu
NUdjl4uodT9pHkBmn9O4KS1Q+EpOqIvrphpjdzhJ1UxA8odzYqq6qOsKpOJiir9SnQKjblpc2wjq
dWrEn+bQKndS0NsYbf9gmM1NeAYA1qhVqqUqauCZCH3khgKs/XYY1mbvyzNO/I/2hWkgGwVWYcNc
XKLnV1aTIEO+BqWMZSqqZCcuwBd7DpqPRFCfMtDWz+zC6eRzpp3FQuGyThb59P9a2nWR76sdpOBh
YTYvZil7VSHYrVDe9r38HI7nuz4C5mg2+jMS73Lor8+kCfWmSFBjpqyAJ2GakOyisEC7yygdVPMY
GTmo5gOmpgoJlgEArlBEB1S35kw0wNv5oDePIqbM9dxcFMZ3Y5BVaFsJahVb79c3D2JiRR07WTq0
aMPYGKDpUF5V2W70rVZR7IVPQ7f7yNUFUIvRIqeh548kVv9Z8XSZiqthTMTTqYqGUyBgGMGnrtrV
m9S4oKSsWioYSz2jfkNi4CW+6BUzpKU6FzSaeAbYY3wlri4/2QLnPEh9ccDlOwCcSG4gu23Exghs
cTed4AZ3qnShKB7vTgByesxOuxpdJR9fC8MJi/z3g5gopSZOs4WqitKh0VNQWz+1MjriFhVp+7dM
3BfYIJUJv29QZ4TPpVz4uz2gSFwBK7KuGhPV24qgbR+ik3xQAT0dUlXkrHJNQPXeaceDHwAiUXGh
GkjSbeK6J1X3PObbTF0Ond2dbg3wfqlIuSrHsGFpsYxAoZ3QQN/Isvv1FF3squ9GivOiQHNDjanT
baIJTZUninRIKrtHlrElN3rPFj0FLTaarwygAgOkGNzgxxZQym/tZ+1pGTAle9hlJ7vInLLZlhKR
TZKhIY+JtnZf56wJaWMQVaJm48rjzNaeBEi+LasqiRAysBYXoHD/9QkrwoWfCkorHxJ0fCXu8FLJ
66AlQvZkALo0pVFADDdSMXirjC30243BfuzueuBcZ6zfhDPS7hIFns7h9Xgmq91LeZjlQoPxABY8
pUNAje2i3QToqI5s3bBAThsnmzrwlJqFvZ2Wd7HiSgM6UJub4DmFIDrtU3Glia4YEQGd2OJD1JEq
t+RyaYAopVLR8+UUkaMDyfQxWexPvqtXRDyA/efr7TA1U/mpvb6TiewyxfO5Ec6Y2Wh8Ppuuadgn
BJsXL81wryi7r6/1nQVnqhCQOtQk/AtJB+P9r5dRFULNNDNVOphnsNgodgrgVd81N+azAaqxry82
ialgz0wuNrmzDvDyRmhgnzdIniv4n5wrK9IR9TQsI19qKTGzZRI6arJqWxASUwH2Uz8eIiQmQJcS
37TNFp2IYgGc9hJYeDnR9uJ6TEDSRWp0El9IkKVjdARjVolw8aNqo/o30TdxGIGRRSBKd1sr7thu
wtiKVZYOayVg+OPoTc9ZKBzkbPn1LX9nhny7ZfP/kfZdy40j2ba/cmPeMQGTSGTeuHMe4EiKIimJ
cqUXhEpSAQnv3dffBXWdKRHUEKfjdLSJjqrSRrpt115bl+EGIuSb23x4m0Qi6aDcDSsOYENhJWCk
fNOeO2pVquuJFfCJrWGL4LqIrLJYeKWfibmTVzHtOIww/gNrAAf59HilLiY8zLHj3F+FoOwEZeBo
TxpYT9HSayjOEO5TfZV1gFL3+jqIrf4dg+47ZteKmWa7rnADz+1EaKrh49QvG5seyizJbdraBG8t
vh6rR5aZ5KiuAZjXIqf8KMDwmDzz7M6XLCVzA1SP2P2obOUcJBoss9PFWVnzMORzk+FRIQJWgTL/
hJx8cayqvOLG6GOTY5BMjlYEaMirDO35SJEmyq1G2RW+q/ZXKRKH+6Y1a2pqgHhUbkhtuVrVS3b/
cwz3+bb/+aCZ4fXqVkmqvlfu2GAJJKbUx5Bcd6AAPqDhuI13RX1oxaGlV024VehVOtqNZKpHvTQD
AHipGYUmgf707cqz0xShi93jUFLTP7DACjKr+Vk9Gm+5PdwFt/or9UzjiNvljRuXAs4Smxkzyzvm
es9UNbVHJTJ9apJfMC1MN7vHZA8fgB/4TQjQaOJ2raVKloY/pdr5lfR++QXMEv6/Hz2jSHkgtUGR
pzi9gqpMZUWWOuVOOvKD/ha+Y8yr/jNRtzXZyIpLJbeBur4ur/SPcjT90CwOWHvyCkecPwMElb1K
ip3s6zvNyR+T+2Kj/yr3uHJyYqbPDbNqGJ03cZdee9t0NKVbMBZvsqVoYu66f94wLisq/FpGmDw5
219umGrEWd1zLAKbW4IiGxji0kz2EghOy1Wum0q0xrEZHzUGeKWIKkBWeXkbPxt25ldqCvIIMhiI
ueeT37uKSwkNAvUueE+BDHsIQPe6ihqbg2ykM5GViTs35i6Uph5a8rNqsm11n97hQJtNktspMWOC
yGZXP3SByYBHk1aXv3A2IO6vg9Yp0jdw/lV4BLNLzxOjzCnDHmHaGYAosdnfw/7rt04orOqmRlPN
/1LgTLmVcdJIdLpZaYlQwqQfKUZAyOYA7tjBHHcEnKHw6paGti6uc3YX0ij1WDLdBe9hfKtVs9s3
H+xeuQ1f21f+GC/4z2dhHFT3l12ls2SCRJPf0vxHD5wTGG/3qr7rwTQRUizWuZeEzerc/ljToNIR
ug0YpdZvtMbyh0OWAWI2AFmXPQdGAjxAbMKfygBWkl0iWTlzBSywd98Y60y94eM69/ay7pt6+UjS
HcF1axF56QevOGb9Ennltw7M1/2ZqZcglKRGE1C1BZh7A3t4SLN1Bu5gYWqoAL/poZmGSxdv8lPO
3uKfm05nvm/a1TH1A8j0cA6KOQyOxN20OsLHlDxHe5AMO70LfRNL12+8fOmhfWfukFeRVWXK+8rz
3j7J71LSjIl65/2SX/3hyvvBFSf9mW8VYkr1QSQLvvV5RD/dwT8CP4H8X7Wf36YVzwr1jnJHZXaP
IdvcTYb7FGvXMZQbz11g3IK6NeBnRTJ11WxhyyfdcbbjX75gdjHbkldEM7Dk9r7EGMDGDjAsTZhD
dH9Zp5z53pP7AFUmG2zKaM4LnYFfdv3gefKx6xEzlmbcXA2F2yaYEByopuA/Los7z1PM5M3XFTWp
UQrIiwYnZusmcep2FWMGELVGTIdJ7Dqx1eI2NuwIwfNDe1th/KEjooUTXlr27BF1jOhe1+IzmHLF
wGQNAvvqSvF/iNRK2N/XMrNFz56PHmYj8wJIk5jJwMMDLprKxcxMWTd9jGwgTksPyY6hzsscv9/I
P9LY1Pwd1VCNsCPPxN8+2LuFLWVWSa1CQUoTaXwrV93Lx/OZJDy5drMvJadmX4+8luUZvjQGy3ht
+fl1APb9dhUiU7gPqo2fbXN/NWACxmhq5SrFg+hb1dSHt4LsSQ4f2xOIgBNby5FMKHcdRmIV+wgt
LSBKl1Srx8Sf+BqdQmbirxo5sHQYLmr1UmzRAtTmoO+X1pmCCdAIVAvjmLTvl1eoTHt9tkKqaERD
shpln1nqQZeCsBEqVtimh5ecg7sMVB10U4J/XPuhRRuO0H68iXurptaC6MlyXRI99xeY4HIgQ3RA
HIOvwg6bYDXoZwJiH08BDaFLbVPnxmI6zy+rnXkMaSq63+cZX2fyRrb69qrlrkzfjQAPbqdxx6gW
1DU9U9cQqmLmOdVUpstoSDi9RIEkCyqHg3JEFq4uNkReFYMZaEjOuHpgcoAaYnN4lKA5ua2KqzBy
jWClIBPXuSr6K2tYzU0C5nxwz+d2CN4lyfIMRw1t0pn6XfeD72Swu5M36WX44eMu+vjRtR3EJuJj
kB61d6XmEgziSSy+Y8JEmrFS4LBOjqoAjxO75nlj1uSJFavav2Kl1SUIIBae0qdNnJ+2qlHU91RN
NVDQPN2FmIeN6teSfBSjCXklyvbX7S90+46u4R042vlSG7cAc9mDnw3q+sLG8ymf+iuMgeMmu5fu
osyMGTZgBwePBI7M1lrlNmwtfvj30S7BuzR73REMA7RXwbBtKrdnJs1NH7MH+gcuOQ351UhXsWxp
mdU17hiagpnqCqmiEZv5FFCk4z88MAUhRkNWOFxw4c+cq8978GcHZkq25hWvmhD3vVJv6xxhxEpI
a7p5LRK0HEiby69rNqQLJmwmbaZkA4kNUkqx30iybMo3A0fNQL1fwH/M0NqRWwzjZz5ijJMFWjxd
qXCaMfK+Q1z1Vr6EkQlD4/2MljJA3zx55KOnxkWUPwB5Pb0Esm7IIhpD5Vhi5FFltr6FuOTyws+d
lWnhukwN/HgImmdc0iKKlaTslaMBHB0m1aDxIzPr9/inr5qhZ9WYkYum8NxM/bX/dFn2DKX5e9O/
yJ7ZC63XeEASyBaVSR6NJ/mD5dMV1J/apw79OeHUxW4gHP+BbE+lWP6TN82DjrDXvikvEAR/Z9S/
bsQs2+ZzOetE3ynHOrFGDMS5TXRLBk+VDw75y+s+D4lmez6zIikfBykpR+VYDemaRUjm4TXaMgZt
KdcGrLqEwMWV5N3QLKiVRckzIxIlQyCjmwg3qrCR4CrQFoEJgJgcgghFNQlG7TBTx4ihxShwOsoz
ffblqGemJIlCog06BNOX5rH8gTtGX0dmhqkpPUofgWwVmNPcm/BMFvb6O4v99VgnNfPFGderJGRG
hL3WtTsNw21a2y9W8h4OpHYYXslH069yDSc9LlynGXb0vy/3VG6XDR1F3ZkG57FRa20nK6iHWCGG
nGmWNLilt9J5bQ8vlLVmE9yX2XNqjCYJ34R/HB7G/KrUfhSKYibKTRehAoNaLEqBHtgUVYuqg6mJ
0tLUChUW5/JGfX/9/3zuTNcEXq60NSQfPSQBiJXDzlQbT3lE+bEpltK839r4KbmlyYBCIA95eih1
LE3TGnLlmNZOQcE4kfeWAqbCCWpwHeSS6Qk3D64WU5/adL/PruEXwbPbUEgZyxs9wyrhtmNcemui
bFREdqw6DByIxGxaO2nt8QmFkEh1a8xcbYDtt4Hg52gQ15wGw+YaJ8CQtmgz9FsVxfB6RUJXo9fU
uG3J0QdnYbtpuyu92Y39yqsWFPa3ZvHPCubwfpYKRaqSAteKWDUy0yXuB7KhQ/ij7tdjAH8nsi/f
jPOU5KSuKDAjaLswVDIHaMTKSLKuhkcWGBtt1M0yvK6UBvFHapN4ozZ2hWlAGPYkWyVZD1Xi9ogB
Fc2i4Ggs3Th91JNdHO+QdFPBdioO/bhjqtVKtqaaZb4pup2BqMnInkr5h8CIqNYZ4+eYbMp0o7J1
jObOaLzOE4xxjwsnDZEvV5FTUe4C71pUx4XFnr0DFAA0QFEo0uNgzzFmunkQughoD0eA57sMrh1h
GGNUI83MVsljyTdGfRvmB7zWJNn6ycYI3TFGWfZWr8ycml5kpbnVCZt/1BxMCsrgBIkdqXYDXw1O
GJyHvSQ5JRLtKeK2bb3KY7SNxoPTl25lbLpnFc2pML3YkBrkLent5eV9VnFPHsBseTMDIOnjULcV
lkfQotkgQrQqECG8MkvCFMgWXJVooEUbbHmLLLKhYuMd39gSHQkpl2Dgnm7mWBuxGOb+qQ76c3n3
K8R0O9VpsE3aKqNWqFiVtMrzFdaeJCAyJOmxlE0SW121rg2TM0sObH2fGJYSWtiaktm6byWjS6PX
pHFqdYcUeyXsRrVRsS0Ts0HvSmGK3oywfS99YeYvCF9L1Y3z0aSeRZhb6k85v768V+eu0bRXlHAi
ywx5ozmmuVSEAqSND9eIOIPqykFkjvVN6udmDUgQupCIVTU3fnE1Tr53f0XrhWTmmbaafcDMKQVL
cFfTAv4fC9eseMjrvUEtQ9123sITP49rZ5Lmnliua8BEwdmWPadGaDkMzwq9VY1NkZtNdsW9dVRu
DWFnmV0tsaIoZyptJnzmecmJVvTedCcLEJYMFo1tjsvQX8nSqkuvq3ajB67eO553JcqVEu79ckVL
i4O8FmZxKXV2DsCYfc1MAYwlSRUvDJRjkm5rY81QnWgccszegdsrAB+olnyyMw9lJnD2JIHoIeWo
YvkAOKbDe9FuEuabVHuSk7t0sIvqtkmesetwXby+2ly+5OeBD+rnqgxgEzcoELNnwK9Kjft0JNEx
0XNMQ85ZapI6EU7Nxx+ekYEpJR4JgsvmxS94sI2m8KvStc6uDERDqa7rq6H09l2ZpBYZhl9MzTAk
U5E+ypq+wOcbVloyvAW+246dsYPFuh+rslxwts68SyxCQ7isMKZrlM2pUaZSvaEJJTqW6QSqoEXv
9DBbq8t7dZ4PQTiuUGROgd9Aee7z17/4krXRa1LoG8GxYPRHnyUj5iLWAPhmNUpMkac4gCpfc2g1
wNNQOW1QVNfapbWeq6XPrwB8FDwNnMpsliDpS5b5vjcER9qjlBlVvs0KGlppU9ENKe2MATbFidY5
iNCTbC1J11WoHo1CeWg6MS7c3uk1fLEnTAakhTJUJTlQQ1yee3JF3xd14Hn+sYcQuxDxMegrw5Rr
/1dXltKC86PO3sokTiccKSlU9HSARWeOY8RSXR55hrW32jVVBQaua3VgFbX64MW+GedErGtVK508
TV6LCJGUJmfStpLH56yFFc9bQzIJzQvHj5M3FED9ptHXRash2uyJZgkoFkXvok1A9XjB651jgKaP
n6oQDHcHbq88b9wZhswAkEXnd2qP0sdYIH1YKilxuRdtvDre6ZKhbFK/r81CSjBx1U8k1y9RQ8qL
qDANmj0OWRGZQlY3as4wjpVtaTBIdmiAqVtvwOKsa0vnO+v3hSMkf8KsVOBaZKT69ZnH3A1e46mG
Lx97quyDRDa7goR2x0S1HUPvXhKRdKsmo4+qe2+s4yBPnbRS5VXIur0e5vW275EsBLz0ehDJsGk0
xco9fSeA6zYHWQ5uPKzTapoRXgDV230gN91eSHJoZUk4Wpdf8FzbYTUUACxOgSkG0Tj+ngUetAm5
0OXq2IYcMxoD7L4vVWAW6FPD0UsBIFb4bFClccGcHlieDyCNkURAwWXw2cq06a8kqUM2CpXlNKq8
fSiQgvNH6oIY2crKuritVSODEzSAJaTNMWdCKj1b7RFdX17KvBYCqDTAolymeH/cmNDMp0uRu563
PMn5XZiX2VYS3YMKVzOhxl7HRbIymmMOq2jW+ohcqdbr3T4JAGjRFBZdxUrkNJ0UXmlxaCJQzWzA
nUJb1WDuPz/zb/Wy7MRbmVXZr3retfLW/9+3DJBz4Qf1fx3yj/RYlx8f9e41n//OSd6/fyt6ZX7L
t1/r15P/cdJa1MNt81EOdx9VE9f/9f/wJ/2PbPqd/9Nf/D8fnz/lfsg//vWPt6xJ6+mn+SJL0Zvy
+Uub93/9Y9K7/7m/xf14/yhf64/3z6adj2pq3/nch/SjEq/zn/NXx4tCtX/KwDujlga9DngjHKG/
Gl4UzfgnATxYQxUV561THHaK2xT86x+K/E/0L2ga4Pw69DA6Nv7d7qLgV2AWcUsAaVaAWvtb3S6n
zujU68IpJTIcYRW9OPTzaX0xfkILs4TnabSTK2EprHb8SEItMzXjRDV9fv9lt27+siD/ucXltzQD
4ZfCGVLgU4PP17TNKAZFGsI22mVSuy4bzSHygnt/6jNAggG0M5kA9xR2lHx6pV/W07dFkTdpQnaa
J6tWkHRI+It4qYZytmtIrsJe64quAM93RlmQMENqdRbXu1yPgcNrdPSYlEmz6po8cIoxQ2K5UMiC
OzRzVD7XBpiQAb0wSUYB4XT3apGKPGO82lVGI10rXvorNwYMYs44Q1TdYX64AgS/HkCTDyMeKMq1
yIOkLV0sXp6G07+/BNdPk+GXEXnOiAXMeyfxWit3dSqYm40AGHpaqTxLkeGvva7G/ORYJS4RGvju
uWSYfoJyTsfazC7kVtn0fRQ5Q6xFW0P3DLMVqgYnucjXft8+ZykBbjfrKjstGrZSEr2FKqek3VKl
9O48VOsCEy1ZtVV4jF7LXkYX4ulZ7PLf6wNUEbkCPIzP3MmXWxSzcJB88D7sioCXrqZ3TxlIeU28
YMPO/Np3wz7XbptsYGbiGcFex41Ag03hHbxQm4JoMTiGOtx7Dcuey4IMN14S1TZcO3g1cFkW3P1T
d236XPSMcXiOcPZRU5hb8yQdhiaBhtkphk5XnYGiWg9EuFVqHYf905ZwWOePzFBUTQETMawUME6z
i6jHPI3GiIidLIQ1piAW7mv7sqaYGcJpTacyZj6hVtNuQPwqdpUDqF4L1kYYPrDeSpgCm5ogsHRU
wOUyWzaXbvf5bhoKIg8ZObGpG3EOmc9lifr9qGMkSe2i/+5apOB+ZcN2IOVfZvQv2/SNOtSgxb/4
2X8tkiMhNTnZ0FdzZKpaB1EZDarY1ZjYIe7Ce35Ir+kV7rvyHF5jbsQqve4P6spwc7d68D8ASb7d
5/tsox5QQyGNpf/qwIN0EAu7fxq7n3/XzD2MCsyuKKJR7LRuO8CryFPqSGUNkN3ohsIwg4RZqEFe
PvKzW8VURuHGAUoPNxph0Kl6I6NUqF4j+l1dpL9INKx0L1vqlTs7208ZhsbQADj1WU4p7C8PW2mq
XE61uN8hAYPkH2ZboDugJTd9tJDkOVfWM0nT0X+RFIZB6NESkjQTXGxX+jq033QwMleHfMH9PTss
SPrsdqSw5KgqT9HVF0n+kMgx9SApJAXw4ujbQMZFGV7b8Ukg6xpPFSFjoYZ5ZgA+ZSJogyvCgMCa
JXdIPGpem+b9jsegBkfC2jOYYwQ7xo9VDChKsWDWl+TNHQep1nirQB6iUqAqs107pq6v/KK1t/GR
01WjBYHfXcYpTYjEANwt/Od0U2W1NfqCZv1O6YJ+0ylIbRsxW2ogOTs6TqG4ZRmweIUQePynUvw4
a+JOr4q90YLrMKgQajObA9+YBQmCWN9iWbDp0e9y+aWd7eanWHh+8PmAn5sHGWOcaqQPi2IvcXEr
S5Fbe9DjRuUUavbCY5Rmgei8LPKblSLhinI3mhAp4rXZcygMSSHetNIixRSlxNvoGnEr3XBHubQ8
Nblt9PSq4pvLUs+eO6eGAaPM4DPhYcy78BKBvtgup8NeEM8eyOB45cpAKjvM07fLkuaMjvDWVdQE
AetAHy4C6rlNZFlckkAbtR3ZSQdy1e2jKwpi5XsPxgpUzavcSR1imA2AF/rCcc690b9ET0IVgkb4
T/7SLwqgz7RB5cjeoTKFGVbwA/WQmwNgxxU6ekpIvLzUb8XB+AOxjnYtaJzTS8vbTmi9j+5xn2Gu
UXeDZtxV3A1boaG4ViBK+nd89Y2JnL/Dz7V9ETZzA6hAjCzyT2FbJr0oSyTV5z+fwL2b/sIjJyAe
OF2MauS1JmQq7YrOw6TKbARpxgBI3uVVTOrwTz6N4XIQMjns+EedGlCm1/HlhIiCqoOaZP4+LXjr
pkX1ksVRvA4HobmXJX2zHkiBA47gEXpljrPKAJVNxmAU+7oKxS4gKbPbQFuqv8/fFbQ+VbmGQpo6
BaCfPZdf1uMrwyh0aUgPgaTRVRww7X5sc+WnCNBeUcjxy+VFzfUVxAGxxnW02SGkU+ceGSnbMBhj
Xh7CnttKEBw6dNLKg2IPlXrscgX13YXn/M0CEaZ+HhficnhopweWF8FYhEVbHTQtBnBG6Ta6P4It
FGWzojXuLi/v7HZgefAzJ7IJdGnzOc1SlWVID3pldaihjpHiBT8lMa4Sri80cJzdDRgbtIGiNX5K
7sJ0ny7Ki/I0FlpVHZo424pmm8h8dXklSxJmr2moozBC0ac6FAYDlPDA0mhB+XyzV1ybnhNuHYob
c9h3nrWG2vp1dTDgvEnylVptJJHbl5cxK5zhvU479UfKHOudKBXYxSNIIQ/5wZDN8SnKLAnMfrfi
DbCw+AO1uixcWNq0OSdKYiZ05psafTxkSQahojRrtF8qjqfZgF/rS/bim+eEtwsOFRTD8a+5VUQT
TVGx6b5lwFLSPrshntQBYQAWtrR0pBpUh90SxnZu/6cdNYCXgbqG16F+lj++aIzAV2Kv4mN5QDOY
irT3XgvXlWbmPvAyqLcuaMGzAH4Sx2QC9JuOEFWf91vR0RsiruslDlBf5zf+CI5pbTtuMR9nNa6i
jXbFr8YX6b1jZv6RPV2+Pt+9gq/CZ8qDlElXji2Ey4D3aNlNZJQLF/S7E0TBgU1aGDZ/Xp9JvKxr
2wQSYE/sAG3QUYKhjL6OwT9k3HtD+pKlYkEJf/Mo9ElFMQXHCEKPeeyEhB5TW03qDr2i2PHY3lCu
AjJS2QpK5ihqI3WI9v7opZcjh2JKc9ehMztd8OjO37+OygWyMhTuKyKPae+/3COpTNsBzQLjQVFS
y0ASvu43On+/fIDfLRUWB00lDJgcgrToqZSiZL3A1g8HRUVzuckVi2im+sae+31nFj/bx/IhXaqC
nZscrOyLzNmtqZSoSL3Ox8pSTOxJ3SRJzCRF4kO/WVjd9PWnikZHjyjSK/BUcXnm7c7FKJDRzJXx
kEDRoDpcmAmz1XfjpUXpN7Gra+1hNJzLQs/fxKnM6Vy/nJsH/iY/kofxEACuJ/dPOZoEL0uYVREn
pX0qYmbeNEW0QUzk8aAhVaRti11vos8ec07krbSRbAG2aLEa0OecmWJTrpJfwYrfs3ThaS4tdGYC
qyr3EST044EH4krt1wbNF0LTGafD74VOKRIMBIPHOkeRj6oRNVpfjYfhCg2GdJU9Bu9tuQkyE4wS
3So+suNecaRb+Q3cGtKtdBvuy8fovrC5AyzTtllwK85SHZ8bz1WC2i1oeLR5DWFEFtYo9EQ+RI/I
OiA1lzsKutCPmmQaP5ZCum/fJrAA/5Y2O+YoT9TakCdpv9p3XdvoxYpXZgWY/0RuYOpAza0z4XoL
gcisif33rn+ROztYLWCk0TrITX6JO90NXGJHG3pjbIOjuA62Y2HKT/3CUz3X87jSnIO4Bq7v1D5/
+mpkZM0HX4JM+RcxrqN2nWxi7QhjvUiBcO58IGqAase2ThxF8/EvTaFnsFp0OPTPtStejfvxjW+z
uwjUTVv5Ac0GaNEvcdmAZn5u1pdf7ndPBvUgBSUbpEG0OfOHLnmci8EbDqNKzV6y1HHJa/zGH5iW
90fE7PAMEucGIAbDQb7SwY7Yu8Ov/Dq9VlfVVboJN2QVrQviaPs03AhgoxY8u6UFTsf8RfkNXZCo
SRmMh3iMJTPvJbdo4qVWom+FcLwMOMfIesw7j1kMwq20bMaDRPAcADOuiqfL5/Sd7QWT0b8lzJYh
JW0h5TH0TlU+jiLaxoOxLhJ54TZ8YweRKQJxE7wbZBnJzA0WohnrYVLjDd/zwW26pzJ1lN8V7P+Y
ev/mvlNcdphBhEPgiZtZ25EVYRYO3rj3fbIffLcJH9Kgvh3Gay6RBdt37vtO3hKIBVErpApcl9Pj
ZyP6nkKe6ns15JbSBg8938hiyz0PBUrgsuvUHtullMM3epIqYFeEm4LXjFLW7LSKIarLsGhAitMo
63wcNwNIVDwmof1nMxi1k9SYiZ2mblv+bNHPSpiKSKd1L1+Z88NECc3Q8Q0TmAiUX6dLp4GWszKS
+73wUEFRB8NF7h/k1UV1XzFpqWwxa4SAjkZLDarpoJLXQOCIfNipuDyIKqnrVf/gIRQ1+5o4meRv
6hjtTLG3CpCvGrzwRVaDDfPv2rJxcu4vuCFnjwTFIzDZ0ylZgdr+fNaj16KxM/MJ34uC4Q2SHJUT
HcwbJPLFQkH4W1EcxEOTcUI4PDthLS36TsBZ33v6qDtxDISnXHlov8iq6O9eYUTayCgZAGghP4Hi
3+nGxn0ti8aXh0M3AjCPSlAffIj+YdTDazlpAXgCj9xCieHs1UwipzgfxzlVyGYqmxSaWgJIMByq
ojaRHV73XLEF0W6QQbEGtd4M1bgau8a+fGOnTTtxjqesPwGb4pTZQgPZzPXPRG7EILkoD61aqNYg
te2Wxx5m34B2wgxDeS8Amdq0dMgWnso3l3eCJSOBjCdL9E/2069WAhWvwmdxUUFytMqEsdZTcB0o
CMt9PfiJwo7jh7Lb+jYu3qr1mGLSli7c3m9Wjz2F+QBFHyLLed9YXJX9EBhFeYhGSW4BAiGRA9bG
3EI9uXoHCgtwqTpXblqlXMpKzIB00+PVkBvA84XaQmhnzO6Y3gIkFsVNeSh1SaAnlEoxqAgj8KUY
WbpTGnXYGjwYt0M5JFbelKHZgWDPxjqQtDB4b3VD8DRIoWaP5YC+HK8lwEXR0RVZiO7Gsuk3UUl7
08iTYnX50pzZ3unTJxUHojkUVOYRlTemY1DGXnkQHQasdkko7F6ifOFFzEDMf+0QEncIe1FkgJTZ
DpEiH/uUI0MUhhxuUq3kDtWb5ygKlW3L0J9AxvHWT2N0r4Yac0JWFn+zRjud0dS/C/gLqjhnpmwU
qReATq860DZvNmMZp27fsXhhO8+fPhKi0yMAgHlKVM7XyQFZYJ5WHaqKEvS4jslr56XcosPQHaM4
aiwjaMSatXG3zwoS310+ze8eAd4hg93Ea0RR4FTZlaQr6iah1aELydS+VGh2mLXaKkcxTsm70KUt
wHcSkQbrsuDpB890D9S5xgiYY9BDNc9zM8nrAy/q6D6qUcFpuFas1Kpr0OmMdnCMidTWZcTf/qZM
9KCCLxUt4TCYFO/vdLEJqlpKYPgaXt1PSdqJzrMUWbaV+LHzuwXtcmawZrKmZ/TFD+67NJGa3FMP
HJDMiJEtH6stiI4XxJxt46eYqdKIqXSaRmf+Vjb6AEtHRD0QHXw4PrKNwK7vmqfLG/f9Yv5Imd0S
ytu6lkN4TW3Rr7PMsER7FfjjQnB9dhenFmFoROBDAIVHCvV0yxAbRZ48RuqhK106rgftqsfMu9pR
spu6X7h+Z84akpYy6gNI8cFNhfU7lSXVQyzHRo8VPSfU0mOnf/S1zeVdO3vakwywJKMgCwQjIJGn
MpSo41WNjTsEhA+mV0UPEQDcDJiSkVSWp2SyWQ3qJi39Bbt+bl5PJc/hJUgONcrICxnxEQj1mkys
4SdZ0vhWJuIukw2QplW2SiWnHl94I9tDqC1Axaf9O3ne0xeAxwiIHwXYublHA+vOIr/PlQM3YteQ
MJuXPw1d6DTJbe0vzVQ/9/8naZOWBlQQ/v88HizhnIKJplAOca/YnUFXeRg7VaDaXR0+kv7Zi9Xn
IDvqXW53EnqgmnIzgM/o8nF/d6WmPl0sVwfoc86skSZKFoWBqhyAV7ar6kVLQAVSvcuVtHB3v7tX
wGnAg4LC0hGsnN6rMeIsLMtSOWjHsHWb8qUQ2+w99u4KcgDE5++vClBZBfEMrDBKk6fChKwMVRQp
2iFt2Z0xytuuj3Z1mTyXkbHwXr7RMsBo/BE1e5N9KHrBe1VDrUa98yk4pOoe4Ptu4XV8dzWnoAUg
ZXgy2MPTFRVJ2ZBQGaGZQwJ+15A/e20jzJo0j1rUrQsKworLe3iekkFsCi8PLAgUt/OMrztP0kZE
CkgAZZGw53hQarMtk/FKU4PB8pOk3EAdfsRyBFrMiGROh4atNmiv9VwHy58MU+WJxB4zUeyGeAx2
eVS9ZUosVkKv2qeFjz0/hinIAjUMurom6OPsxPUINMpo5qhhJdERQFj6o+B17mR1q1t+CZVM4Ipu
W5VLZiDXshMbeesMBThtQBsFCtqgQ1Nbk0hmFvMlgp7zswMhHqIzLqNbB5HgDDdXwjx06KOFt9Qy
UFPV4XVYBsRu9R6dTFTaMi9caiufNQ9jK1A1nMjWgTYFkBRh0ul94YFad2LCu3beYLz4rAneu6iO
j0PXSBjJKdrupU80nlnjmCQ/skZoFO2VUoS0MOo3x75gYs/ACVqZGdCkpTkEXvgQxaH0kheykiDs
MYALlgYuXtABNuZmh0vC0TKvqrdhUIP2UA7U8aoLa/2W5KpUWaUfV8zkavz/2TuP5saVLEr/lYnZ
owPebEGQlCelksptEGXhTcIDv34+6HX3E0E1EdW9nVVVhaKUSHfzmnPPCWH+cxL/2dYTiV88qFO+
oQelfsilknSmokTJF7LnI6qxtmR91dGBe0zgwE3cpmz772NtUtntsjh7hl5DgNdNze4j4JHse9+3
0B7mIgsOQ085Y+VGLG0lJVkAFTzAdAvNVPYL70gugxrkiCkOmG4vGGhODVwtbDZKv798mpeHeTnQ
4rL3ktzXmmCg1pa9Ruo2dnpwIAi4PMr8uW9fu+UoiyOSk+cpupxRDBkMLUy1NJOsWK3lipEgIHfH
G2cC+8ddXqR7dFtSmlyJu0Oa0T8aZtdd5MSuU8W0yCVk1/5sQpRaQTpyy2z6pYAnL5YtzoGwlWnX
HaKQzM4o04lT2+D9L49y9pCRXiXBQnxFPyLdgItl60xz6BQpAqQRdtuqnokDG+upEf0OWn537CbK
kTbCblHyh6eCOIuBIedVQZGDelwEAnZvDk0hMoJLuG8LCOYsEbmdvTK9eZHenorXUajOk95gOXk+
Tw0H8RwgNi0nySF1ntoebCWCh0b5w7O3HGW5VZEPsYFZEKbGab7NHP8TtYd+d3mnFi2bGMF5xeYQ
kfkQQi1zyK0x9XJox8SJje+lsXUQxeQ2zS/quJtkKrexqV/BJobtQvMDDnpX04aBn/RXpbR2Fc6P
Db4P1WPKb3wX5aLTdR2ztC0G3Q+PM21a7pg3SVF6UwJESm02vqHvRPNYq87KlTh7emh+mUkRLdKt
s9SCejqqPjr6SOkoOpoU3lDxHm6MaRPAEf/p8lIvbQndTkBVSCRTBJsTvIv91LOqVtRcio6p0kg7
eTIpjRtQVFwe5Sy/QoRF+KO+9ie9Yg5PpxOYqRWlgcpLqjmDqyeqAsqnH6G90F25t2BKE7ZOeqf+
Vo9ELFFRrgHrlhPlC14LH3h8MhkwfTHRvI9EC4EezMhArzfFmPWQE2TFilO5NsrCxihSAr65kJvD
4AQHIwPgb9GRs3I23hsEkY/XNSVn/EoTdRLsZ2k6kMM9aIHJs5nIefkiTYq8cgvnb31rUOYV47E0
qBvIOJTLI2jh9NhF9HoJrXwn+qjyslCqaM60o52ohdhePiRn08LFUkFqAKHGUFHVOT0jWqnHRq4p
4hCYUCA3v4XxcnmAeYtPJvQ6AGhlDgL2eHmT8c3NQu4McUitwHUi/BhKROHH/22Qxcs5VDknQGGQ
CDaeWHzqpw/Cqv70BCxmsrAOeWJUAbR/4qAUX3tglNE0rtj5pdXDx5jVdf69Vos3KxOhWQ6hJg6F
2MAPCN8YFzWmSu36zbZfK2at7cx8NN6c6MIf7BSQlThk2rOSlG7R35LAWFm0pUldTmn+iDeDKKU2
5vG8/eUP5jNdC90dLCL0lWHeP8Z/r9zCBNgZ6jO0JInD2H2HfcqN1kKEtcWa5/lmHlpE/yqiteJg
k8uXsqNlPCv27//tFC/uYppKWRSnjBGM4IHtb1r2EX6m/22M+Qi+mUdUmIiwdRyxmC75VgGalX5K
V8vRK9uxBJz2Ux3XpcNMOrhgdUi7BRSklydyZihP78oSvpfWTKIUqjhYSnwlrJ62hEOvllut/H55
oHdPMO0BEA/S8EEm8XTF5MYPAT9y7Qkttja1GqP/ao0a9KZPvrFSEnn3lL0Za3Fb7Ij2y7yYQ5nK
gUv0TuleTEgWLk9obZDFXangLk17dbZjXemmyOXYaDr8N+EfvQF/L9viwjR94lT16ygqyt4GdLoS
xI1ytGnzPz/SACgpb5CIpFj+quj55kibkgqTtCRj/M1yo8NDSrwMS/zKKO/YZpJJoIkIaF/1+E6P
gWjr2C+rWhw0h4oxwbVbZq4KK5xGVXVjr4Wb72wSw+GRg4kjKXFWghOaTz2+53iLLxOpq0RDYcna
XT4JZ0nV16D2zSjL8zYYaUoySBxEtp0jl4fymDzGEP2Xbt254sd0Hz6uMva+OzUDCAXeKRWNZTdy
0iDErIYt++Wknu/3v0z47PR0Tabl3WHe5B8Wz7VlkyGnEoHjEX8bwHql0kPS/ry8gO8YoZMcx+LB
VnUlaQyYfA4xmk2y/lgpLyij7ido4C4P9P5OvZnN4jppddx3TY256yE2UCnnuZM93Fe9+rlIA0+D
29fs2j0F6SfDKjcw8950lrbv1ODPze7JjBdvlFUkpFX72ULFDTycqgezjQvqYW+Xf0jHSaVokUFa
vFVwgBQKLSriUEOiXXm57zbP9ZN1lUCjs9EyjzpYAQfqzs9WVvud5+vtJJdcgokipUk/D6zE0Dsj
Q9GNjyv7OQewC7f4ZIilx9oi60jeQhwgO3A+t1D3fYc+J2noOfOcYJcZK1NaOalL8qlAUYrRAQpx
gGTFS8Z7NUqAl+aQR/5Xluvvk7qEXkZGQrIpYqRIFVs9uhFJt1OSj5fXb+VyO4tHOcvaoKpfdygf
roz2VoO4XY5XzOM7L//JHi2soy/Vql5o7JGc9Xulq6BxD7Zq27tS8lApwf7ylN59YN6s27yDb54x
pawiyZjXrVPw/uHDr4t9OUF6o79YDXeeTuEWocPLg64di4VZ6aZ/DQqOHbNyCPsXe/g01SvNFsuy
7183mZoZjd1zh/VibhAo53nb4J43ebFLDNklFe2agJwtp9yRp3top0+XJ/b+iBYe2+y1gb88Xc2C
Op3I0on3s3Q8P47vynzc5IgyyYb9lDgObFxrYKMz4Phfs/x7zMVr0ASR05shsXSOhEqvfR5g3Le1
bjP10a4oIF5QrxVnq9U32moT69k+0u0JMhHKKCpPpJYW00XQ2UxrVTIemvKLhtZEQ1duYRQe2Prt
Hy7sYqTFJB0ntvU+C8yHSj76Qr7WaiYYE6o20UtTWh7lhd3lERcM3LwDiyEXl10bzd5UfIbU9556
U39Upw01swEWldoFSIImYbDNNlRkPho3o/kEH358G3lr9YyzCt/rZwDgoYVGUegZWuQkhZRPaTfx
GdHH+lv/G3L16/qp+hA8Wk/lNv3WXrcfiiODU0LzVsvf727wm8EX78U49JNvqgxu3iOJ58Aforha
vNHqTXcL0fJx2KcvBWSTv9boQ85P9bz6M/YWYA0u5xKWmWiZZtdOaD4Mldd1roMeT+NV0jZqtj6K
r556b64csTO7uxhx8e7L6ThqScGIYnQe1fxZmSKkHjuv8j9O0JtePl1nL8npYMtyo+zkoQjr+TzT
BWZXW9sS3uDIK8Z9bZTF9qXSlPtVwpRQRQniihckcAvlx+WpnNm8xVQWRqAHmaxl5nxAw2yvNkjK
5c6VVg3bKoOsR1RIhFUrAeu7xxLEOQcD0hdqp6dmFoHqirqYbzykNlLoSIoYiSelN+Fak9f76/f3
OAsTEKWp2k2TbTxEAW1P2kMp79HwvLx8a3OZv+HNA9wX6aTUhYMNLZ6RIfM0WBhtGqxyY8WgnVVa
Xi3Jm1Wbv+TNSJMva0VNvQzVGFd+dH40H3LZje7U6/R7+6P/DHmGDaHwmle7toaLt743hkGuqIM/
5DXcyT20ybNI4MvlRVwbZBEfaEIJ4tLgIdIlZ2tH8IxnvyDd3F4e5T8Ypb/Pw8JESDIwHEfl3NUw
VOsHVCydb/ZPIh/zkyR7Leqwawpdl0+HKi+sf1GD4CYUMB5Esdec29R6rmk4SNZwJGvDLAzFNJZ6
mAZskhGUGygtQQF/ztG+dKqVJTxzN1+Nxb9W8KzWJdOGFWsjGwVXNrq+2KO5MXwPZ4kszXKUlzds
bVoLO9HIklwkNqvX6D98U78pxXei/02PZsjlgc4DZVBMaDmSejLpGzrrzM703MrrejAeBvr34m6T
PcGdT7L+p9N5pvsBzZ1vl0ecTc9JJDcPOPfv0w9CoXvZ7qWPwMgrasMPjrYdUQWQubuXR3jnTjHC
XCfkBYZycXHYHbDimiQxghwKn4xdWu/GAlI+KzHWnt6VoZY+DnKUnR7SZPSQzWS9YhurKDlEv/+n
+SxxDradypEAw/Igqwh115Vn1uUGpcmVE742l8VzqMbgmrSOuVgWElgUHuToW9GtNci8f+AAulDS
nRsNl+ks05myvBGy8QAZ94P/UQwwRRDN6x66XzTfVcJVGxeqnP9mDf8edWFni2mUC21g1GKGJj03
xmdzjYbvPb+bc/f3GItzNzdATVYxGQ8g1e4MlFe2+QfrAa37D+nO9mqv+x1/M/baJtup3+XGdb4U
39do19/fw39/whLlqvvAKxQxGg+j0hKfOh6haVq8XF7L92/w34MsbG6hCB/9T+bZSx/H8NvUfPmz
3w/bN0hEwKtgK8DBmPMk3zz3iZD9JgpEe6zjKfVoFvwlDfJan+FZv8lsHGbcIVxwM+/0EopiAxhU
0lrpjomUy7PSvC99te2q+5yMU/tFV3OBIJbZVp/iNCMd2oZ6RODgIySStMHwMeoVoOVjqvZfFbM0
hg0QDJT7SrpZP2llJOLNQLJ6dDMItnI3k+pGotteNCs+7NL3n2cB0ldF6QmHEh6Z07VyWq1sAj1t
jqGaTs9dLjo3rkRGJhOC5lzJrmcaz5W7tPSbX8eEOIT3woGzb/m0a2mbFcLRmiO2vPul9HG/AQEb
uXk/yxqX2vQlkbuXQTOuL5+Ld+YKJ/LMdAk+ArzJwqmNHaWh2i/3RwiBHvswyndhFgNubqkpQGEW
7tXM+vXnQ7KynELYGYnoFkd9TMFU9pPRQ2gN62jod78kLpWuyc+NNt37bdr94cPP2s5b+e8BF0Y4
NiDiFZrVH6mfhNs+lZ6dzOxddaQdq679PwxHGG1OF8ANCkocRaOFm6HYpRkH8tAfHT9UkWmo4ifT
7z8WqeX/rKtujbdk6dXMw8FxBEKb8UBRLA4rD4xqpkHeHw0LZiBtRKIvgAgOQvvER8hS2CtR5Jnb
SxsdUDqQqqDaKA8t73hgGHWJCpx2TK3fkRY8GXB4JqV+lcj4bv4sRWLfqn12H4vyTo/XEvJn9wQU
HfwMsIiAUYH7eWHHnMo2pJhOu6M2xl8HvQ6uRzloNn3efHRKTbiwBVtuXK6xMJ21OjDrk3HnbXhj
P3vf7NNx0Jh1rHwaRn0XGtptL6n0pJbuVDRuDRy3qv3ruFeAwQ4azTj5io1YvhHGzJtCFzqItJlD
dYmTqVJblqLJMo9GItteoRm529fjn2IyX0fh0JCyRFadtorTmSrsbjW3qR1TyRf7PNNSnDx6OC4b
gTNyv5lYl6of3aAg0Qx52YVj2YXWFq0UPQ6D2b6omY06ot/78sGZ/LxAPz43v+VxTXNDGhUhMuRp
Y8OIb+XlcwBL5qNcRcM+HpvroC6S3RTIqMvEUvzXU/D/Wdn/79zO8W/WwJn0/Z+M7Q/fMsjcd9Wv
/Ef4f44EGec87PzPv3jYJUXT/4Fu/UwHBbDOerXlfxGxEwro/5grCYRBMmINr6jbfzKxS9Y/wLpD
dEjLEtICJDKxkXXRziztkmr9A/ZOQGCggjX+JNf3L2r6+WuCIofV/j9yErw2AP0dGc1o31kHY249
5jwD11j4j008KE0E4PC+j1p/J3BQbps+BiTbcT2Tqu/u26Hpt4rS2C5kW9NNmxf5VpWT1OsrBLVi
oxw8oh0ob/RQ3kmmHrntlGY3wpSRLg+j9jnKTKQl8uljNbQvYoy+9fHQPvtJq+9lg7BPkmhXeLMZ
/5zmW9L3BaySaWEHeK9ppDRZPd6300vai8ApuAvDPcpO9jUMiPLXkpQNJFnS/vVDZeKNoI7Co25G
I6FusdbZtiBa5hP4At2CtYrHlaLKsnPWjEwn1kpFvp/CbvfZFmN+pHs+Lq66RNrmdjXslMFHwCrQ
1eDzLBRUbjrbbz7Jk1I8xn2OVGZhjmjNNgXa7lkCjNqFcjT/3BZG/AOSnuwQa0l702u1pbi5bMTX
g9aD3win+JrmA/2uqkSBdmvh1MhdtfFQu6JGpkFRU8dwQbXGFkZ4LTmySJy9zhsrTJsdbMcz/drC
falE2I6KqIb7zHC0pzRoxORCYCC1bqHX4rcShVCudGna7zB9wI6G3tdvBoN2flU4rgIuCQzamMVf
LJIf3coTsYgE56/jPnEdYXZE6gBu+9ODESdR7KS9ot7HsLd8y9MQ7SELyZ29IUYd4eXeGLdJpQWH
OCiHm7SDuG6jqxRgiX8HCPkIjDG+feKvQFdO3675uyxUDDkldCri5C6DqDqqHTOp6v6+iuKvzVz8
6ux1fOxpRft1FDoXyLvMPgpd1Yu3q/ONgE53Md3LhB+bqupxhnSJu2uEHxIhmhvciumXEqrSNpxk
0KZZKlW7rGyy5ywtggj1kiY1WYsudif0PzsPHjyYmDNN2mvN1OGh5oIWEseKH0zYQD1NGRtImnP7
MVMgUkMSx/k2GgUUGEM4ApuslUj/oA929tXKqq+RQe1mG0YQ19OnGXp6k1den1KudoHXIwtUW6i5
TokpfnLwEo9nOF1zoN45v5gNTC8tcDMEfFm2rqZeLeJwQJS6LZrPajLqKJmOuVHxsZq0kYqo3vkU
0PQ6LhFRm1rrgxmKDOINK4scr3/ON1oVpz9XLNp8ME8MNVbE4nTQ8094Sl/Y6cGt67pJ+tIZ7/MS
cmbJn9T7ZDQzz1e19jrr5WmDnkx/PRVd/3GaCrEbY8O6GtMk+7zyJbODvviSuUkECi4QycCsFi4m
Io5BnJeSfC8NBVVMPzUCWAA0Nimu9dZz8PR2cVDEiHsU8viVaK5S3aJmAZPBKMptYnKX3HYcTO/y
l526+hTeONq4fzBKAfQELz1/+BsftNHSJkgbv3u0kvxbqbJMthEmGxm21U0yqCuR4fLGzuwy5C5J
JyEjBXHIYhmkwRho2zflx3rQxBd9SMNdFlf51eU5nb1kBOy4CBA8EFDgBS5BZpKkGkkrAuVxlCGv
7OpU2tYig/zLx8cdO6q6yN59LS0f6Wg4rb7GWZ+vhTTzVN7uON8wOyNApVBFw5VZxFCTg99R5y1y
OYMz7K06L3e9LtdbS+UUhpb90DnWvV2b8ZVFtxxtGZ2PEmfykPF73cJ3ABLIWjdtfN1fI1VaBB7z
puPqk4+wbLYDqqjlt8W10aqpnz46udJvzEbH6GRz0XkELDfFaImaiSi2ZdgYT1FdZZtAaY1tkkJa
0+EerxzB2V06XSm+hvOAKBSvDL7V6RHUg3wYMllLH5VMSfdGAFkejX+KZ3sPpEzMD0amU39DKGZt
i5bm4XUZ3gy8iL9IHbWaGsvp49BDsaiVtbwdZMTIiBPEiy8g+I1yep5GS8jbtkT7N9LynR07wdp5
PbuE0HVyTiG6wjmF0GaxAkOi6EM+SOGjVVa0IOEVe+WQN1d+qxWPeZwXXhCCYM8lP0dp7kthNF9q
qndDZTYvfT1Zx5jOzXtzGqZdH6Zr2YDz6zSzic6HmSIAD+Br9P7GRrQSOSTfiqNHLWhDb/Ct6rHX
pitjMINbJe4x8pXcPsRx49wC1qOCH5RrtADziTw5I3wC3WgkJSy8eDzv0zNiR3kcakiEP8q6T/nc
kJ/0YCy2xNf+dd0oilu0fvhgC6s8XrYl720NABSyLzM9FkHH6cB05xtBNvkMLIx6p7UcjzBLog1q
OeGOJEm6chbU5UuhzjOFPZv3HkpcMC+nA45pnDV6FcePhpMCgvDj/lqYSL8GIjOvo0aMblmj+Jq1
KO7NvYCbarKjfS8jp9dKQroZ5P6riON2N1Yi3xpdjzIkGVBPjgvd60t//FqHmekZQ/PRrEplF5ha
sEJ49e6a4S6SQ1LJDJ95TBGtwFXURo9q20ZbKdEmL0rjz7ECGauS6fpK4DKvyNnZMCHmJmE1v2eL
FbMH2W+lKY0fRWg90+nR7cvMDmk/C78XsXNXONoaFHBBMokBhddSRstOJVByaGhdRIBGEk1pKEMD
HhsVaQRf/SzPeZqeHgoA1bA0RFYDx27x5NgPjlE8RH3U3BVNu69I8W1Vt5ZY+T89qPRqEhPMOodz
1+bihuSB1YVSgQ1R6sHe6IX1UVW7x6kJFW/yizVJnEWq5a8VsMn60wdKuAJz/ukxhUY+adqxiR5z
aTLSTQUHD1xORqDKiPFO1U90XI8kiXfo3+HjpCqNqhEZvnoj1+G079AYbFzVuOqC0Xihfpp+Y7mN
NaKe1684PRozDz1NjzN7IDzHC+8GxzsTUT/FgL0z7dANyvTSdH14HTppi9YyKXA0ptMiRcWb4l1M
XBUl28LirnmKGWsfeqNrHxQnTX/Y1DlIjSlo/iS12eqeWufafQ727y4wpfExTw318+UdfWW/Xnw9
yH/UsB3yGpRXFltq2X6Br58Hj2k+Tq4vbLFNqR5c5c6kbqJW0TxceXWTtZHqBUmy98deux1r5INN
X3Guxl5FUr1IriqBbLPaxqEnK+h1llRRzNCyXNVO+htV6oFlSs2mrpVpE2FPncH3Pb0yHbfoDH1D
6PuLXLB0Y1RPtpknHyAJLj1dTwZPpNKHIWnUhzCvho2WDOVVj0TtTuRmuhkbB6nMNG72dksEsrI2
Z3eeJgL0gaBDoq9XNmZH882TJI2JHFjDJB3HMmhdNatLLzemaAU58/qsLHeAgIaqEw3leMiLyNcJ
aqVQhix4rC0xerpRWtdqjixvwlvkVbQZuWUimm0tKdMHeJ80yDyj9kC/6XPo59M9rYPFTeqkoKD1
8ptqZS9t4lge7+yzOQ5f/D4Lt1OQbeVa9HuhNv7eV0nu6B1bglCdWHG0zrxvIH6wgREro9SLzvpi
NrbcjhUnSjpqNeqBU6WmR2cK/5ne/I/psXfcBezQnEqn6Z+a19I4+lJJlkk2s2MUcbH8zsKpDQai
Yy0/6HVDT0Fo7SAKKz07k++NyshW3p9XXYvTbeMLmCBCS0Al8HBPT4fcAHYcRiM7IgLxHJV7auWS
P7rW9xgZeNFY29pKbpVp69A0XI3DnSacfT+092X4O1CjzRA7K5mKBcZyNpd8EfU/SMNm8ZczRUWR
+hIFnOw4BY12pVH+dZUxUndTPEuzJ3l2S3es/NwJkWF0amSvG3PayD5KfLLdjFttSDqvL6b4p0R1
6WbMJISHAgNmTHBJOFyJ/cdnZX5MCF7oZgFnvLScQAt0oSR6duyATm7Hvu43kQOs6/I1PguSWBZS
ueS9GAY6hdnte3ONUxkWltHQsqMddvU+aftgkypa7flja68Mde6UoIE3u9e0H2j8dXEmwi4y5aJ3
4uMUZYGnjsCkAx/u9shS402iyWs7/s7U/h4P7PTigVT1OK46M0qOcWpfR3aHDdCa2zpxrkJd2ZZa
eJ/b5U2qlRvAKW4koYOc73ttdO1O3ATDindwFmOpJNLnV4R0Oupty/brIGsaKCOr9FgmfuiWBlkl
PUbqsejCK9VM8BEju3Fx841NLA3+9vI2v3P84UHETBP0k60jGj7dZ6Pq8lQYQ3yMdH3am1ZVffBH
Yd1bWn8TwpgHTZ+q3fe61ILGUFrQnSOKubkU3OVdDRZNivLxZkwq5SqQa8fNfRjbpXIM7p0mju4a
xX++/MHn4QaER3BFQCRCbxw1g9PvLUrT1zSSaMd6omWVHQSG3cWGl0PHtgnSfNrVlnQo7GKtrfgd
40nqAlWTma2H3IE22/A3N8JK857zAUEECbxx18N51tn69NJ16k/ZDqZPjeKUrlbJ2gYtZR/VAyNb
cafPDy5fMJ8UZXbtKIiefoEqBloduik8OnX9lJeVeqTfEWafPM9XVvkssQwZDA8rUR2znbsnFndy
jONelG3BUENxFVvQNEh2ot23UlHfWln9UMKQ8RB2rVdC5AgjoRdUgOtI2D+0yHmvzPudPVfQc0dz
B8MHT80iz6v2ljm12hgdNaRQaUxP6gfbTIxH1Z4+R1V9VZl59kHO0nilh2Te0dPHCifmLyA6Lh6Q
9NP1hr9ACEut46PiG8ZeMulwcNTO8S6f6HPzx27O6QWyYuB2lgzPwDz9KdHy8BhXQ3ftxEG/Ic9X
bidT/1Ar44r2wTtnCMuuU0wn30mCaf75m1OsCzPpaYmJj5JwntO8SnbjRP6SREJ/fXle58EfYbJN
DRsEITw1yxpApYp+qGGkOna98rNo6F9WfLX6CEPvj3Rs5J8gi9Y0Mt6bHINCr6lAMQR3xunkChFl
ah/DcqLEmnRnavXHABLcq9SUf12e2zt7Rkadgib0EgQwy+6isBi6qeZtPohI7XZl2phXZkQnhNqX
tyNwpZUL8E60NCenORu4KDMqYHEdlTL1yTWpymEKc+veUJVqZ4fR9EB1iYSHEdEXGXdXYWJNd1TJ
7BtBreiz05ZeFQnrugp99aoKjIlaRmUFP9qmGfZtOfzWwiF5ArlRb7IpiVaQMe/sP6ZqPmS4EA67
croZaggDrUk326GqLN0ruzJ+lAr9rrFwNvNKqul5gD7y8r68u1BADShSk64kfbq4sqMflXnTCvVg
JPkerMhNUz8n7W9NUn/hUF01IZTMo+/qWYbasNO4cQCdYnGj+/s6z9zE6F7sSXKwMeZG95WruG9X
bMr5qhA1khGZETwWPeSLVcl8+JAgwgqOaiEf29Z5qntZexCqfafLVfbU5yJcca/Ordgcp3Id5uCC
nOri7JRljS6s8IMjibTYLZzchulcafeXV34BFJr96JNhlmmHHI+/L0wrOJpip1aNlzjpTWc48YY6
3mcznT5PdrPPAumu0ofvyHWslUtWP2CxssYYBVrUOcGR07GTegA6RuTILkHhri3VXeck91LqfM78
G5+mysyZ1kQqzo0CbgmnHdYGbBdUYKcHvvdFondagfURGpxVUEBmY/tbCRDjzupPl5f7Ndl4+jax
4qR4yORRszkroKWNFkeRKgdHTcRPsoITlpZwi495ptJjoRU7fYyr30Quwe2cjP6iyMK+bXQzv9Jr
THGCCKCLm+Pc1WMg/46b0kS6KJXM2C1t8ausfXLs7SQ+kl/oa3gEg71kJTAK6vqQ3UpOGCaeD0ej
B8tgvI0CFcK4IR3vYzt0dqoxJg+qnZY7v8vM75ok0k1Tjv5nOMX8O5tNWjE17+09NwqpBgp5EIgv
3RVfE62TlFF0bIEf3ZjZ9AvgmLjxVWmndWp7Y1gdCfgpIrNlBcWWwrHyUmrl1eVNOfdTqGYSVhNi
oziDnOjpAWhknYRvpYRHg2MIg3jy25lEtO+qPrkjyhGe0rQ/s7SRf//xuDgQYG+sWVGSp+90XBWe
yiCvu+AYoNTqxjj6j0WLPoM/qkcZJ+56gIv7Ko8ba4Vb+Z1sK2U8XeYEmrgU1FBPRy6kthWCmsJR
VindgSL83fhZ7GWampYbEdCMU6a9f+OU0kd5aJzHUR3VPeBnAAlNGG6NOgKHU+qH2LYeL6/JOx4s
eUXsK6lQGGbhgjr9tEiCAZkckXOIHfVbSS5kU35SKcODWkfdORmSD2aT3LUm0WavZjetlfyqYVO9
H5NgrU33HQs8Z1xIdSIYBiZ7PjdvfK6CvvHKRFIWXcJk+OYUU+LK1pSsnIJz54e6IU8Lzg+5b2VZ
CyrSiKQvUlKHrGgPXRoOd3XsVPu+q8xo5Ul55xFDOpJolRQuhm4JelXzSYtMtfcPGem2beJ08S4Q
Qe4Ky+w8oRXdJi3VNUrCd3JHXHBWbxZ5Q95huaO5UCOzogmL5ni4+Vy90o1NXUCcV+jRF5C3lpt1
ZrhP2xHzG+eq79HB+qhNdnjl6EJAT1pZzqZuSukGSWd0mEpb/l23+seVkzfb+YVpBiJHboabiJSJ
vHhwp14S3SRn9iHozeyqUIUJLniKN02ltp8wIN9yRSvvhmaUb/gq+9oWKDjHbfhj5TvmcU6/Yxag
0CmG4DtSCpjfqzfHzkno4GmEXx7bKS8/mRCvXBNAxrhiVe+N1HY9k2DtSjX9F0kf+22HH+9147Ap
pSH3snLcqkNs3PUSTK/NlEa7oUQhLR8H6TZNwzU+rflrTr6W7APeIvhQKJRt+EFPv1YxyJoXGJOj
LIZ2Iw8Vmf8mfnGmydkMk/PHR5jhYLbHTuOM4VgvFichVAB/qgWE0G0MXHDKdoNkC8+u8nRnhnnt
8eimK/byzBDMgwJjxgiA/beWHkLFEbagZwyOPZmYDbnpFDGQbFx5hl7L8oulnG/lnCiA9h45ltOl
JG6FAE8unUNSx3vSJKS1cxd6Ardtr50IhoBA87Jg37e/0u62kK6HRD503YtaFNRZyltpSLwAKp4h
6veFiHdG+YKWq6tHHX/qKx97BlDCdeFO4/VivEywQIuETpUjKyayQjo0FA62VtbBB17F+zkOegav
llylUSt5Y+U8WWNt3HQZFMh56lO7kgc5J9UvW1cRAPLrldtzZuOQBWK72C3iZQi9F99FRJ70wzgG
x5Zq+i6o/OgqIEi6BtMPdbKZXOkl1WBChuDBluN4j4hK7+l92O4b8EqB29h2C5Mui9aM0a+AauQj
sKtpf/kzz26Nzvs28z+QqJ0TNvOJe3PH9aCsGiVU1KeR0vwuy78HsJRqUw6Mus+8y2OdP6lz0zXD
sFl48ySIFoMlU4K3SBxXSrZ5qAr9YEUDcp5xh9sYlNZNaNbq7ezv6oUd30JMIdNWLH/X2ghCauqN
u8sfdB7twVvJQ4dyk6ICTV1CAOypdXBBVOfY6rWzH9p6gipADkhSgh16amHBuK865wv66uq+pzNp
axVClTy6HtlDMWR7mFd9yF1F/WyDCPpRColsML1TldhqbeC7o2P/Bh0Ms/rlLz/bNj6cFCI1GLx4
5SxM1RPkxBTZ149T2G+nIbI2klo8UqDjuaAA9OeDAZEkl4UTMg94um3AsWhvqgz9mCXJeGcaeb7x
c6qNDQIWV/AsqCvjnVk5JkfyRUc+jFvKWTkdr8k5gFnfMjkE4dxShXPL6uQ1K/fuKJxCtMU5ieDj
TkfJMrMUdmXqR9jMhk1XCgA4jiZWEgqvWaoTW4oFgIqCZ1RG/JDM0ukw4JJjWBIH65gpancnS037
UiRB77V1bzzZWi7PvFBEGLE1SbQXJf2mAdtobXsJZMy2VVoF0nXd7I4FzkngTuHo/7aa0fpsj7X/
oW8rmNaCXDYbd3ZYN2lI+oYoTu5ztxsqe6taiN5bSZa8AKwG4xMNdV25AyH91RgMBqlCFVlteSwS
dGgdI7uOkd51A4l/b4BMlt+csLsqZdK4G8ev6K2d/h9n57HbuJat4SciwBymVLQsm7LLlTwhKpKb
Oaenvx/dkxJlmDgXOI0e+HRvcccV/hCoYeGWJhrZm6hL1C0NEp8HEKxjjNWalStSsyviQdn7egLI
vAjEELidlcAv4tkKVs7wzUngpYJ1ByCQtBzv00VsTNYyhW3hyBddZGJXA7hF6K7W+VVJDPRt1ST4
jbp8taAA2HEIg8U512EQiL1e0CY14q5JsJdVOvlkW9+VTnttWvsswgQ8cOUG0am0X/NwfO6T2FUA
VJdRctTQfvGdDQXTnao1RxVPIcn6U7d/E/0PTWF6xSp9YeEWZbJv6CoLX9om6pNGjwLdgPuCRlJG
0S6VPtvd2CCnrzwhuLjPlWwnJ9K26Vf64zfJwPyVs3QKmHAKh0siREvw3st9gQfk2JHpq1V9HoIy
+S2m7uXj2+XdkeAk/K8xQmv3ej77QAs7O9Qnr4us8StN7nt2dnY3NU2y+3ik22yTj6KgPJtKwUW4
4SqBCFR80yknLzcG0I/6rzpJnmwTIGDe1UfR5Zqrj81fUeFUaNRuEiWXnkc5DvttYVPAl8uVm+4W
azP/Ih5F4kh0kEiJrj8+VlUhjzK+pGFtNZu4VfW7XO1C12p0P3CByxW7Sh3MQ5oo9jnqUno15qlO
oQdog5RtLYVqSWcW9qOlFeo275NqpeF+c0vCTlRgJRJa8xu5l69/YC6T/Fm5pXjS5ER3hl0SAcb1
ZWVh5s+8PlOg8DjIrAx9EjiI16N0vdPAdlBxFCbv2ytq38c8nYlx1xOLuk3o29/b3LlouaMezUQM
G3+SwcjBBDmYIoQW2hSt9dCF/u8+nBFRQoQsZazEbifp6co2ekOgLH4tnUOoRjyJwJHtRRgTR3qh
6KHUepbJK9g5kThYujD2KTqDJZlHnZwcQxofBIYYbqHX8oEMHl34DBFpP9CqS4JS0yHVKpNbCiyd
MmRoWVQVLhxK1Y6bsEDSYlLadNPRYHcxIgwOXWtJlqsFGZ+U65TN5AQxXD1PD4427Z0srX/Fao0B
M1AQ/640/GCbNWNzyJwko+/aw7sZLbGnjKDesc/7XdhE1XYYVXGi+fgnHUV76Aqt+STG3t7j/vdk
j4rDRiwU8doPsuM1RZ7vaegPO78zHnm1z7UWOYdWQiH94+3wxiJeTDDsD+QU3pJPIrTr7VDElZBj
rRk8M1d53hyjCZ4C7ET7wJ9A2JfyFveQL7US+Y903y1P6DrWprIpLtVU2p5WkHW2qSUOZTjUhwkX
lPumDeFO1MHwWIAvuR/92PqDo4i2peAvu7jq1keH6uvKxr7JoPGFmYN//gH5Q7nj+kM6c4iNMQx7
TGt6ZRdizbJl+3aHKlPkP+yuX2UjkIJsxq7Zx0OlrCEV5nOznEhA+WixYi03i7Nej5+W9Dhq7EE9
NYqsL4pUg3u2Bvs09ESkBCDjQYlE+bk1gvq1lshSWhSzasXv3aC117xh31rri18DAwrIFaLXM/B2
cdmNgaZ2bdFYHnS56E42S3Cu9mRYZ3MYnye7lTt+XYMMWtRplNqj+kcK5/OX0ibjMw2H+kXrfNNN
CQ4fokp2nkqQ7PejllmPUp2ms59ZvIeKlbp2IacwxM1o30xRtzOHgNTGGSGHFnVIVz3VK+NOFY35
CgA8/JQVReGs7OGbsGRGa4JCJzqnlnbT+s21gJJnZbeehkoiikJ15IG5iQ4ggJVNVfbVSmXgNg12
EAvnsXbAGIO7WVph9GDrCxwabE9BBHJvFdn0SgIRPAinwMkkruRtVCntnt3fHfRhKlHR1rvfbWjl
P0DhVTtuVHWjYpi0MhE3DwgFBAWBP15baoo3mcrYaZGeYWflFcgXQvbLzbtC7dckTeZn6Gpr0TWZ
k216xaQp+hLTpClZJKticjxHbR66XJW+NGp/gjSo/Pz4bnp/IDJFCoggKZaN1CgNjaQLMRZFvj17
QBMy31h+WB+KWo1WUvPb7HQ216H6Qrf9rUg+T+0/uTn2Ldpoq4ntSd2Y/s6ySHsiB5W/mxUeMU40
hedkFN80CfHEocznADF1PgXyaLgIvNSvkiRFIHML8zimY8rTIkXfzFzqjj1JeOdqlBQRxTCcPx/P
0M1b/sbEpbWtOmx8LsDrXz22iY1XZ2N72E2g7icrtWsKLMVA4Hb9ObZH50EysvHzVMZrzj03JReG
niHbM4UJFu9S2q3LjZBED79au52indw/W4Mlb3t03qrGDN149NeqT+99rMVRn4s8YPuXV1plBEKL
Y8n2OJ3xduokc9sVWfDIsmJxCA0uPNv0lhrXDIe1CtNtasnnUkOHqgzKRuZXXM/0UEVOGOe17TVi
VD7JGQJpWoigw1TZ+UPctcpe1L6zH+0K6e/AtqetkSj5JtPqAKOYkrAhKLtzb1S06spRfkUTE5qM
MCdEVaY2JY0sQ6ZugnrYxo18ngzsvIwo7PAm5dUK/RGXDyNE0WmCMXlsmtB6YyQEOzZB4/bhmOy7
uho9CaPMgGIOdk2R1HTYDWEo36WS7haYFEwuKElxrGQhTuE0FRtjgqar2/6dn5XFXRR0zUOEn9gm
L3tdcylwiE1qD+PGbGXt5ePNq9wuKOTzGSlE1g8fZenZiG+bIpI2xu1P0gx8gzpIg1gyPYh0wvzJ
aNR40zC198T0n8smUTZRY4ot4jPdHbHiJ9Go0S5Usg7CaAtOwE/7+sHydbGTFXUNrHB7F/FbwSiA
faSwpixlnJTObKVaJHS/ENH54dvZTpsgTweTeP54Vm4fM5oQKPTM9i6EvEuFm2ESBbifRvOU6UKw
Cki1t6xjoxYvo6mshEy37wUDzMBR3kzAassL1sqHPNQSA2fHPuwelboxNmk3SNv//EU8ziwSpXQg
OEugjzmoOl0ESfPKUSX+6loMA9PwZ6jjL2D5IA8+Hu6djwLLTmufqxwEzlLat1TSFt8i+pST1NPn
tFqflprftyvrdAsxpEjLdyHphR8h6JBFvDnmVd+a5AeeHASvRhsCoB99iH+13ESubBb3Yhyi/TQk
1Q6tDP1JDeNPH3/pW5xx/RLT05thIkTw4JqWFrb41E+9Uk6a10xxvNPSpD9OmbAvjeE/AacYv8PI
40kwqjz5ohRmuTGp2g8OFOs2GrWHSg2/CmPsH2AwtPfl2A97qZHtg4ay+t4p/PoSKHnghpPe3flJ
T+Guq+/HRHeboIIQXavFxu7S+yiGmpMA2M53Fjgat4IqvK0CEZ6iTMnXYq/5ol18M+In9CF4p8mW
l0lyFY5l5Tit7om0ReXesoZzkhNiaXGieoFll18ryblQkeLGo1MArEGxuu8fT/xNqkE0AH+PUIsk
GnLqopxphMj4VKmmeTbkpLvWMDCthl55n6d2u0Xu7UdjNNketLJnlqO2Eqq8cxPh2jX33cjjAa4s
IvtcUSPRW4XmJaFxVrtGTdw8w/BZr4Akf/yd7xwlMm/HBKNF/wsw5/Wjp1hixGE+t728H8XPwMle
S2zrV3bxeweJZSSOnJWD2MTzjfhP6CWZhSxJWBR4KDlDsEl6CYQjr9+saUgLqY7OltTl6EFl1sFI
/T9lDG/n4w995yWiKASfAnEoQk1jkbvFkaTZrZY6HrL+Z1UfH9UxTZ9MqtabsczTsxPxJKaYnH48
7DvzC4lhrvcQT89KLNdfPjW10Kk2Ol6exsq+cAJlFxQ4iv4/RsHKgruezQpG+HqUVEm7sGp9x5Mg
nl4SIZ81ZUiePh7knZwIehjne+bBz/2SxRQabeDU7WDaXpFoF7qEeI9C4DlpYVGcC1Mvn7VcHx90
q/sSBYP8ZISpsfdrq94netbfxVbQnFqjWXngbg+qSkl1tn3BNQ1vlvks/bO1SmWkZwQuC4O58VXq
6uY+KqEP+k7eRZtIblDlMnvY4RFX0EnydXvlLbrdV7yuDsNrsOeZ/8XWrmw5UGKFrELHovHUZ32+
rZtSuFr8VNaoZGfZlqLlGrTpNjSHI0BgNfdbUCNYvkxJKGR7LBXLs6b8WxJ3wM0Qjsj76JnW7Q9N
6rqVK+mWCU+Vfubbqnzi3BdYLH7cxUpQV9LkEZu1h7EyxKFwJvShRr96UMxgb9mVcq9HIt/CVUh3
NtYr2x4cw4bG/ZqH1S32ZAYmEKlDUZkFUZdZkSwVPQkq13NbZMYO13pqubaI0teYzsp9nY2F12S2
8lt2Ahx4AZeMU7x1hgGoEQRy7Ysuo2Wj+lO6K3U5vBSaRilJ413/zwdThazO7yNQ4eJbEnwjkVZy
qRJTKrowL6aTPSRtG64cgbcC3vWDqRJIcoHPjxb458XaADpuI4VumRfkKXaqYYhdSiSaYZ+OzX0Y
p9nWaKZxl7Wyune09lM94ZFU6L7zd+WGeGdb8lzi3MzGnMNB7fow+hICeGohKV4/KvFdEE35XaEb
JECUkCKU46VCf/XDER3erI0PSW2NF6GVdy30we91UNgPToFiDDlfRVozYkx8F6hpenLataz69tYg
tEDOnsIOUPhbyVYavrUUKaY3qdL0J6gRKso7BYMZ3R016xgO0edEqafXHI2plS3xVjy5Xi3GnpV8
UfWg4bxE1kjtpEW9M5geTgouNZFzU2qFGztIV0mnafpVpb/LbviVR7YLQO0uM9uTTUHCzSbiPOgs
+MUM0YPV1G5n30cmogIY8NQGQo7Omj7lbSDC3kVsAQgtYlfUTa7XMwxzsIFBqD+Gtv4360TxmCZB
sXX0Lrz7eOvc5kRz9gADfg534F0u4hA5iGopLXp03RXk/UosB/Z9YuW7GsDFbk7cV8KB2+YVYyEh
BfaGKNOBOXD9aYbc0BBpEu2x6hHrsOVUP0iJgNMrEvOXmjnGySyz0O3neN+IZ1MHP9xREtFfEjOU
cAiPrH3VlWKTR+Za0HCj7kWtB6I4tQg2yAwZWjxqErd7PmqN6QX+I6CAosKZfQx/hfo3KVW2AoGj
Ljbvuyw74zY+bBC+cWP1Z2NMT2ZQ39fS0bTRFnqRpE+BVAyuIz9W6oOwn8wOxG2YkIhr28qhN47c
0gAKd6iPTX7oJGtts78T+fElRNF43aqEDEuFU5L7KTP5hwJb+CWsZnOAqcI8LWqLp8C3422NVse3
1lTqDQpQxaEupBWGze2dRCaBHhUNg7dccbGzUNtSnSAyVc/shXIuEukJH/dd2+sPSleC9hP954+3
8ltusDzg7CqAz4D90BdYhASB0phVOARkw0Z60o1q19GoCPFiiet6F7fPNmh/XQKSLov9NGabNgQa
aeZ3aZl/CWRzU07Pg11sZOMU+udc991IKrxx2DVxuLEb9ZhouANho541zx//8nceEuYK3hTXiApW
cml7Vcq5lYWxpnqk1cNjiIrpc9ANERY6tbLhLeOBt7pgZ+iSfKhr3dj5QhXbegKI/vEv0d+5oCnw
cAw4oOS+yydtUEWGfVuqo9s2gTvQ7yM8CotUvcSi3znxsxI9pW20taXwWCJDySECKTDuJKPcUTO6
OOFeDaVLV3wZpBPISaP6EkmHykAbzv4l5EcD/brigsfIixmUx9LJjr2lfhHZnSlL/CuBZ0X1LpIf
24rqXEZjJQgBQjTxL181DqU6PcGp/5RkOGoYDX2QSbK+ZK3zMCsHkLqscfjfRHkXO4o8+E3ThQoL
ZOPry8rM52S16GSvQptJl7j2J98146/S0G9aQh9hXcbohYJfTbMRJwlN4CF1Doe/k/Z1wNcp6Dyq
aUMf7osA1jxM6jyT71pbe0ULz3StLHlCz8GbcANrPufICsnG8eMFfSd5QFwCZgQpJlebZs1J/z9x
OroxqLdV7eTpoTGdQ0lF8oBs8ZIWfroXk5ocojrvH9rcjw6yVPmA0eN0dOFTt1vJkJN7q0vauzDo
7DWywm2KBoCBSJKbFuE6c6l433exNhYggr2hEacI9z5XmL1xVOzEdifNkijups0rgei4J4jrfjXZ
JPbGFMmu4+QvuZ8O37qqXrlE3rs4afrCrQXFQOPi7YD8M1/9oPp6lEBpIxZSTrWufie8DRG4zZ2n
Lg3FwTSx4NEqFYwaleaTFWprcoa3rz+lD6QDZyYyU2MuXv9OciIj18B3BFp8VJAJACMAY+t+CsO1
QOOW9zyXWSjqkdMgbXzDGDF8ZPu6xh+92h67E2pb50kvk5MBbe0hiFGiK3toMrg8h98DwLQNKKCU
DduF0z2vcLrNooRXsdBE++B0qvLDkQLrqFaB+SSPk/WgCV9eeVdu2+qUEtjSYJe45lVE8653dKvE
wi5LZ/BaOT1Bqxg80dD4dkNZpR4oDDfhhnbNwdKfankM72VB49x38JRvujg4IUQoXNUOx8e6SgdP
SSP7sTcs9LOs5oxTULkjgzoEQY1+QVbGl7aRfgYmwiwrV+17kRdqF4g2gQ+wAYxcf0baTjogtlZ7
jKp0i0iCvwXG43WT1m6cQl8Z7PasEXWRJ9PHAvJkLQMboHt2aJSl9jhIrbIpJc3alnX15+O75nbf
wvqhXcydQtbDg3b9RXE0RgVQ1MTz9TDzSrt+HoVjPExx8Z9z/3kgWqTUtVDelxd1OpjvfqerdeJZ
gZQdnbL7XSXOKepFtOmV+JwR+7tVnP5nGSfg6gbNQMgrQGXZfdff1+V+7ERymnvCcoIv2mR8V8fw
RS9iwCyO3R7jMPf3H0/p7brNQ8ID0GZXlRsunQ8r20qnJvekwDbPyP6o58ZYA0fdRmozApD8lWwD
vqilXn+X3GtdisoHsQ7Qj13UjDY11zzaWWaquoOqDq6UdPHKMb4NNGYZfBRyoKuRDC4Bj5adBT6y
3oWXjUZ/4AmWnutCbx+ryP7hVPqZ9rhCDVobz7lPiWPlPNxyA1jLf4eff94/17ywImmK4rrwJrly
u/TJTx4kUFl9h01gjwOVbLxg0HDUgbvn7c/c7iimoR1UZZ9K7FcL43NJ7B43h6k8d7hVUVZ/tYvq
4gQC8y/lOXTW5Brf2wnkW6i50bSHQDX//Z8f7MhZVtijwKG+R6q58R11Zzv5mifbe1uBjgv5D08g
l+viZMkyFGkjlAtkcOLgLhEhkxNnX0Y7zdwxaquLNelrccA7YyJdBHuc69zm4xZLoZajWU+mkXpz
e98E/aob9bMhpVuhjbuo9DcVIspt9xNxiceo+JQ69nPeSRse7xOK+xddCw9Zv3Ymbm9ncAkz2oit
CZBvWdkdpnxsi1jJvCjvvzamlVMRkc27SU9R1SiL1bT4dhJA4HE7Ew7Rg+Fiu17eQq1KwTe3XtLp
2dc4SYJ9VdrTFzGqQK5UATc90aP+Ma5V/67RneeMA/05EyXRkIXOYOWDMXMdM9Ce0yYTd1FhTT9S
xwhfPr6Q3klVZgA9Fy/xEeJJ5uKyyIUBEKwq0BIneDnWluqfm14z641uxt8Gp7n4Wb2vckp8riKZ
2edywoE8J99YeQNuF4jElpeTiBZMGrXI6wmLbCXokxr0olwhTqpJvbRva6c85IVBt1DJ15TabuvN
jEfQMV+V9KiXjSkQh2WUQ8nyRIdju5qWxc5o7OghrfR9Yw/KOe/RFWjFEG1XZnyOZ66TEDAoNETB
4M0dFH1xJlVr0iS7s1ovFrKxE1mtHrrRkE5+DcMjbXrpKQwGKENFg0QalN7vgr+CkRCGN/lFve1T
Z00u553dSn4IEApQFJtgaWYSY20opzRtvLRRzSORrH8yjDLb0qXLvwO2dXZdMnz/eB5uL0DeCjAx
c+HZQDJr8fo2Y9CXuRg6CuGkpLYSW5tJQfPs41FuYxiQSm8kEeRO6T/Of//nmo1KjDaqpCo9xDJq
8INpfbCVQn6aQkes9Fvf+6CZPwQ7F4AAa3w9VNEk5WjbfuENgrjBB9NCTaiaVt7Zt5bE9faZqb/A
K7hcmbelghV8UNKZTPYfo5outDkm2R0B1DlLDXOjYhGzK3LjZzHqw32Hjtwfp4HSrllk2EkVw9yg
i7CTkrTemMb0YyAy2veqL1wo9BpaAgly0IWZ7kap03/915VgX5GWQBgG+0nN8Hp6KrOxRgAU/iNu
8tRpYnh7uZnVh76ifPvxUO8kfQQhc0Aps/Zc+YulqFPUfIHDlB5Ujx8NWd6zqDp/18cBhuDCdtyE
m/uoyRLNe3uatRibemXjzUP8u0waDnaEXiZVO4eiwvJzm6G1qsxomkfqndK+t0WwE85of+nsRBz7
OBfHzqhrrwu1c97hU7g2BcsjraHkNN8w6BtztvQlCkuMwhKF3VuPLZLP972tlneiDPaDP0u9ydEu
izjVoaZP5Obxd9Ga/p3UQf9ryDeeC6nD9Ccpw/0Yqt8GP+uPuVDa3cfLdPMTmRoSP8rhbGMe5flA
/XM2nSCAMzLq4tI55e+w7w1qLnZ1Jxtx7mkVgFlNZO23j8e86b/NzmEUUolRCTj5r8WgQYboOZzy
6JJqevCpDxz4RUaEgkxCy9Me4F4jpxoeJU1tNkMtZWe0ytNNbE6F4YZGsZYQLJ+9t5+DB+b/ohOy
res5aIESAMmzxaWXnJ+R2nxLNeOABSyeWWXerezJ+duu9uT87f8MtjiC5MyCcr0lLnor7Hs/brBG
z9DK/XiKbz8J4uLcyiW4JSi/eVmVLlDHoRMXtXHSFzvxyUFY5U2FR85RIaNc2erLK54yhwJwkTCG
k4Yyz+KKV6nnCD/jq/rA+DkZenxnxE2xCUdp7Zl8d6S5f0OKysu1vOFzXSJ/awdxwaXDNtwM7S43
GTptckkeo83H03hz0b99F1EvqN75SZEX39XHMDm54mEPKM2m0KK9Zs/dK4GEYD8M02by2+ciBnVE
ORwmjrUzgvEop9O+SOOHcRrhV1AUx3doQ2DjIquyD7TgjJrMSQTxStC/jKbm3zoTzvUZkMd7vvit
yOhZfmQ64hIWowoBJLOfp0bNdkWHDkUui36bj4a/04thLe98b01odBlIOZLN0ge8PkBZbFcV9nLi
IlJDd5U20u5F4vtuIOvZfyQdzR9JZ3j+TpAoPPHXQ0mTORqVQIYrFFaKnexgbiSn71fW/faQzqcU
SB7bjChx2db0w1hqoi6ILgW8RpoFMWEYTML9x7vrvUPK00B6xtZCwGT++z93r4nIIRTFXlx8x39M
Ar/zKmqyp1Lqh0eBjtrd/2e4maeL0gUOKosHGeAO7iIFZxSaB0Kk5l9CzHLnSPZPNVGH3ceD3b4r
zCD1cfpkOA4QiV1/G3KrahENMtfc0BnuEIV/SrlEqquN+kOS2pdIrX99POLtJtSQWmAi3yrMoF6v
R+wmtQhbvacNrpvgipOh2iP92bqdVvYrt+tNpYMADXscnWIHF+wMs74eK+4MCFWZagDZ0PZq7e8H
qqDbwa6hI/fNSeobaWuH9k8j/6QG6nEQD4l+yYfPYXqpKyCH+kkBw6yGlEOTaS+kQd1UVvZZmXnh
St/s7URDSSpf+dk3eSY/m/oetcpZpg+Az7zt/9lwfSHMwSG99GIcadwo1fotOuXErmFkb+PSKL5G
KAa6ZtOYj4rcdadOQeUlspxmZee/s1YkOdByST0MQoHFWhlVU5lRjDh3Ixrlfm7NHwdJwGkFvL3y
0fM3Xb+31uwgAEyBy4k0ZNFuQsbfKJ1UGrwsDFBsQjVwP8hV9vXjzXd7lK9HWXxQHhSFWfnBSBnT
BpuuqRg42Moh1mhq+cGae/dbx3D5UbPfGdR03PtApV8vpCIhvGNX9egFmbKXav+lsFV/E9eQCkM8
AU5l/12KgnOrnLPoYvanqHwW0Zcx8gz/rA6/Atszoos6O5+Om7bsNoV5ASbnJcWPOv5ZV6e0/x00
Ada/CPDsVfW3Pf2cWqTs8RjAB9223db/3iMvPjonx0bPpUH8+1tTXILhLJyfvaNhUlDBuD7io7dx
lE+a8SRNL7K8I7OV+qfGQS8sOhjlX6e765UvyOZ3lCMx33Ct8K/kbHIjxXPkaM46Qz+z4GsvxW4W
/aKfHodQWOoflviTZX9TGPK2rxNmnMb6pKhfC+fRbkFAqdsMKWEJ/LaV3GF74n682je5zWxYCdAU
FWPq8pQPlvNvG2IIyaVAD7a0KFtH+YIMv/GrcYbgvlTDAHn4VLmDLqGfc2B9Lrq71pqhy1uYvNgF
pBUzWpDIHYXv+ZT9c5zTeLAhc/m911Q4Rwr5FBXH0Wh+YCFBoShM/tAETLZTYvxSsESUlR/RSKUv
c1uAOCWeddqpE9M5qb/Zw+9J+eMox8SGzyE9tvoPCWRFPhUPcX4/NPsot77qufpkpD+sge4xyhgb
ynYrt8JtAANEmNyUZgdP7g3V15DD0OrNRPNUAf9aC18kKqcbAUlnr2dGdo9mv6s5pbEy7E07V3tr
04EHnV3YADksQnKlzJA4M4bRa3UWKbLq8jBMiF8mht8c9AhEHtrDnfJNaP6hSbPkU9xqxoPIk+IS
553+0LStvzGBxv7nB5uyDL586I2Cab4BRuZxbIQJDrBejSBtjnj1Xu8ye0PNzC1nINrHm/r2osTk
hbuEsp/mzAjQ692E0XsgjyJnNCRv92PRZhBghzUwxE1zlMnmlebqnyU0ETxeHB0Leq6qFCq09lS6
87mRmzugzJhyfurSlD3YhbTSDLyHpGATBaAzJ+Vn5Ge/zLzQ3KyqP6E1eqjiZNMNcO61adVo/fYq
n5l1vOrULUicltmgiPhzMyJvUBRGj8SXJr0YjiQ2Pl5Gn2ixaH8/nvfbt5D/Q6YeKVOQyMC6r+cd
4Y3SpDQue6oEM7txwnrfBfmw08y12Pmd8wVLn4fKoJE401uuR5pSfQqlANiChdzZNhDAGqH9tq4f
TucgPFBU83/1Rvv54++7wbfOK07MAYoIsDUAsHnC/7mmtDQHWxQmk9fDDv+SAlK8p/WVI7ivjF5G
QdsLs7LH9IYcX5ekX3kjoV0lxmLTaAFQCvK8Qwcj9c6EAe/KSdVhF9XHrx//zNuA1eY95SagFjLj
+hdxgsDdIxprE+0Ozc8hdtXKU1bW5mOhT2LTCyPaaV271v18Z+0pgoBABndNNrPUlsyQcqv8XmFF
yJinQbGpduMHARSgW9llNxhBVgGmOQhIqDekT0shx1EagWnZDpgVNTK3Sidjy1tNn5MinkBcOo3+
Z6zR6HKK5IkOgGviS/m9cIzhoKOr+L0a4hct6Kp912jaf47Q4KWY5HL8PKoVSwqZioF7WA9F5dHa
CNBGMiS3GIp05Xp7bxvOnb63t2Ve58U2TMoC4IxRVp6oJ1BFSTje2wj4uQrUwYdGk/R9NJQ7WW3E
nkDE3AqrRwo8qzy0IrQdoKxsn7fyd2hn0yaZHVjGeBjWfuTtJTwrYNEGgGPBCV1iwa1GRZrbqAov
hAb2WTf64nGyo2/pIJxvRhXGD5Fp/VCctHmWrE5/rC3RAvCsuyfEqb9GoqJHUcrJ2tNwo86FeT1o
CkgfOBnOLgqLt8FuWqDhZpt7TftNoEN2Uv2qOumJ0X/LMpA8WeDAzfRH4zzhEXRpMIXZyWkRfmvl
/tSna86T780S2wVuHvg+OGWLn9M2mN+0NR3VJAiLF1Hn4b7L4mn38Y3w3ijkrtR9oGLAHVav760W
DHdTArP3LDsNz+0kUP01xzXLjXnbXQdxIMNmbhaN2lnmZXHvJAkoB7nMS4j45EOQKctdaRvT1pRC
QPZD9B8bJPNKMha1aAJHDSDr9Uf1hl1MQ6HmHu5izb3cygSAvbXSR7y91rhnaPISt8xWLMujpjZy
QOZtFoh0BAHE8vopH5Tkl4MC48dL9N7GpOw0t7A4L7Ps2fXnqMoUWonk1B4PGSIereIfVSs6mFE9
HnI0IX4XlXoUTTO+dsMoNsBc202rajFK0dpLZGVr+mQ3eFnmd75jIQkzz/AYFuFN0YDBiDBw9eqw
P7a64dpRgUwXpr4+ZOY0ljd52mufQk7MNnfkndz0znaS2/Yrvosz81N3cpr1ee86Ibo1Duq7Z/63
thunTbeLegRxeRuN7tVOo9ZFWnJ86RpHvqtznArlpKkmN9QE8Lkk1X5+PNlzeHC1U+nmEJ7McG56
pizu9VwX7TCh9jnKnlwDX9HDSSAFmDunVkEnJE1tcdeBxnzJlULcCVmaVmpyt2vNvYhcGo1yfSa+
LYtydhJWzhQlipcMafzi286xiKbh6CfaHqQlaPeu9g/Ifb1mRRRvjLwztxZ2DuqEXd449dlKE/Bm
k/NzZsYSbXasCG5cbALFbGgupYpH8z45JWoQnkfofz/K1F/LN29uonko+o2Q7thfyN9cz7zfhs1o
OLlCdSGfLpJh1ZtBpUf+8frehIeMYuPSSk0GpgRMkutRoBYkIfL2sjeTgzeJ2qRHLVd69MbGweNo
VZ9Kw+h2JYLrK8/eDUeAJ4+iLhksdTVoAsvSNWDxsrOdpvawTsZWLo3rbxIuIdsh7dX7slHGoxUa
XzMZIGKUB2Ansfrzxja0P40WlrI0kzusQwL/U4LY+LHo8NXNq/IVzPqFLF12ldhpTqMzpJ4U1rzj
lGX+6snMN0EgUT0WyGbttQFX1r6Q9gUIiW2SGdJ32ibqfsSydWUr38SafC5VWMiq/IdmySIQT3Lh
dLhL03ksK2RRqV9trQm/z2hUMArQnBZdKys+rCzvfLVfn19GnVs0QAlxBbpx07QmO047vfZQ+TuA
6rDqLwYVQKnogEjvWmLrUo83an5Iqxd0cdy+PzWQMaTsWxCBDU+fgrreztdsoevUOp/8HsEItZj1
z45ShJeV86Po1X3cRNskf2xCCQeEPfLNYUv3Q0mPha9hZYnQjmg2th7vApXpD9E9fIBzHsTGRmry
bdj1+8iK9jDxjlbS7+DhblHDS4EnhBWSn1l4HPRsV0fJ/1F3Xs1xW+m6/iu7fA9v5LBrz1wAndgM
TTYpStYNSoFGxkJOv/48oDwzarSq+/jcnamyp2SJWsDCCl94w2oOFFNEEVN+zMeodtg1egDgE7gK
+GJ7rRnVJrcxnub/g17Gbtne6Gm08qUb0Nvb1FK8JPgq8zSDvm1VdVv74zajRoKAVNWFMRcj1PjL
H+E8/aXAQX/MIq+c68bLlnRu1jK9qko++O3kFtLUuQkmg2i3OXeSNgaHkdnaDqCZVqqZVnBf6gkB
yqTcj6b1p6SV4iY1cmvl06LwMIYO1hKMg1Vd2do96ds1UeEzzQvQ5Mh+UepizXD0L402nMT2FSlV
KTEZjdjlRVTeodKqUDTspVt9CpSHUE4jNwTSrfS2vparxl/Xqabc4jH9BxCHQ27RIp/FZEpvSuJ+
42tO/qhl07Wb9/yMBGNAi58yL10H+pCnp5c56Y1Wj2ClCqoFqzEbgs2oWuXT5e/3q1Fm0gLNGgJP
WtenoziFbHQQA1uofjZWYgIhXFNGoe3yKL+46ohmQKwhjTSXxJZBYdXmoS9rdfuIDZK1pxP2h4oX
gltl6tsgw+fT9Azfx25LXc5LqhoBGyueHDcLkuiW+VVWV55nnrzTowM4GG1ykjRQukg3nL62yCqj
CqSkeKycXPM0kfQHO0e1O48CYxOV4Rc8irt1D8DPywWhFwb2lhclzfPl5zif/RnGwXwgcg39fDkt
RhQMMb4v+ePkWF8cPcZRLZDFlWvwbBAdKDzuF8g40WM+a5LkTh1g9hFLhwnRzTv4iFT/6kFcOY3P
gql5FGQNWfwQlEgATmc0jlimmjJKB0kX07pJu2LdmqLbOQU4CNsO400b9eaNNNrWFnygdCVCf9dC
OPmieJYBDJ3lySnPUPc8HV9Tp1yLjd54MPoIMXbsWV1lwK2mFGGwIsXTYWhRJ3SdiAq+PaKeFmXf
R6fT3ChJH7UaqbJaTUYPQZyPcdcBJAqkDnvFylIfBye2djZt59uk7np3xPB9fXkhnF2gZH9wuhD2
wnNm1gE+fXoxZFnTNEZySLJSWVF9yuFTxRSM+mZbKdGNGbXytT15dn0iOMNdPWvJ8sn4cqdjVvpQ
MY20eDJclLwGO5PHPkY6xBqE/s2KtOhmENSmlWky7vHDwOfSN4ubeors7Yi8o3d5Bs6iT2qTbIJZ
sxS1MWo7p0/joLHvF9FUwLWwcVsxIu1jiaDwn9Io6Vd2//mGoHGmYqNLow6s5HLXhYOh+4kEXKGU
8mRD2QG4EjKKV0Y5iz6ZNVC6sFDmr0pb5fSFWvgNI7WL+OBbbb6JQ3xQE+TLNsicB69l1kcfE+GH
m4q215WRz9uiCIJhHIrrFjzHOYs8HToZel9vzaY4tH1jrIZQbu9xYIjxH4w3Qh+STQCv063SUNxY
eBx0iDV6ca53Xy9/0vMjYRY34sIFQEMRfokW861ep1dTZwfDACeCpEizbQzLU+KxfyricUQGnQaP
0Hsklv1avTIL51uKpAqJfMCT7yIfi5i0V3GJmOQ+O0CtCd0cwtRWb41uxQ48xl1ir3Mlvuapdl6T
A/zA+WPLZDXUWJYVaeRQJ0S+bPWBi0tfE6AWayK9Ils1iR78EUhytgvlCYK/QPLUpewTumJokWMP
zOQ+LxLVE81U0HzU5M9G0bLpkyLRbrVUdv7ufpuZ1UhiwK6m4Qqs/HSNxFPe2cUwyA+6pH6gS95R
cdLR7vG7K9fP2XcAn0ESBLyFMi2c7nk3/lQtlzLwEoVgoEk6WFn2h4XtZC6Qnqiq5NXP/Gu95Pnv
O7kI5vHoPMwFqPfa4+l4U6XnFa1++QHqaeOG1hB5ZpCmV97q7LiaR0EymlyH8jPV19NR8iT1EYvr
5QdJytDBxhvuRuXEdimzT1cqXOfBE2PpUFneuWwcJIujsRgiJcumWn4ITfVZm4G1mLskng4i6k1v
h27b1fK9X6jPkVm7Kjj70k2qwNkGGd3SfLC/X97W7yrVyxnWwTkQUtBcIHQ8fXettatocEr5wQ6K
cZWbob9GCiTeK0Jr3VT2nW0sh8lu8uX4z8LEGdOFkxx+dtRJQ7m9yZw1hlr1tgqsxsV6PN/4tCq2
pp2WO5Qmvw9mGu6AT0pbOTHe/CQpVmWljhxTknZr9En2EE0i/FKa/vipQrt9lwrVuG0j3TyUeaN4
nOfYr+pdecdF5rwoeXvVXWc+u09ngCYm4BziDRhs+MefzoBliThu1QJ2odKaK7OHOt53ylMSq54j
egNWMv+57it0+zQ78MpKKq8EDOe9csoKeDURdYEMmsutp4/gm1asBjlcEDWX9poh3bVaUK/Lyhpu
M7T69nWYfumnLr7NZTQEMZgs4B3EGl4bSRbdpSkTqgWTssWZtvvTbFJ95dcVBs0p9Pu4CHYVQc42
5spel0Q/614Z5Lvazop9GWmNJ0tI73vTCKNyGjXzPvcj3bVFJt0pmlLit5hz1ltoNkX54+XV94sj
FmEQ6uSzng+i7cvzpBykIm7LBIbNqEkbHSV639RqhDYipeS4jJr2LpOcalUl0y7tp+emTFephvWt
3NXGTRbTgyUIbPxn+p/OiqLGobV77crpen7o8ZBwQEiriDG4CE6/jh2Ao6rsWgIrrpf7egyRTExh
LsU2GJWoige37jT5yo13fvJRqaXpRMnL4eJbKu/FWBEVMx/jUAbB9IxmWHUvh/G1Ft+8tk/W/kw+
0sBkznogCKAt7lX0m0teAgEFmfWvjnq/FkOfrJs+LgGUXvUgOD/9KCrQPCKMor4PpGF+65/uD9vk
pDXSUTnESYG+d1Gb1ETaof4kel1al36FM4EWPYy1ot7EWmh4iUA3XpWGeqXG6fAM7O1aaHf2dedH
QsyL2IKDjYbK6SPlNRog1oiSDvJzn/gn89KsyL5lAphKoMvRh9G/JsR+9m3fhwTRjngPec67fu5P
s4BB9GCOwlcOY2QEXoPs6SoeRP93S8CoINGznEVeaRJRFD99MVlGtjqhIXrQKyXY2FNqf2qRbt9l
ktCeL+/js+CQyIxh6EQxgTDFFjskLvoY2WFk9OQqaR+i5LZ1KowAHUdKPcSFNNmjxb5WUXvfQxK+
Mvg5QgaTr3fxSKpBtFuWmIgpwc8sMpvs0CN/t0V60d8lhlVRkFAUiJvYW8nrvpRfZDss1l2dKrgU
iG6dURR3i97wvSAwxytH+nnYPj8UsGPmZaYULjnrdtJJXOxhdog0vb6hqC2vhBDONgkqw01oGt10
snoMjcFL5BjVpijZ+Wp6rax6jgXjMaiOzPI2pBEkEqeLQANSicFPnx7yUrkf5Si4R2tTWxNlA2RS
SrFK4XSsnFZOVkOOuXea5FeCq/P9RVRB6kDyQDXhzCYjm4KEq6WDI97qz7ouBTdNjGqWFBbNCi2v
daqV17b0L94anBYAaTg6MiY5+hzw/bTBUuQ6mzoT6WEs8goZ1sL5XIUSbnRNQumyt2XgHVQOYipm
LNK6XNeDQ5Hg8qY43+WnD7GIKzJqRElVtelBSiJpU5pSvE5FHHz426NA7qfHQ4MWEv4SHpY1jiIl
WRwe1D4EYycr0qrPITFdHuWdjXp6UVCGoWUIbRsRQGqupzMajbJeNmMeHgKnX3GZu1nymmrRCq7S
ZjA+OepjbOwb7VXvc8+KdRcQreuk7WqUsBpuHyx/RI85wqdQdpvoizolD1q+N/S3NtAxjH9Www/+
gKtEAvSy7T27BmpSpjsi842d9x8gQt3ZQfdaVJ8FHmnrqviK2vHf/14QALkDARFwESxZyZB+2qCN
1OCAp8qtnUkqXhH11YjnrFgJSMEGRIiU4EwSWMbbaMwORChleEgQrt8Vxmh5Pgy93eiITShZwRqL
jsrr7djxLLB0uzxVFReAQ33li/5idc6sL/DNYGdJ5ha3Q42oh9OiL3Lou1ijuYHZoDxXSC+vm/PN
D7eMdTOfAMjVLk/BonW6ILLy4JBP1UsvT85zWVvNi8RBhQtKZJHisICPf3tQwmngIMT1gLeWAX1Y
A6IKbaSFJrlObyaMIm4BluO/4g+bNJG6FZHoNafT8xclJWYiSVWx04bcfro/an0I6Qo3Oaoq4AMN
MzZeZXtqVnY+KCuWUXAblVm6vfyi7zYcp7uSUQEnATQBj4NKxemoTkYfrRyr/NA4h0n4nhLib2ik
KI5lroBhMPWbFo52/jKAwZX7l1Qim9PXfn9T+LuCWpWZPDTtDcItrmU/ddFnvXQ8cxx3ybhTNNxp
oH/BzcrERutDN9aelexeCx8shzJwYNRP5qRsRhnMep2i8Vi7EdeqE2Ubv8m2NVKZndKsGuQyrTr5
kgF8Xo8pmFm7ArAYNrgF9VW/uzwlc6b084xQkqBCh9usNSNvAEiezog1sbflPuqPOZfDrpTxRSsx
g9xJQtbozaGh0Fidtc5a/doR+R61nQyN1i1CKwTts58DpYTToW0nCycupfSIUKbqNgjQPrep8Vip
TXCDfwsttIC59u3MX2sx29tse30XNyDJM3NELqvLVFx5zWiP/o/ucQiNm5Ij08K89XnKsN0a/NfL
k3XW70NagszfnmUHWUVnVo/DECShXpnSE6n3DhGVYi8sKToUYVqvpcKodlJbr1JDLlZSTwAzDrK9
9nVJeYztyNkNDQ7HLSV1c1SxG+8U7Xm0u2rViCB5zNRYvbLczwK9GbEDIR9zEk5Qmh+LTSYkp2yt
rtKefCUgUVD1egORQHwCYf5Z8ltUyBAx8GTVF/fBZBtuaTqtl0Rdu7JrK9lgqdR5uIfHf/MKBrZH
Z29OY2cGB5Xi0w+fiEkSjhjUJ18E4To2pXrVBqF/pXK0PLDfR4Eig70ZHHy6tKejDEUa5v00W2mM
UbHBfo9tV5bNzeUl8a7C8vMqBuAH8ApoNwg/QvrlvdBlSqo0qWQ8xYpTbsxKH70CpVf40PIXlAH2
faIl68ROX8xZo2Os23XexcV6HBD9deymWotsSHZO7ih7xFY+Vrj4uG34HIZRiFSy/SE25GHVabnY
U2c3OR3IgFBWKT01UMJ1rlvlneNnxi4Mi9xTJinZUJw1PF3OLJQ7G1Tf8Kn28lLXX+zETD09sUr0
4+z0ys11tp2ZCGaBjgKHK3Ho+2L8KYaMin5yGmwCn4h11sYGvXdv9LqbaE2Z/3bwxH24guJ3KD43
b9Gzf+UKm5fM4ivM6HqAO3M5kizx9GMjtNyoYdWoTwA+d7A49cpamfpWIV24/L3PyGLvrwnqAkEq
iOggvU9HwnrRztj96lNxZ2/NbfIwbIobZQPT2g3WiitvMk/bFq/d2noyttZeXuXbYBW60ubycyzv
z+VjqKePMZhtG3VyqT6hEuwaSMGlxmet2FaqCXzzyhpf7iRiZXAtc+xFZIKUyOKVdW2upoSorQ1K
btxbdvBa545zJfv+9SBgpynrcTEvPS4IqMrKTzPA0xFuiiKKozUGctGVV5kv+JN1gi4JEAh6/bN0
HdfP6bQZfYiU61TkB7MNcG+Ga40ctAhmZr6/QizjM62B7LEEM+dJyXRt8Zy/44wl/FHNoay9ZOxR
HB7hoTJ6KScm7MlRzBnWNRfXxSiAvWaUAf67c3udEp52+o5ZSuUnQ3jiQAU3a90J2PEuJaF+urwC
l+DIH+NQA0cDhFoYe/50HDRGfHaDnh0GOR5uwnzo6dQKT4jE4jpXGsxFm6LyKt+oVnaCpitg+Oml
NmR/q3R40jVZJ1xWglgrWtXdjuEYulMC9busWnMbFMNNG+6SLvra4/XnNUp1axfJM7TweCvU4tto
+smVPvoiGPrxRvSF6GHNCOilfMIIa9xvci07lE7wNOqUeyu+kwER1EXFJ3L1AI3KQpHtv7eZ38fV
6RBxghNR0Z49nckRIKSFhjkFmVoxPqRZGu2LlpSu0bPATUvrY11cs4P+xSIBkQJCmYIar7tELCQ6
F0lfRumhsfRw54+T7aUa1Kj3NfLf34b/Cd7E44+dVf/zf/n1N1GMNG/DZvHLfx6Kt/y5qd7emvsv
xf/OP/rvP/rP01/yk3/9zasvzZeTX6xzuKPjU/tWjce3GlOh9zF5hvlP/t/+5n+9vf8tL2Px9o/f
vok2b+a/Db2x/Le/fuvm+z9+czgT/vvnv/6v33v4kvFj2/ZLtvzTb1/q5h+/0U3/nYCW85F/z+B6
zp7+7V+/Q5ZD1Mg+AXj123/lompCfkT7nTBSm71KMcGhlcHQtWj/+i11ptiA1UKVkFNR/e1fz3Qy
7f/5DP+Vt9mjiPKm/sdv70C0/5x7yNbBaJjB/jwcNzN/8+kKC97RI33ACjOK5sXO2nbnV1r8Vemq
ynYDrcs/RqYVOjvugfSmn/oSf99BC9ZOHBs4PDVjtYsQah5DuExlkwTHjGLlUYNjdogzR/04wvh9
UYza/wyMSlvjvuAWNCoeFCGP3WYIcs8YE/1DIA3tbSN10lFSSw2PYn/4oPhNPLn2AI47rKzymy8P
G8qBzVM0JAmeHJVOAqLqnQi93pjsfUbvCUeBBq+KqO/LO8MEQvb/sHDvo2+VqMWfzekqPV3t/98t
b06ZS+v7Nqqir1+a6Oc1/v4jPxY5rify7xSt38vwUP7A5v17lZvO7zTj5tuVf1PIZf3/tc7136GZ
8JPcuEBOZhvzf69zKhe/s/jn/0zhg3AKlc+/sdCXYjQsdM5RWvrIw74zIxZHqREltK6DpnukN6Ou
A2EmLh4U3ztc7r+XZWLdKCWoEGSS6JbJer2KlZqotDX1W7VslfVPU/fXNvx52y0FR3gaWpxztYEC
B7O4TA6UIcJsyp+Sxz4tJreStD1Xcvo64MWNw0xe7TIFF46WFvcGywrctDElW0WKs5Om/DNa/Kbb
0HZclZldvwxaWm27Si9vzF6T7xu2zl3eOZ+GCHO2y8+9bDO+PzfRw2yyCKwMVYvT4wJcXkPiKMWP
clHfpLm8zfMm9vAdkFfo8SZPouqCG3uym32jds4jfhbBxleTdNvDsrzl6qq+tVlXvxap/2AMe/oK
b5efcBmGz084i6LM8ANychoHp0/YiVQHy8MTkn/JRx2ltT+RrIE8XpnGGhdx45ZyEjxquUw8HEWl
VTmR0ZpK6IIJS1dhXSNllen9Ux6I+gFYhtjicwDTXcKyspKzfDNEXboTNoTdsmmDO2eQx7XZ28QD
g3MtV32Xs/jP+UzyCPxxxiyRUmCHCwru9HVwybCqRII1l2hmD1terjT8HlpD39jUP2B3hkgPGOF0
rA3JV267Rv5aSqjwR7VSNF7UjQWCY9ArrbSIV4FUI5LVEFq6vmgrVNsL6VsWSzYtadNhuVPWkgYD
4KUVtm/5iKOlG7a59VIYz1rnuKOo7buyjNDuhBaOaW4z6+X4qFp5UpFCIR81yLp2oaUf8cW0oRlK
3YMWT+rHKR5wIYBomSNoKMWOWxdh/tlH63ClqM0b36tU3LQhmiTHtZ2HWdYsXzlNVHzSm6Ff+0Hn
txjGKNeEdxfhDuoKs0g5jFX6KiTqywgLLEVZB3UknidlVPCrUMxNYxf6FTmb5elzNszimtW1rDFs
EYrnBie9rYRz5zadKtyVa4EWCOLD94USfmYFhpgzBNlr7sv5C74nL9kofbq8Q971N39aUnMReUb4
Yc1GJEtvZ5m1Wf0QY2pVHKdsUlCpM4cHgQfvyrSFjZaEknkc4tW2H0LJM7pe+ZOKunQHNzG9Tapp
cnPqYHvqm6ZnWPOcxX23ikarOaRxk9eeVGrfB8KXrar3uwylyZ2ozPpWwUxqZ+qN7gWaLVB0qgAi
TE3yMZS74T4YsL+pbHtAGYJavVHU8qOT9sqRfzJXLePylXDN3l2eimVvkbI2dDz4ToADQF+DeD7d
XcNoan4TDv6Rkqorxuk+Zh4gHSCJ4aBIYO7NovOCJt5EvXguM9O7Mv7Z6iOGo8iqARig2nVWiipm
B+JGT/Sjj3T43vAx+M6tfm+mZgb4b0x3vexHz5E0o64j08bQfKAjpEG94L/T3FCS9C5Jxv6KxNQv
HwuNADJiaoTYgJ1OS9QYaqvVg3YUyvjRbFTlwYhC/ebyy89XxckynN+d9gIcFURiCRhOBxnDxPcj
ePfHILK1ran27mCK6qatmiubb1EC4iPD9CYdlWedIjq3i4FUhB1qHd+E4xRngScJEdZkkkmIj8c4
vEJbv6ZFM/+Fp2/GQf2u1mFDc0bi4vTNqIh0bapozTHQ67XcjQckEr0mM793UbKqomwFpzBbXZ7N
XyxlWtO0yQmV6BDRkTodNC5o+TlGVxwHB7OUqXoO0aKeqnaLQONXK1ZWgOnXLaG1HId/qmq2vTz+
+TuDYpw7YDoQMCASiwMuMjO9DvV+OPYSyPIuN8enJGppYXZNf6gb9SuPpO51u+12lwc+q2UDNiOu
m5VEIFmBPFwEdnre1gV2rdWBjun0IBdYw0qK2GOOYcSugm+ym9bRtC58zOunJPM/6jgybEg6MNFo
7RbnsVg8xn55tcg+X80/LQOOFjgqrD2iEOgdUN5OvwgFCnY2EfHBbCYyWLsz9lnZq16W1f7z1GOK
PKQ+naFE26SFc2vVKO0AUv5OioNxsIUhLo715iYUhuA8svpVJrOOSsPkeiiK6Uqp4azVz/aYDQ14
Wqym6U4vtomkphBaE+Couei8WstdqWvvFOPe0caVmotN0KibXpJoMk9XPuFi7cyd4hnAQ1OCGB3T
m0XI5gcYW1dkkocR8wG7Gc2dWnPqY7k4uEWqGBtRTjFa9deqbosT6H3cmZNBog0G90yRQElj2iNh
OB20PsISphb0amiweaTl15Sw5lf4eS2gOTCDo6iIwWKgjrTYHu3YK40FPPVxTGXpweqlu3yS8MJA
odkTEElDRGT/uLIxTl+PRhRCl0TC9FG4XqhqLtYfGn16BL9uOmJag2xiJuyVltSIS0tapcC6w0ku
6ILsRqMXdIMmBvl1FWyw01H28lQpuHVL3cbH42ELQDu6Bup4P9//MyXvj0eEjkQmDhr0fZaoKmMI
MWJN0vGINekHocDrD9oq2trYg9+1nWbQx0DzEep6+CmOxv7OD6L6IWrbapVEaX9roba4ngY9hsZS
mGsbdV7PrBX0pcK8Dv/Quxrs8ZR7dhwBDIhMfMDUeLqvEh1XnEH/1Nq0XBOtHfZa3V0Vnj69QX+8
HJwbCq40tFhoi0Mpqqmay0E3HdM4NT0Hj49brQcPWEywq90y1KnLY4K7j+2vbZbCsi4G8DNt9sQi
+qCOfq15YTa13y4vidONxlPN+S9Anrkwi2TtUpldM8ouaf0RpH+TaN8Nu813aLJYHvbW+TpEn+4P
O6Pbrfg4Ol0e+Ww+GBl7dMIsbAt0cIunZ6FsDbowcqEcMb5MN0CIAm8YHeXKTX+24jlDED2hpKXA
Xz9TnvebwOyV0q6OHHHdttKMj2VdWisajtdK6af7eZ5JuohMJiQOol0wgafvo9HO41gR1dFo4uCT
AW9hbeTOrapEEGoH+veh0+Y/Sk8nJdOfiwaLm24e9L2VRbUE9sgMZT0d1C6LoeM2aI8xucQG5Qga
xmUO8kNIzXPM4bMOx7F/bdVZcKDuoN+Gs+iLqWcrTR+CXZT38SpB+OraSXN60/3rweY9jP4eagiL
2Zh6/Cnrgu4aeA4CkEhVPkeq3t76vjbdiLHwEcBF1Is7DXSDXOR7rpaY0kGCgBvFipAsDI8II9hi
UaTuUQf+KgL7Tc8lrNZzqoRX1uIcCp2cPHOMxBzSoaAVwoo8ncfZKU+RtKI6VipCyFPZD4A8MKHe
WmW3saui3LNJs61uwb1HtmM4dp0NqK1Xp/CzGUo29qBOfaMgSnHna3XwQJbVfDVKoBqGE/m3WVCI
NxXx2H1QdZqXlEF0Cz5uXHd6g9RzYTh3oYpVO8rAxUMl5M8y1cxXDoZKd2c8zwOiNVx3E8YMYe87
x64p7E0YY6XYUkfdF6VerkItN72oRZPl8twsgAzvn5LjgXr0fDazxBYbNRgkLUussDxacvzigK2l
BVDq+17YYBhE0RyCNJR2Xd8+GmKaPvqZ7fwBRfUT2rDZhoO3WScmpkuqAcp/dJLxAaJauIfP4Bwh
1lzTxjsN7X88rUPoh5XRjFNZ6vbGLVB/xK6KYzrqzc4Z08LTIrWAPZQaq2YyrmnFnG97InqaI0wQ
Wny0ZU5XTtykhhkYfnGcLcM+tUgOCIfiRxU5lGLGxrxxjOoa4/n8ULMpqiLUBlmM6P4Ml2jZFGyq
oDwirmK6lRqpq7ABTMCWvgaV/8V0wl4BIg+Am0VwVt3Dg9fUa4ayMSNwJUgBDyKGeh+FSb5PWz9Z
XV5t5+M5oGrx7KNdDuB8Cc23MhMpwHQSR7t2pJe+6B0vwGvVHWVMrRUpLu4vj3d2/xGTz7RuYGuo
V5Ldnn6+um6aKsIS9MjeMneTApbLjsIO0mttuoWJlHFcZOKmkrv2yv23kL5gpc6VBsRYaTnMWe/y
6qUtbxaxyatGjtT/MZTR8LVAoPu1yY0HtTS0LaVbeYNNhfogYWeySYzCuEEKpQfGiE6XlKtiZXdo
tCdqnpMp15qL0Bc+mbOr2iRWw/BZUrh4fLuudrmuSV6pt9XHNu2Cj601umnuINE5imijlZicuFQG
e4ggTXsrJnGlY3+2Yud3tSj4z9HGrD50Os1F5Y9Z37GMAuBPrl360SbjCCXITccrqcPZhlwMNX/x
n7AlfjvmE9IFBYeLPHgSIpcFVnekDs7HJiw/IaZ4jST/Xvw4uT1s6MGEGNCLSDn5sqdD6p0SC/Sh
0iNLVd4Puo1IJvJOAgEkSMp9G8Gct8J8XfXqY1lNHfo/mniQM7pUFV6I6zazuQsle5Jv9BT7x6xI
t5LUVBsnxqSvgKh2FHVU3ZbagHGQgU/lJDVvc2qxNjvQd+5QTYVwJyz0brG5WZWDLfboVV570UVC
OC9Zei7cAJx21NHPyxjSWAhht8kR+Yp1w2l4p4wDyJ1JRnADqV3MqfXnsNMa4bYpxhL68Hp5u54d
D/MD0C59b5ue21ikfUd9PqmS4yAhXeyCO9ffsl7vNwTszYcRmaXt5QEXRZQfrwwijs6MQrOIdPj0
28o5TaAYnZ+jFpXm3u78jUa2awhu5rxXql0gCf0h76pghV6g6UYlJGkjHK6Vxs4jPd4cGIpCmZQq
LcYSp8/RVo5FuSRIj1U8RtvWccJtokOvc20ffam2flNRBtmpwQCKEDmkVURBtS46PpOPhmjnV/aX
ML72Oc63tcK3eG9YUWVB1XPxUDUKdGBy86MSGfZH4HWIzvZmtDYSSXm6/CEW/bH3D0FFnuSQnHnW
lVzsa4AR1LPIGY4F8gOusEPENxD2wTHVqBEG6qIs2Leanm8Umx1WCkndYJjW7sc+tPe5UsQe5Ep4
lXYeJ1sFCAVKgMJn5lQqcahn3VhzwOe1iWHsfN8R4ZVY/SzfocuozYhtNFUQRjMWz68rkl/oITVH
3casNB/yaEOt85qo3IIF9j5NqEqS26vgh0jsFkU/TgO0h/pOHDspeIs6a9dH9kdRaqNnAAfcIZ3T
uCKM/CdNikoXZKeyRfBk/JBQ6PFw6qyuvPavNhDSmjAcZlougLBFJuBPtMUiJxdHKSftzhJ4k8mo
xvuoMF8g4U33OXaZ+GbfWuX0omZ9u+uuJSOL6H7WigCaTDlnvmhJAhepdyAprYrEUP+kUDtYt83U
rvRE/jMzrHidWWgiBag9b7S8a9cZ5aws665UzxfZEA8A0BBpUTSL6O9qS2qeFgcJHT25OhZNZ3rF
1KdrUceveSx/CfCK9uo41FexWVKe1ZTuSqCxWHg/BneQrkC4GtmPZdEHaTgjNs2iPgZD9F1FDfSO
gnj2cnl7GmdzPMe+8xzzkjPXe7HuTKPqpqI32yPlVXur6X2wmehMu3wOUbkjsHIiKVPcKmogNk0U
hq4OImMthaH/YhZTckyEPX0xY5E85HY8bDUl8T+NToEYQC1HW/TRZjPkod3g+9FubDRAkJdSkdDP
4BLORZtd05OQZPAhfL+ndtrCNBlmMS1LCT91ZpptNQyX1niYVg9mMtbkmb20HuPRuZ2mAcjpUALd
Cqz4pRsszZVrNd2Eau0gTt7pLkr1n8tyI8bbbozqbWfp5d1VlPsidGHf6jJLHgwlC4Y6wryMfgpd
sk5Jam3QpmPpRN+00e491ZHkfZo5yJ+JWTmJvN7OcRNR+y2a88XnIKz/SFpqxlWaRF8LkTX3XVEV
T3aIGlMAeXwjFaFAUd02bwuU0VdGJnp060bHczojXxmoC/VuK0b1Hs1EFTmpIN1N5SRvLi+PszUI
3JZaLsUAFcwHPKfTN9Myycp6O5SP5A6NW8eD9JRHof94eZQFzJC9zTCceTTv6N+StCwm0Izk3hn8
Sjm26bASQ7QORgs3beGZYbWxleY5tJGhR/Qr4thL+tzFfP5RybZ58BogWJXjZauN93YPK8jJ10Gz
S6vmBa9u1+4jb7Ral83mFlr/anDjXzkof/HwVGahWGrArthGSyp0P/YBDIvGPraWyFaWAIpd2YLQ
XlcHqDYaAmpVOgL1UzphhK5Kq9Ctgljc62Wtu6ZOdacb7dAr4n7yyq7fT6H9DQm7Ymu0hrMvaWk/
dTJNBluS0++JU4UbbqHOjdQuWBmIa9/HqorVVOykV+7uhZjY/F1mmBs5JNBR/JGXApJKrPdpGCrS
ccClGiEw0dAeDh7TqRseJ3Rj7yspdF5rc2xWWt9CX7JG46Evu8kTI93hSI82pSyPpVtOaqC5HCkx
HSRIbYmNcsPlRbSIaXhWzDq5qOdODSW993LIT5vQSoRV906rHoUkKRSbhXNTFShBJ5IqXUlVfjkU
NcNZBgXMz5JcG4z9lAbgPI5qFvvkX2WKOl9trhOW1/HyWy3jxx+vxXsh5sP/uIROd+BgNEo/NYV2
BHyBua4eKKtsDDrKRvIt+a8bViK6Se0k2I6K89o4o7pzZL+ERBBMK1Vhd8ix+HvR/PszwftH/Bac
M/WRxTPpYqYfTJV2jML+T2LpIseM0fSfUq23rnzVReLwY6gZ7U9Hn8hoWTJJkLaxDHAIx0HJPkhw
WN0kj1CkkOTAtUTQXUEH/2LFcwKB0wVLAIGFbv7pdAe6YMVPuXN0Wk18NSXH8ZTATlZ5pHep+3/Y
O4/muJF0Xf+VjruHAt4sL4BypGjEqpLbIEhRgvcev/4+oLrnsFAcVmju5sSJs5iImda0sjKR5jOv
MUE+fB162ajdMMgQADGFZ1PrzMkOs2GKbZ2U474Y/ZUKnOuLIBrebgpDuAMUQGm95dF44YSevzzU
PugsUQWdG9XL+mePWSE1xSnaT0qQucIk9z8UqVC24IQUGm5yu6syHDAv7Mm5cvgqb+aj8MqBGKPm
SlR/5gLaFd2E7H9a7usWLkKU035KM71Yj6kw3lUNSJCsHZRHruXCjXOrupvSIFipoN9+f64/wh7/
T4Vwcun8e4gyGLewbtLH+q9dnTxmz6dQTv7Vv/HKovYBHNws6/y3jdC/kJz8CfUcEMP022cEMmnN
30hOQRI/zCQbIs5Z4hW8J3/f35Dl+c/mvwuKHNJDbAPkqP8AyvmiYPpqJ3HW2EX8vhlMTdv4RQP/
1aVtKTDhodtJ27KolSu4/lVvl0JqBG5RAOEMrRKQkpeGdLIipVyrACKkSoQ42Sn9xxRcc25LtfiE
/mixC3T/fvBJmKxOfrASFTJ710TVbRnI1qHzvelHVw6SoxUSzchMHbOd6tU3edfHv3tXf7Qr/29b
N9VjEj5mf9lt9fOx/Sv/9de+AXVbN+GPegk3PoHM//fAyEOne28H3v7s/3Iek5/PeRY+nmy/+d/7
e/sZ8ocZETBbb5HU4hr/r+2nmR/mHTb7KIBcB4H6avuZHyiQEk7RDZghvnNp/p/tJ8sfZjlcsnFe
XVmdG2d/sP2W7zj2BZQmyH7Yg5Q5l62/3DQaX/UL7yEtnuin6eKX4FIBdXlBvwzBPPnFdGHOhJQE
tA7GQAWWpoTiKiq+NhbO3taj5B8aspNXH+D+97E56Sou7+V5MAAq4LBAXtBEmef76jR5odVzagnX
+tEOnPHWKldDucE6zgBJo26zjXzJHOat6aEwrsxCMeSpy6qFGDVSoeLw+ND+yr/nR4qINIwuDbKM
AeZpWYCR4DKh5oBB+um0NAJjU8k0oH2QVzrDRzW1clQtWk9+eGEJ35gPCLaZq057ey4Nnw7lofXg
0yr2HhoxcwT1WCRf9aKwaRLaenhJZWuZXDEvkh7AKrSduWqXJoxGNeRFXjYh2U230ivcW/MLJYTl
BqdsP+f2qIzMdQxgoqfT6ZsYylYw+vvCEz8i2if6miu0/er9fTdXwF5d4nSyT0eZF/XVtlNL2exG
f/L3XrfyBFtXvnh3+roDv2H8mY8EdgsMBX8KSVtO7lxNPh1Kqn2U9S0/2FMirZw4XpeaHF9YtJdV
Wc6HF2kG82N9DSHsdJChV5SM7lGwrwBwQfB2xmJdZbvhKd/JT3hpBbkTDLb8Bfo/wov9n5lM/j1H
OhPQbJWZLzRvm1fLKaMxlTVyHuy75Diq5T7o8y2gmh89Zuvvf7hlX+D3cr4aanFh8FRBSuvLYI+f
L/gC4wFq6125lj8ON+kfUbXPZ7X4cnXVaUaK8PBe0rtdFUxgcS+1V5eHl81BsAMViAYkILSl/Yeo
I1ZnJRWzITkwR+0aqOsqQhitkSTQMZeupfPDNX+fGY3FBQgUZlG0qGtNKaiP+fshkHHd43JtXOuS
1c5bg3Bu6VPPsEjQDKebAYVP8KEVd0QexL8EeQs18kj97cKWX95EUH/n5xawKh0TyCCLUSIzo0cW
yMG+pOZ4UCWkygPDE/6wlM52Yxhk9IkIaEufPYbiMFYK2vPB3qRgM06UTSUYaBfm8taKwYGbQwsY
R8SqpytWWwnqxrrPrdpXqza5DZLwHm34zftH540VQ7GSWhUIS4Qrl9KvaTnpk4YS815KHKmLJadS
hUtCMcvoeF6vk0EWU2nKtECqikHcm7uDspVV2/rS3SkupZXt08P95IwuClpucaVeV4ONc+n1aH/6
D+ZJpEWeB1GR2Ot0NeNKz4NAqMO94sPFa+L81s+a1f/fGIv7NqgTQBdiyRdTk605DvRbL6T1b36t
V7NQTmdBsVhogqYI931jVqtAa92mqi4hBd8ehMIBuBIwAkvXtL7u8h7WZbjP4mobhc5EheA/Waj/
GmHx0DZDhJDE2DECF1xN0yvILizUgnM1X9NsOfm/hpjf+lePj2G0VtSHQ7iv1vJmWOubyQ3tQ+qY
bvjTK3ghwuP9D2PTu7dgO5560fYeTOcSx+bNlUQ0ngLbzCxYouO0oO+aSpzCfRu3O3+KYTvlFwK9
C0O8vIyv5umHNBqDcAz31p1phps6uyTesATF/l5JCucvRlEzNfJ0JdWyMCKvVzi8TzhfbHDTWNeb
/Ca+0W69g7H68e1qa7h8R/0huYnX8jZfV5tgNdrP/8GeefUzFu9ukEa1H8ZSuDf1Pfh6wthLynLL
Du/ZTBfbMgE+12exEe5Hx9t4V+PPOsZzxpka1DIMR7eR0F0lq2KD9NlsYGva+Z2/vmT8/uYHpTRB
EfglclvMc2oiIRx6Ldz7ernp2zJ9hH3s/Xx/Mee/5DQy5HSgGY81IgBJiuKn37Qp2oA4XofHk996
CmxJ4XpsFSfHe+X9gd6czauBFptHyrBIzzuWFGEbRzELG3eMC0O8uUHh8SKyy39A2C4uxSHIkknh
ZdzfPKVXyVq6lr74g91tjVXpTo7ipG7m4Na7aq99N3Fau7U/9dvgSrze/gdvDAE93Wb6P/yaxWTb
LCQmmNJor0LTVKL0dpDy1fvr+YJ3O/1yNJClWYaToA12/OJe0/M2RIAhxow064yf9SR0eykamsrO
EbSDdgnf5VuHR+uvYuiTr+OEKW8dK8mxULvoRlcG+SFE8fyqwvEF7ugoQKrIo877YQ5lye045SmW
KVFT3rReJP4afGn80empGNo6GkU3vajBDMAYVZnoDXEvULbvBHgRmJLDpZTzGDtVIfukZ5p4I+se
/1urJsVy6hSLAjtOCjO2SxFmAdDyGmyYFUrZrYeEMRrryqQ+TGUa3CDHq0v2NECzXw14LeS2mVRI
UAMr8FJEeeU+pH8e0C612kGDr6J6UAhAj+ZfR1Mccv4rtWZcxoUReAomnr/e/wjn6caMt0T0EoIc
zXTtRXf71aULvCVBkT2yDjEdo3Vdlug5tyKVaqG0hJu2MtQ7zqxwnQKRvaGjihBHnVpf3v8V8210
shPo1FGQAonJIaatvrgo0kwtsjCMur2sebdj8ZCr2i8rGe0+uOVFugBjPzvHEsyBWQKPthQRwZLC
TPE/DvrBFxlMtA0JdfCLrNc5OjqZD7wjzg67m/xAZXVP7ySxUGU/zdXwgAU9u2RskuKbjpzicz56
Te2YaiY+QBMROlsbYIvYeqIZV1UURL/SMPbvW6sksJObGAQJTYqkOrZ+V0dOOKjGZ6/xyHdF2cyf
PVNO74VhKH41rS4+y/XUfh/xsKTP7nUKzGRtqAcnbc0CS86pzQrYpFr8oJeWVtoIp2OpXUt4bfua
nH5CKmY4moGpBAhjlrjSaaCgkxViM3JmV3GR3fhV1iRY4kmxthlCknEAP0n4hxYhhDvcf3Sy2IrA
xOa64uniGUIJzrnswoNgFuONCF3YFiXo1CgH5TnSE0nzXTdq4cr0ctFpPB+KY+b/8PuyXwWWfsli
5qXPffotySgQ4SM9msXnz35OkVttWebxIRZjTBJSyXcHzzO3AjDaVd5I/jVSQJDd4Znvq6Iw7HZU
8qMizpTrQW3rVV2a3W2lecOVV6PjOuWJsAeLEQB+jzOKgb2x97xkLfRjfqN4crsWh1JaJ6M2XnEv
5ki6t9NNlxiWG/RqZ6tRo1y6iecS2ukcUQ+jZgj8mUyTVP10yXusJiurkcSDZSTzVZSrza/O7PzY
LnJJvg5zQf0G1X/aKVIl9HaeNOqnXkFUaVuJaEn6pNyHzByrx1afxvspzoLPvG7SoR4LXKlHX9KB
q+d9cd+kKW/zSGCidE7R5dJhxKHuE/IRRJNG2sY3ulhJoT2Vnic6rQVPASTh8DWo6sqwKcKEP9Ej
8QtHN4NWdAKhLNGt1eOudDBLHOA/1JP/EzKi9UWII+s+qFuUKMSokxu7S434q9yF5Q9EU7zelopC
/Aw2WNz3QtTcyHHbqnanW4LrJbGhXipjLsFbtFQokFE6gqUjw+NcVrZHQw9Lr+utQ1tb+FY24HPq
m9rCgMauk7Y7tGM8hm4Z1EVkTy1VQvzBalPdgKaOW8RXvfbz+7fu2UVIjwlyDs0kCni4ZSxixClW
IZWoXXyo28gCqZIC6s8M4/79Uc665RomnqL8gjaklHGWg4m+FApamGYHzysku0T046MXoW6K69Q2
5qlx8Gagfa5vPPjaPNsNPomplzlhPaL9FPTafc0ZXL//q96YOwg2JDB1aK1z0eB0x+eNH2ip0meH
rDfNddXk2mqCsP/H8RxdE2RWuMkorfDsLFJ1LBilQJeK/IA9c30d6KJ3awq+vjXnpL0Y432Tl+lH
yTfUFeoQfHchVFapr6VOi8zGamxR8yoVeHZDIuNv52HlIomC4k5pDKof/YgWds1Wx4Z229a4+nVC
V1w3WllCzItrZ6I1sSLSCJ3aUy4pD84h4MmlMc+NF5t+JF2jsz63b/paadRlfuiR/ndr3QB7p4oU
mGMt2Lz/teYrfzkUi0dJT55lypeqzoAM1U4tp/xg0s2/trxIXxkF4s4oLVDUTrBJS7skPliSZzkF
elm794c/2yzMdAYMw2mGuUNT5XSz6Drg1lFvigOBqeAM+uDdikHYXsD1y2dRA8PQ3pgjE8iNdOdO
hymKUKwLqykPxdSiudQEVmjHUzOt4lIPNnIaNmuVxO/BTz2dF166QUkK5xFJFbZykoxXaQsbuxhi
6SppBhlNt9D4FQoQE+KpHOyMKDrg9U5DxxR9eT0U2SVm/lkYR2bNRqfGR0KGhMjiQsGVJgOY2pUH
a2gnR9Iq7DlE9PW1Wts3xYyzEpoLi3bW53gZEt2BeVgM2RefJlC8gHd7Kg+xoAFmCrEuNptJWSFf
zRoJ4J+4X0l340Ry3t8Ub00WvWiEGSGbUoZbfK1GpqXtl8hFW3EqgRxvTESIpylZqVUGxEJU231u
ysWFUd/YiqwtRT+ab8x2Ga6LVapCU1eqQ1TnGPIOoeeoY6BduLfOjzbpNOknGBbwNsBYTneihNo5
8KZIOmAVGLnGEDw1zfwe9bHn/ukqwijlG4Jk43zBTj8dqfXrrtADTTn4GUfLsiJvxVs/bUYBORDU
ZWRXExT/wqZZAruZFVsUBindb0CCgGxPR5V93ML1PhcOUThgFC1ou7rDR8nyUJpuMGy1zGspaA+V
XK4bzyxt3KQeGk8tbC++ZMJ3/kHJrmcZrvnoEGXOl8Kr/KtSajVEI0Y4BA2NLdzBfg1hm19Y5Xkv
nt6fM1ibPaOhAUb9fbHKiSKmWDCi6V8ZpbXS5RwvMNkPXSU301UXef7m/a+6EOQhhifWeYEEkNfB
0F6CtM0R3o6oNcahDvXvIOY3vlfFdqQGnwZvj52SXVN1ynq8t7NYsgMNw9u4vHBUzieNXRQHFJwa
qDi0zk5XlrIUKaeiGwcFRioeu+N0NRKe0BXIx9nzU7zwSrwZ4IGNnzM+QBBnboJpxvPFa2keglAc
JReVbflbBpbivpanqLMrWjoP6jhhTJwogzY5gpz3wdoLE/W54d3/43LqjBZ6ARr9huotNnlaJkNn
aIV10IfQskVfEJwpkX69/6UXClrzl6aZPWuEwMIAOPSi0/xq/46VWCWhp6bH0Cs6MvYuZV+ZUbMt
qkmaHC3pmh04cUndNGqr9vB1jTG2YcTn9FLDCMplanZPYgGQ10EtYvBdU+2txClCmV4XqeudmOSo
/CpV/HVKMcGytbagxh1Imo/0r+6Z9yRnGcbvFXw9eiOV5fYyPjyjNsTof4/VHToFleg2ydiSAAth
t5PbCJGaJPaEz6TQcuZEYW19C6G0YBgvGQg655qOf54QlwKSxpN8zK0ppcZkZaJg14GX8cu8ovVd
gJxava6jUBntIrasuxExpcHhDOLiERT5QyKW4vP7S/7GPoMdDxYS+KkOBHjJfgmUTq+7simOvqW1
69ISC8eaFCGxZ2q7o0ZIjWlekm+NKLrSOgjeflTEx9JrLrX15hN0eq2g6wQqaO5TooIxg4xe3115
WaQGNMvoiJq8fz3qPuL9ql5dukzOslPahmTeeCoC1uF7LF5aUatFqYq96NjDKNiWoWhe+wYSToY0
O9Rjq7n1zLBeha0QPEhtb9hstEv2lueXyYyrA00DNAmk3ZKDn3uJrk65Hh5FHINuaGYPx36oxNs0
tw7KOFSXEOxvjEfNHDI0KHwehmXIWYCoRq99CI+gWwUX0Z9uO8nzS6Sh0qn5waVu3DnAgnd4psQR
6NINJjU6/Zak+JhX4ad7HCA+bMe66Zy2Vv0V51936qwsKZX2HD4r1+HHWsk690xMxb0O2zuk15zB
CLN9PzT1LvD9wI1IGi70wc5DvfkXco+TSZG3LZcEyfWgpTIWHU2JT6Ah7+aMDI9M16Bum1k1euja
8piFF8vyb+zzGV4J0olkefaBO10bsdTKCHpZdKRkFUACk7w1lcVLDf83Hk1ovTM/kgyAuGvZndID
cVA7UwdMYFDG0sUG0wocS9capYINli/KuugMxY5jvfo4am18pfmR4WaBqLg9yA33/Wtm/uCLw021
AvAG5X8wN8aiOl9KQ1kJiEgcw9S6G+LxFwJ2B93zv+GhfVvn3dP7w52HnMSB+C7Bd6Kkfda8RyN/
NEI0rI/9pBXXuuBrD5B4v1LClC5M7DyZBP5I6jqrqJKVL5VxGt/T0IiSs6M2Wd9jX2zurd5IbqMe
1n8l1f1K8pR+lzYSgHIz1C/V2s6XlYyBWgCUXwtP5cVeMlszD2M6nUdjMsSrtKIEWIg6sr8ICl2I
4vF2OBsMlhoS4cBI5k47wOCTC1ovgLdPllcdC45osRW7EIEys1RtSB91uipU3MidPFP675OGuOTG
E2arwLKN8scsT6L22vASyF592MmpW0xFGkOVybW9ZJb+/SgJk7/SlUleK3oO6VoOe8xzZCFfdWIb
KCtBzZJbeESq6cqVji1D16u/ooRaRScVlXql+23wOMReU9hY25HTolgw4s6JdbHHWSYicP3KDL9Z
eTu2G1Sd1GNPVvxkylh32ibmm/dDO6pPmY+EqIOUNgxEXakqp0mM/qNSZFY/BxrjgwfXbbQ7UvwH
K4uUA3RqWj9W4pXH2oe+kHEckSYFx3aFfAqkTgRM0AMpVa1rbUUrGt3p+sTY17lW3hgwgGbBkDro
7KGVPeUGlZhUsDVKENux4DPYc4uByhV9k53RtvKVT6XzkJeC94sEeBZ8GFoRl4hS6L5OUkvPadLi
ZNXmrTiBnzOG1AmznH8iAplBz1mcoQUiShziJpaKvnD8vAlaRxx7ApqpGQMCzLw3NpZAs4mvQHsg
kuJxuqv8WPhWmo3YOJkqoboQGCVu5DSaRtPt80im06LNtmb021DGJWLEPIUSVLzS8cX+MmmejhVO
R4KJD1ni6fcYcNIvKWrITXZmiW1n48USZ26tBLrnxoGeDLbXVdkXbuomd1vIVoZtdpLQrHJqUabd
9OV47WW+9RRS0H3yOjW9GUc/EPmLqlxfaYKflTgApZMKqQTtd7dVtXAXWq0AzDRVwyNvhIxQa2JC
17aMTrm1CC4z20hyclM2RvYtmdpojXHetBOHoV5xBWhIxSCTDUGicXwtHFx5Qg7HGZAIhgHSD7cc
PrG40+u4UmwoKGoG5duIK2dKq/DBoqW3lzG1bLCdnfwrqCjpDVCn8TGihKo78jSk5jbS2km0a8HA
8tpvR2ldS1n609RSL7IH6uuHyvIsPqPpB58aDt63NvaMb0VrlvdCMyY/2zZJPlaqHgIThvFyPYil
bLmCXvtPZVP7X2hZCrprFpl4PwFqzu26Do9qr8K/TsocKyUFKJ9D3pV+NnLEgUp9DDZoGgWtrWK5
ZlKbEMPUKeti/JyPZPMsUTzpThWodWz7MvaVozXS0xmIa75EdYEiSiyL38u6suCcTmH1UFaVUdtV
TZBuT16n3SAgWzVOZE7BulB1IVtFjbqqxiY+juiG3xZS2Atoa/iYgofSJEUYZuQDI+h9+D0TTP3O
nzL/Ce5Qy9kXdCW5gnk5f2jrrstM/atHN7wi5BEkihDCNHyni0rOPpko3fS6r0RulSS6RSlLykvX
E+JOt/0hH59L02quuyGSt2bdswxjGThxHftu34Xix7gX9eegMqEDBnmrfBGVqb/jc7DzfIpu2moQ
uhqPbD9XPkMr72vXEnPLdMJEbw/TQJh/iPtJ6p26sabnQYol3Fyt5NmXUXK1E70o9pafGAfRq6cn
QxtUOm4QOhBb6pLN6OOd5qtKRom2LKZfnabbdSrcdpG1s8QUSysYEM86fQtXTaHly6ABvvhqrJcO
G1vObQWtiBvBJ7MBP+6VVymeAiLpHQLjdmNKY24PPqoRjmyO4i+5K717orV+73vC+DmVyvHKyojW
baH3sGweqM9RRgrK8WdkWmgu+GWreiw5t36BdKfgwGGR+WRegteun5e43RK/RL6rTuw97jiM6Gzu
yehTZsbhR7GPcsnl22WmHZqN+qWSNG+8UL45DwTh3BEqWJTdXhgJp69aEzWCVMZjefT0GhWoWsPA
3DQRl7ZooEeJYLlt343b1tcuReUv1ZjToGiWaCBnp0OpS+oSolQNuhL7Y9IeY5LryPF4dreBmvmr
uJW13hVzw0wpzTZYqQzjyJOG4yiu46g+FU6S1fVd7YnxjaxGMiqiGqUmMTamR966ejcatdGt0cHA
aZDaapVvklRr7iyuacNlQVpgBX0VHhMf0S5Hlok/awnTFpuiN67JgTnoWCpiGxo78kAVGelLyf/U
InZ7iQR/Dkhj1SlPkxEB6CUBXeQKqorntNVK1VGWC1QfolH/1DfqY2op1a2GR/cqr/LMUcos3ERK
37hVmg5OnxpYq+YR50A3GnpbjfJR7TuezwQl3qI2LBsegXwLB6bbFADnN6iYyatencxdM/jFA3Ub
/0qlvnwhHjyPPOdaDSBYPi0Kq0sN8IhXDrE8rTp2E6sZjznaxAGqM22qaxdKUueJxOuhzoJcS8bd
zReM6ji2gb9SQly7rWmyLsR9b0wI8jaMCZl6H+2E+Ve8KskMohqMmahlR08oHvvOau980ywdRRC0
X+8H7W/MB4AQLAZ6fACVl1THAlh864d6fqyawbAHyru2FquX7APfGIUIdk6ICGZnRfHT+YReZJY6
/j3HYOCJaxI0e2Jd+lMaA9xgHWY1whIzi5YTfjrKKAoe3equ/BzzUjh5q4ZO0QDAeH/FXpK41zcI
I7BY0FhnHcVZr/F0mClvtGaUve5zbn93Sxsrczt3DKewf+Eq5lwEUyz3wnK4xdqhVRFiWMpwoqPZ
skOo5oQrYcVdzljR6kq0w/X7M5wTmOUEKegDmsCDgXt60TsgEABXo/r9Z72w7hqFyFwpoqckbn8K
dX6h5LrcGfPsXo+1yG886PW1rArd5y79qGo/wujw/lxeevLvTWZOsF4dJVnqqSIOLN+1ZZe2ZTdu
u+rc3ZPqQDy2JechcDZcba68DuzYFe0LBI1lSYDsDcFH0sRZfQ9e0hKrBBUEywxZGY5xmYmS48X5
SJlvxFjIKWK5vpLiAkhZkUWNuIpztPkAk40GZguDmKgrcgbtLhHrKbuQxC4p2S+/i/uFWJhGJfK+
iyxWrBCcEPJyPMIDHb62UtPasUYqawjBtGtL1XOyXPEejBy5LthWza7JZc/GIKFHhbjQ1/huV3dl
2X3qpTr5iMtN446l6LtoOscP73/DxR55+amYbc4dJmlWFVseOPJLojp9OFqTIbjtWIIuGUgt3x9l
ses5yhKFyRktOctRo45zulFqtVOEtGsNdLMC81OYCiJSlDWujpTdtp7e/y3N+Ed81v+hLOuZHfLv
WdZoEP88pbbyf//HJAcrHApIJtqRMw36xe/mtxWUAB7vAy/8rKwFAkXiUJ2QWy2NS4kqF18Q304+
3j/kVsn6QDEO2ArFFZqGVMT+hNy6gGUTspIXUnaC+03sNKOVT7fJpCWGn1hCcRSFuZjSBWIVrAZF
uUomsgHbm4zytsFQhWRcHinFtJ0e4eUgSxt6AVNvj+EQAXXCrPxjj3N9R3qQ9s84PBm6HUS8kGLZ
Y/1mFvUNHg/BE5iW+LfK4//uvP8jzX3Rf7/zPj9m7WPTnm4+/o1/eNUi7GlqGIitc10DGfwXr1rX
P6DVhZLxXEql5cz2+hetX/lAVQ4IEvyumVc4N0r/2XoyfyH8ZBVMHn3+uUX8J1tvKT3LoYDcRagG
YgeNFHi0p1sv6mUjLlKz2nfaoH8xPaqdpSCqG2GEE9OYFOGCEBHCuo7lXVi10XWFgPAjJTnZGSjM
rgShLm+0yJjufNUqXMVXpjuCT2MDRg2p8Ghqnl6t7v3vV/Y1dXpxpb78YLA24ALoIUOYXQRkPvUK
MCPAw4G+TW4yTNOqywvIVQhJrSVEfN33x3uRSHn92M8rBFRNgwZHle6MSRDVGqrlPJf7LrTEz2pp
3enpNNpDKvSrdjC/xImKFGSWoB5shPAmWhqOGRIklD0M0y6E7iZu/NqJkt5zdMNqP3a9X6+qJimp
1Zk1YraRsVZH1dhE+J3vlEC+pNe5zIzpBs5ALDokCJD/Fol4Ha5QTNR5/1PkqjUqOVbacmNEfohC
ep3gaW3sxaiqd0Ld7t9furOWJAO/JBu0t4H90Co53VzCEHXplA3NHqAUMoGCHG5kvwiv07Zpr6xG
rZAhEtodbjz9thgFwU0ns3ZNs7IuZFhv/RLGpy0JVIunYJn8JIhoFF5Stnst0+ptlOTKR3S6u48h
Ced21NT6npKbtG5qsdoZWgSkqo6xCMopqF5Ykzc+Bt2qWRKX8vFsjXK6JgUAPknMimlPStnSqkpQ
wejb/liygzbGmAyHaqgNOxxEOJdERbecpniVhiRRHmWbXSt25qc+7pMv4Efkm6Ruu8+mkCQwxi1l
c+HHnh+2WVeKXcMTCBlj+QGV1JCSBMD53iz78AaF6uJHUODnomVhfRMoqGApQ6VvkLfP9mjPVVd6
l7HFximT1mIeD2sl16c1fxxuMkADd0JIBPT+b1ymMrzq9F1fpK8gFSNTcrqeQuuXqk/5fq+GtbKJ
inG0J5n4MrLiS6zls27oPBbniBuZuxL8/vxbXsX9NAgCi26cvO9K1crQGAqzyYZ2CVujwSZUdiLA
bocO4W3RxuNbfKD6MxjrsB2jZGUVVQUjXQrlGl0JqR3Whl9q+rUQWtKXTsHA6f2FmW/u03tr/oWQ
rLE7IbJYgm1qrdKmJsDVHBvfcFN13rQO1K7YiM2Iq3wXyddlMo07KquZS8nwIhDubKNTEiM1f2lT
41isL3LMVk2KNlENa69InfYtGcFHXgEDqfF8ylRxD0R/VOw6w1USmBweS3aZUI1xjSiBsROJtfY9
heyRuU0hWTvJK7TEHjCRPypqYvywxAApwaHWroHZGbWD3GAX2IFuDphPIET1I6x0FSJUAB51Vadm
e8PwCsQeq4/qXQVApIBaU8LY6adYQqdi6PrJbZA7nJw6z9LUkb1BPXRWqRW2D6S1QRmujZ/pdFjP
huzXno3esh87phnXBwMe5ARMTZp+4hgHGcbvdbl0C3U0QxvQXCxuALRP9MmLIunWVlOgK9z0abHx
OzTzHBNhRxhc8ozCnBKQ7Supm2vcY1lhXjS2EiqD/lRF17SXBdAUmIUmdgp0LL6J0AqHBGHUSuyG
XghYO6uLQ6RXeIdYrR+7qlQpdIwrWfY2XVNFg1vGUyTsCq2Pdr3YVPm6lNPgrqgzs3F6uddEJ6v7
5FIqdEYpYk+DB+HSQ4tsvlQWF5+fqXUfRa2x19PBWtEkFO201cN1JxTq9xyuyb1YMecp17Q9QmbB
8xAk6oXL4uw+Q6eG1JkQG7lhTjNx1esDLGFDlQZ5Y+yFtIw38oQBSEZvxu78LN+mhtxfCB7OLifG
I+jD+cKydPL0xeVkFNE0YoVu7gUhRPk7SGJXy31jTVH9EknwjakhsA4qE3MMhMaWjkzcsZGgYfq+
r/IATkSg+WskgolTatlfpzLQjPevlzemxjNG4EhcRNi4VOUHN9z63mBa+3iiaTaVqs6hjX9mYiL/
+Ucj2oX1yFIiFrAkBJYqMDEvFb19T0Nnh/6k7/qF4G07oBluX3nDpfLKElnETqUWNRdXCPgAlixq
A2kRiwZ6usJeTeR8G9fVrH2cxPS3OaUZyu/rEENOuxyyaVUmpbq14qi4sHOWNR5z/hEQqnnYZqoY
iIvTrepZUldXuaDtR3gSCVJb4I13cVmKlQuyzvRcbUhVrjJPpScNjB9H74ZNiKJlZijHqdFQHDRw
/LzEIT4PpYBwIvk0o2VJj5HgOf1hipLiy1F61l4LW93BfXNXeFa2k0pd2iuQi6/zLjRsS/E6VxQM
uv752N92eqBf2IDngTnx3Cx1wLYnGSKvP/0h3H6lnodmfEiaVPjhYSiJJ4yl3pWB0jy3LMboSmMD
E62MkuFRzrnmHLENkWVEQFqQvlq1FX8OmqSxI0XzP0eoNcOUN3D0vImhZB0VmQmiHmgYCFuLIvVl
cUxZ5iJRFd8JYRRcMps5P8PscRSaICJijwUP53RGbVU0A+Uhby8ESmCj5avY7aTTNA6ydg0l8NIZ
fms81o19DsMA89ZFPNMqiS6mk+7tLbnaJvmsaU6hbQpTpAHN9sKOfuN7zZBAbkP2DaZEy1I6VdNa
DhAz32emmuxz1FbvZM+H0uDphZO1o78LylqAGyBXblA1vasM5AVKK/+ouZlv/AbkJ95a3SaRtWRr
RTpep4FFVT71ECjH6KA2dwYo8VVSlBO4w7D8CjzrEjT9rTVju7HvZxk8Qs7Tb5QSOoitEPqEeX5m
h7r3vYum57qTn4BJrP70jmXFFLCFwL8oBCwVRSMlk8sej9n/x955NLeNrev6r5zac3Qhh1t1JgBI
ipJISbYcJyhHxIWwkPHrzwN377tNUlcs3/HpiWsH9yJW/MIb3hoguYJSGJ+TsYaIaRmfXh/ohUPN
SBSU2Qo0iejenX7ViEaemC0vfq6SpvvczNXyxbCQy/UrcxqVYG6sTAnKLGpTEu1hWPxY6+zP2IRi
ciYActRX2LgvRAv8IIKENVAgiTTPDrdZdloq6jJ+Lmzp3DhKNT52cL2DUQL2VLO223SNWtyD7Kg3
rhe5D6Ql9ZWO8hoNnETQzP0KjyfkJ3YhWzublCTL3BZV3Wf69uO+Bj60sdL5T+UQeNssVINIKqgQ
AXE7O/RlK1s7byaAKHmXhAkBWJgCO7hy+l7Ytvi9rTRqMjkuTeP0W4SsHLrStEK6dmnAO7dvgXZR
f2+GUOvnH69vp188udOZI/fkCaXqtcrOnvM35tLWFTydsmde7LCM1ZLC5NTjQwyQRWo7mXTW0SwG
WthRgdndE5h4NCAleo+PI6VKdbN43fyu0GvvcXCV6qte1ubejoLGaXaGsDFqK3Qw2wFcAnnz+m9f
z+/ZTwdoyQH/1buEHnE6UbY2KB4ojuy5VXGKs+n9Qmd7h8H1nWoV33QMyv3XB7wMpOjH0l9mn4Fi
vXjGrCzJl6Q1sufRnVKCCgXz7gIR/ToavCub4KWhqDlSbIbdsqb1p99WlFYsjF7Lcf2ZPT+ZsM/G
YMPyZw0Ppz//qtUTYJUDxBz8vEUl9cy2rJbHmfg3C5eminc2ntr7RNeGKxP4SyfqfMlWA3IWi/vY
OG+eTgmIb8PsqufcbPon15b6x3hxna/Yymufem02vhtDrxyyMqkQFcVpC+KwAkxF5KitQBxIlXdD
xbTnmaRJNsq4+pbni5kHsZIBUUAdRuq0iKyGOHAZu/uoxpI5ZEsay2Zs0/axzK3K5ByZGVSCopOf
bKW2v0oZ2VAfjGkog0F2YMQyLJkyX1G18UHpGmefJbMo7mN7mO7VNgYdssT2SGY3S9sI8WgyYriM
yRiIZdFxHvMmfb5T6do7AY+n+wS1AWjgoEdlt5WZmi2+adfNJ0WY8M31KEk+q/VkQGnIKllsGkev
Bh9lIoSgx9jg2Wr6baZQMfWHyrNbX+nrIg7EPFdHqdQttCNYE4T28YASu7BzpQnTzGvvjaZTFtQL
pumYa827TomibFM483xXdLX6+fV99Mv95WxxAQjAxaUOS9xwrjCkG4XZ5Jqsn0UsktTHMLwYsese
sgk8kuVEoaYuGeJGs2tDppnc/GtkyxnL1kLKp2qQIzeG0TgfFmJ2+rRlp25BzGeJP0RTu6dlauzL
Oa7fF/FgBSpAkmMukwoqeW90xwFecrHa8AxPqZ1531oUItoAC40RlKfp5D8aS01TjAMK3Q3GpNOm
jTN22cd06pRradAv+tnZTJBOMhd0iShhXviuQYPrQIjJZzPXvW9W2fEMS0jawteGuh74FViGIQ6I
IsJq5lWrO1sZu843KPJ7gamJaitwjuuCwhOoSyAjEn1THFqRYSUbHWMdQ/3UTQViOWCBywOfhA+3
WRPD+5gk4S+HgQk17K6INXywhFUeOxbAR/Xetvevr/rlJQwljfxnFaNFHO48uaz7KnOi3quf1UlX
tppXRreJNnzrMBDcJO7s3Dk5xJvXx7y8HCmN4x1Co5ZSJw2R08sR2RvZeUNbPWtUrcMGQ62tLkxn
o8pxfvv6UJeBBVndWkWEi0UD+py4LAeETyota55jDeagrbX9xpum5coVvIZIp/uFUdZypbZOIuOc
fhAFZKuzkqZ5npCSCVvVfUh6pdnEERC1pJvflA1JhjXk0+b1r3shdaUvZZA/I2ZFnfv8Pp41s07h
ZLXPLWHHF9VZ1INTqclhdhCqqBZFe6zzrtjYXH5hbufukVqp9wMLKOcmlSK68qC/+HM4MjRq117a
xYveDR3RY2F3zwBCp52ZimcdTzA/svrx61wn7HHVnZ/cSiu30nKM3bTMw5OIcvVWr9PySmD7wtJD
+0fMCXGjVf/gLNqzM3jAeAi20OMhqWBNnYRqOVzDer1wV6ygJUAHbGR0589zrSZ2oTylw/iMfo52
wBR3/oYiIEEzatvdZvVSQ09JiRGAqcz2VvBb5w2aTEkaNGrfQwhXCx4iW81B7LlKL909bP5O+EmU
Lt/6om370LIhxgV23CR2uMw6VjCqMovQBT2th3oy1PmNFNL6FqWdFuidIrxgmWV2jcR6DjoBZIYA
C3Q3FXNd2Bv2WWTba+5gxuk8PYNnjXb60PJqYvLS7JtkwQbHK3f4pLb3rMi7pRyyd6LU610F48lP
6IptRZzNlCya6naKymGLT712O8ZRFYIHnq4kFC+IXrCBENWgXAYJUz8nn3qzZqdQ3qfnWHXm90Uz
DQGw0aLw09W0SbaZgt+GerNkwDU19goucJOyb926um2c2HvQE6/7BKb8mlP2+d23zuF6NjiyYOmw
Tj69KuqhT1rLLufnpkxiv27S4a7XVxeFfk62r98OLw3FfoTnAhBsdWo+HSpW8NpDNHd+7tMGWQbV
aoLRiMSuNxJ55QI8f0XWr6LvgTwhJ26VDj8dSu0A71mQR57XlzEYnKR9nsfIDeKsGQ5lkbsHPIqb
KzH2eaK1DgoLE7V+Wh4QbM4G1bymT21nYNDGLEDQT4YvzUnZDDH1KLVJrpWYL643BlxhLWTtKCQB
RznLUtGILLq279Rn0Xrz1iA4mQIrTpP7epBmqOdRs1PXZsIyWdRDBu3dIKv+HQo83mEsY3lli78w
5yuFaVWDX6f9nFPe157C2TLVZ8qVeTCkGPlW1Bz8cRTatpH6tLGmcb4y5y/dAat4PfhJsBTwrNdb
97fGnCtNI9drd3m2IkW5Wzyr9HMzbTAoirtdC7Nsg6xW9VzLstiqS64+47dqhdSS6rt+7A4K7Y47
S5rqU18r3V5R6+WeSL8KG1v5YxEFAgl2Pa1KGp7UW84AF6gg0Vp2quVZJql4n1W9vkZX3lYObX3l
qK1b7fcAgJ1BlEHsbLA1KCef7YxKm7iAzUJ7Np1+2dOlmPfFjMaHVUBoiedBJceops0U5d2V+O38
lSNQp8WCNAvCWLT+zj8SKIlK7dlbnu1hVm87qc+PiPt8ef0mufw8OObcWy4xDg2lXyWk3xZ9RlKP
FLdQn8s6F+HAf/xQqqbwPbPKt0ZbT7eyEcNRxN1wJcIx1kU6nVkYv+Tqa7SIXMS5vsiMzyoQR+St
6sWcw85VzDcCwDjMEWyNkIA001yGy7KoX8o2JnLuqn4aww4BDySbVOFs6GGqalC7A8SrZUrqd3qb
WDcTrX8ZVJhUYUmVeUfDqaCoL+W8/Jx0mGRBDfkRedC0f4tMxSfLWopHV4Jc2LINYpjykCl/motV
3XlgSZbbLnXiaRu1efq5j5V0L1OwDYFJi/F9N2OhCcGunh4Kz4GgYgBZaa6E1L+KJSfztNokwuQD
Xoe7J6nL2bkshrUTZ+fvslZt7qBuqX2YWdV078xpESPMhqLig0LXQsDvM8WTcDDsC6pIoMtioPTU
B9MisNk0GwDyftQpJQ5cZvNFEX22Nm3hjqGtkir+VJZlmJXD5GG9OIrqTuk6YBPzFGeA5kQzvFmQ
T4m3nt5ZMJqiuPM1fBrTgHpPe0MnBTE2s2yyT69v0UvlTjj92ooQxNiFKuK5Cn6liLEaja555xhJ
clfXor/RrKxKgyy2y5gbqKpSXyR9cyStyW5iZOywVentag7MRlEav4JugoftnBi5byzFcBPDNNoU
Q+MlPvoWmhVCYMBQrUEb13e8vKpDVxmTryZ9qW7jyjzbDgu1kyAqHfmQjxo1RmEvZrfVVM28kqxf
HAuOIij51YaMh4/zf7rc9C/qIY/d6t0wNHKL/h73DCuX3OJ3Ye7YJdVGWG57o8aJ2fmAEJsr985F
HZu7FeV12MJUUlZ7jbPX10SGuO3ddHjnWfl4k1ei2VROl99AdrTCJbb6vTLmiPu6Oo9xYVTBWNnZ
U+KIeff6yl+KyaD983eDCgjGCr86nYtBnVKE6arpHbbM3SdHG10Qc11i5XA53awI4tqifzTptf5x
URcSo9jJ44cSD68Blb+iexLG4ARqPhd/L9L/IjX/BcL6t0UKv3Rf/utH2aXdfPwifvz3vx7T7tuX
VJb/GDG1J5DN9a/+Gy+sm+CFf7m4EZmQyBLC/hsvbKh/AcvkOP/jacPD92/Qpm78Rb5l0y/gpaUR
v3Zr/i9o0wLQuboCkPDR06C98gdeOKcRJuq7ePRQWKEzTfyAaunZzgI33xCwl8vRmiplI/reVyVS
t+UEVgQ5l2v9ibMAcx0PVtuKNoXLA83qPKKVpphSzUvwSC+phqtIv2/0FG2HdrCPy6h/VrWiQveh
y3ZK9CjER9JKYt5Gv3akzpLaVXZ41Z9ahQmRXXAQAz09UpiXIcPUVtWxpnCBT+HiRyUOu5qYkrum
/dKKMtoZaYISpUkpQUrrZ9yOb0vC9dCceutYOu1TX5EQCmN8dvD7BsRpam90M7rpMrXaxlwXYSMN
uRk61BO6eEj3yycd71S/TMfqCswATgS/9z+vI99jwoZZkelYmhPCnAcwtdUkwpoa/SCSgD5oLxEJ
9Y1vFuDutN2a+m2v3pjFrZnvYwq8WGW2TylyM49evc96GMk3lhLYPyq4nr6Uu7b+0rqbRd9IiJl5
wPc2QKuwzTrM1X2Wbl0QRhiDKry0YJJCaxPv7SY0nCAmePHwuaRP7tvlVv9u5ZT6tnbiL8cxg0Zy
k3zQPoNTnJ1dCrlkPpjIazT7qgjmB698b0NVN6pvpXZr2ze9swe+hO9pdAO80amR+gm9AarsDhPQ
HttauRVJ2PeIEIbOGE7WtkCHjTfQDBIYdmlYv+kfZby1Xb94qt85n4xPvHQzFoLoMfhqS/K2Fe2H
3PW9LKyo/lJPvx9Qv/8abyBSK46vfaielA+e66teoNrbSWwjTGjbb1O3GfSwSg6LEXTgw/wmIpYI
xV0dRp8b9cbyUG/G+93PxY7qiKX5+iE7OHsrdN7ifwF4LPrRAt0BroaDw138lVWz3rZ8VXYzO0GD
8syz4aNXuTN3yS4D6ndIPyxxGM2IaGK953sP4/ttdPDu+zvkjB3feq7uum1xP330NN88lGXQxSFG
ofFXIP1uMN/KrbWP3hQmTQA/h2xfH1oaAhj3Pg6KryFKFCJ3kz94n/Cyv18+ia/lwbV2og7RGqKJ
FOi78ScC1rg93o+Bd+/tk40atrw0Qf153rvb6T1okQBU8oZv3OecKQo/m5yuuqCYHNQ/s5/e5Gc/
yxloz35wA+tW+vG2uqMvzOFbHrODWYVM6KdyZwXpvulCPMD7rRbk3/M9UtXZznvj3i877zBsxr33
YzgWR+8JRxEMOIrj8oVjKzcxMQKKx9JPH7VN+VQ+0Xjx+nAyKYoEGaIUFJkIlf8hXf7vM/gvXqBX
n8Evdf/lv1ZTuF2flj9Iuv5+JPff//vvv/oPc8Hy/qLtTeMbrSFwNqvt4N+vIDI7f+HptD6DpHFr
h/c/j6D6FywW4GD8A+oUDfe1nf3vV1DT/iJpokEHQxqpFUg1f/IMnuWY8LxhmIEi4Q8egwtsMn01
pH0pPt+3VCIyvzM65WeJnvzNb5Pz+Pd1/Dvf4CymXYchwaP/BAsAZM45hE9ES6UUbe3eA3IoVgHn
JTQRhj3Kuiw/4Htufqjo9ewNTagfKIXaV+SNLr/SAxxACZeaASwS56xcpuDJ2YJZjw+lunQ7LXdF
KKbxzevf+NIgv6jOa72Y2s06B79l0onqdEWlxcmBrkUUKMBO6a/La4HE6XMHUBBAB+1tYORE6Py5
/orfRlGWOY68OU0OKmISCECUYrO4C3pqrlDDP/8gB3gi3WAcC0HRnQ6V9w3bWvbJIZuz/ptXucpW
FSto9s+H8SjywfmnEkAB5XSYLnGt2ev5omkQ3Ya8U/ULK78mZnqe1KwTR9jF+rM6hGLnjb+UppSi
DTRQYq/iDTAqyMGGumpt6T/GdkLlo7XdjdH37nack4pSyFJtpLC9P9+L6Dqgi4l4EBjac8Y10jtm
pOAxfkhap79NXMDG/eL8k598m/5P/KN64cCdhre/tolD1M2HcpOA0V3/99+2iTeXIppQlzg0ufp9
JK32Pbt+smry21nHkPqPl5BODPuEq4oI7bzr1zPnMvVs3ure7HnKjRZxIKwYXx/lha0PyU8F4cHW
5ySfpaWRTAdbFzI7GMsU7SbKHmEj5h+jGl2TC7s4yjSrXOoMqyQ98NHz8rrIpYbUSCYOXZlHNMTZ
PDeR12pXboyLRQJFAu4SUuVa6OYROF0kZG1F7jo1N8Yi0pD6Tf4dnb/Ot3vhPlXoWv7pMq2oFfo8
LJDG3jsfb9aMdkRiJj1EC1lOklX4MxiolL6+TJeTBzyKrhwVUzTA3XMoVlP0Y+NmiA9RbdP2S4Ya
fVXn13T1L8/zisJiv5HP/KJmnN1OANw1UzqRONS2iYnChLxSpjfTd+SdvG3SxfrDvAxPhtu0P6nh
Vw+RDoKkWqp5+6efi64Fpxn0J2BT/Rf04reTllrFXGlJmRzMxJw3NIe/Rzjz/PHKreUPiE6UuunB
/pK3/m0QmPhV36QcMC/q+k1UyjRE8/5a1+Vy5U5HObuJqzaO2sKYk0On516Q6OYEB8OVV77l4hjz
pKyHi7iD1I3C7+mu9+bJLVStEgeh6GYIVmf+jP5Sv6E36T6+vjYvD4X0CHkhMdMvsZXfpk2t3NFF
jBYdLKHZbw0jGSIfMGj3PkfB9pok3Hr9/CcR5crFp5NnH4bgWr+ggHf6XYts47ly6uogZPE4IU+3
byZTp946B5o6BEWjLr5bjsOV0Opy0RgWNgiHer1FzgsZRj5PQ4cy08HVqO4aIkUqe87zP140RllR
CASynO3zAM5NcAhVNKs6NBQNa+BSSi/umqWN4mDuujS+UoJ8YS5pba5GMivLhO7A6Vw6SEK2w5LX
Byg5mruJmqV4XyR2H22Fu7jH2Fnc77PS24epVtL2SkByeS0TjBBzqzQ7gXOeDx5Lx6yMyWkOFeXv
MswRWov9opTZpyQpQA8XKtLwf7hRiXzouHGdwUVm2LOXQEdhs21i0R7iCRA2uIH4cfEyEPM49F5x
s7/YLwxFAEL+QauP9/RsahUV4Qu7rroDrSf9p4ni5rFG9jy7MokXRw+gNQo5q/oPqs38cbqC49xj
/1QWw2HpteEOuS2xFX0b72OAbh9fn7yL9SLyWPuk4P0dmODne7PycswoLdkfpCvaEKhxcTtODYrM
rtLdmFrnXongXvi0FQCD/AqByCUAFIVAuNNe2x8UnQ9qsRUIS1mOlBYm58rhvjgH66etnQ+CA3xN
1HUxf7vA2HpyUvO+PxANaV9GtcgCJUaQZbKc8Vgukr5H5Q04NuBr8bcWwf8zgoQfw7/85EJbB1+b
ELQ+13f8bKdYtWJC0vD0h2ZQJvNpcibF3LTuaLlPsVfKabtmp7o/NYhR38ee1E00N8uqQvym9qgY
ZWgYD4HQBLqfS7SoNtZcEnFBFa5B3SN02htEooY5qsoeTLc0QgufpsoXBtL4odUP0XvFLhXi45kO
5U1eR7Ue4iNWtTucgmTpR03dtGFPYXUKTXV0IWMj6WV9ltki5qCOxPKhKPU0f8yBSchAT+vWviuB
32dgCqa8rt5qae/hYVPTYaN3TD/sS5oPY7c1BuqZj0mPZN1Djgz1T6uVQG5ptSnJfVnhm7TXS6/v
nvoirrGPAxLc0V+zC/XG6ISah5nZtx9jsThOKECKxPeuGxWYakwGWvhArykOJYXtwp0GNXyvqlPx
vgOGbWzw/k7SZ3tGmVGruKK+TMZc6McEMk36gHXoNG/gy7qfW+L5D4pO5rBbPDDv2xbR/Xi3AC7s
PxR5kyv3UzZlzn5yI+wkNyimRdpTNmpWQ1kKvNMD7RJl3CKU7HwxzFlzw0SgM7evynYV/Jvg6980
Tj0uUErTCvkYjH6cFeRqdvvBzFKajXLM3G2kK9NbZZi0IqzVJvsoO1HDj+8dUW1as7bXop9hijD2
ovRLnaxaaw0CWknQkULvlS7Os1BrwYn7NWoAGXjiqP0ajbr9phsnMjLO74D4XQeNfFPXJvWvrnAX
vGyKIQ3Sjit6FyXQSMMFvLB5UMrBGrf54owav6LlYG4SIkTnQRiK3SHLUPTO18QqUDlVcqePkQAp
rMbd1M5ipEGleNVXG/78V1tWtR4gKVr00NjHOH/KZapPyPIJVf88kQclP+iGjvqNklougnKRWrSb
aUhADSexnfTbBcSgtaVXXKj7aMUvblvaaRoC5jlUV6TdjHwh6Ema6ZZyfWvv887AkMG3CrenbOcN
kHfKrjGQV89VpQjbBYHPoM27vLuzsazCdQl0Lq5ks9a0W2/Ee3Ob5oZMNwY8/fG29XD7av3ZsKby
zrVGypyNYrHds6EV6Z1sAe8cwJ912vcRNUUoIJmbJfWhnwoLcHCLR9VGtE2k72Fi2+nOyqJa+WIP
oir92vGKARKLWhW7oU2Bw6K9Yj9RvkncJEDwWlN9O2pia2/T84i3TlFXcrf06NHu05y/jHaCmxab
RXY9hdRuTNTblcpnhzYNdErVPFPRZuzV+tGOyxEJy5Gq0kMrZZf73VDr7se4KHIx+NR7ZPl+0QY7
+r5oXRl/nIFyjkhbFvFUIyKv0hje10uOqaGvIHLZfqmLxure5Jz2+R6IuWrtckdQcOhqo+tQOUym
qAZ4gA/592HOm+4rnVbMLsqtg32EVNmLo0V1H36JKo6KOhjLrk0Mq/hAyp2jmg4lORmQuJVuL7y7
aYJRX8zM117aYubGpsg2Vm/rLm7QTMq6vnocReYtNygbmsWTaUvLC5Qm1ZRbjpbX39qgqtMbCevA
CmyZuNUDVndj+W1aymV6nKEqWpAEZeVOQaam5fhjlnM1/MzTWR/e0MyOu2OWmQuZMpGMsaulkug/
hI4gZsfVZy3L81yiObr4qoJlyG2Daoj8BqZFlY9qJcoUwFWkZ5sWJrp3KzAA5WDpavFGaY3U2RXj
Ysw7LesF/kmZpveHgbDOQgWiiKufohFRrwUJ13PmhgItQK8PzHEy7qPYMb9pCxzRLxHnGrVj0A09
6rgZ1mhV6cIewRov7YybjIbWjJVqVll1UGNoUQRT5AzI8aLL+HEolH6858JzIt9N4IGEih7nx6qd
PLkhkHRhw7eD914kwuWORijtu+eVte67APCnO0+0SHNOlS3oeE2ji0JpA/b/BqS0p/qdtdRe4CXC
YdnQqcU0CHTMz7KL5OKPwmo0vzfyqsBhKks/r8QQ6Xue1ZSATPrkNpEI+yNGbNCS0We3ENtmLFSU
ldFuAx/eQ5+o+koxn80uSb41YsyXQB24iO4b4NrcnC53e+iOXa8CEy8L7EnLtGxD5qVSw9mdzDpw
2rj+Tkcv0sJK9EuNROlMDWtSEtN+LCexyBsP4180/SalyTtoMYk372S0eMm9nBKVNkQlNWO6R2kl
JoGtkKUJhS41Ze9OZGeBKg2jDcoB5gmKyA3+dL4oJg/l1izTcFDtm4w7zxaW9dTIKYuDWOvLN7VH
WMZlTu/9IcGYbgqrxmrNN33pxvJRNkXGEUvhYCNnP9K64iZoq6NXGxiYdHL0nNC0Gru5SbVRi3aj
U436rSOTQaGlX2NGJxq1puFk2Y8JAgw0bvWx9fwsnvp0UxC6fbaJTsVtA5wVgQTdyGCzouB0b6Lg
6jR+mhT6suN+AcrT9Xk+TL6Rp30XREtklTv6iQhTV0MSmbt8IGoJhgEEHhzXvMcIT3PxezSmNkpu
FDeTyRaU02iHhYNfVuK3TWerd5Sxxtn3FMoYW+m42c950LN0z/8dz16z7d63sp7k4A/T+vwkcqrR
QahzBdOhqZr0ME8tdo1lSqG8KY0GbxnIIbX1tgF6XiA5rLVcE62d1GCGy6L+bq2xyX4YSgfhhzTJ
KIqg7Ilwqs4xHXdoLhjzQVOnuNrWS8mdFVFp7Xe6GDKOBSp3IhAZYXooR7vO9x5E0fepA/SNtmTl
vC2RDHJ9tB6aauf2kfc9TTU80lqJyyrbAu60L+sl/oJ6ZFPezISB5bbI0NHzjbjLrkk9vhiCr1gA
+ErI+Z9Dx4zSqBcdP8fD6ObslFT5CBlFYqg5x1fKOy+OhA7rShXBn+RcVczWYe4YndMfvFosQWWk
7Cbc7QK+81ol6cWhSLF/Gdys2ObTYL8cq2mAgNMflnGoiP5U9aMaqctt2prXAPRncASKFUwcTZ9V
lAlkAtng6VitbiOglOrDwVUanAAJ07LjgtnjrWbY8UHtJ728mWrH4sLDrN7061joP5xGlg+NzLUn
SQR1jZrzQmKKQBQVcZTkACecdzZqrDlVahnDYR4r5MGj0bw1hzS6Ull4aRR4iWgB0NIANnDWpVnS
RemWjlGWoYgw4kVBJqeSuPnjlJTWDH0uOnTUEtyz4mSaTF0/o1tz0EeqJSlVjJ0qs2aPElDzsW/b
7I9TUsJ0UPEqGBPiJHfdWr/liePsJa3SqcthzFBszlgo3gWlCRYN2co//TQ2DWxe6ruUd/njdKi5
dcpqgaV9yFRJ5inaVtf82qAlFSrN6ERBkU0iv1IfucyDSTRBonEMMfcEGnc6aOyICJnv2DuY/QRQ
L9OsNt0p6IXJ/WK4Ub1pBxTAHwuPx/hQ0DtzrvyAFQ50mgtTqEeFkpeDh+PCpqRPdLXR4DgebFe6
tyPWPA+zUEhEW20QftaSIIdZG6XXtFYutysJOF2I1SzEAe58BlOyEiuiulJFh4VdtilziUh8xbPz
+ppejkK1Zm1KIWNHm/T8NlD1aJ7syo0OgJiX7WzqyQbDkGv9xIv7DUlekFsUuigLoJd3tnOKgQKJ
6g3Ooa8KoJS0rgJCHcS0y0K/cv4uPuhsqLN6mtoWg4uIlXNwxl47NGrpPlAmuqY0cTkK1Cy2Aw1+
elLU5U93pRvXAo7f6B3qTHH2TT/EPhjNazDwy2mj4E8lcjVcg298XuAdIBuZWiHjYz3AYp0roZML
gmud/KLxsvd/uBNopyB2xYZbgcaY8px+kjM4ePUKLz4qRazKh5KuvThQaDWvPKsXU7fWlrix0GZc
LcPPCeJQcfOkazUecALqbYOCwOfSSJYrPLHLU3s6ytk2sJu0iXuPMMEQ6idUDqaNbqbejVCq6DlD
S5BXJhuvdCkvxjybwbMTu9iL8BJFJMdOH7BbKJWN1v6A/gnWLLKWbetCpnh9zV7aILSgqMwjcgPI
ZJ3r3y7/fOrcdE0gjlgDFn2g56O4xQ5VT29Ga06+vT7YxcJRjqTtz/mlsguUcP0xvw0262OmYOyT
HCEnakdH63KHKB+b9NeHeWEWAcyst8QqjsMOOR0GH4zU1dIhOZaJHR+zqq5IHrXyoV9EtBF6h0Cd
2Y/Gnxat148DcEPJmsYi1fjTUSn05bJCP/7olFG5lwj0bXCxdMKmUq5FsOtBOnlQ1qEAuBIisGgX
4g50MDSt7pbk6JEV+VLBumB28WPxxRLpgdSr9ApS8qWFI+xBcQXdGN7Rs8DHiTHttCo9OU7CcD7G
rqV9yiF5/PHFu74iPFSAfrlAzhUL1GbqYcs7yVFb9Ka9Uazajh68eVGvMeBe+py1Bg9hkdowvanT
pRpsc5B53aXHBpedvV6gWINp+jV/vBeOFlcP+QX3OyJSvwzsf9vtddcmygzG9QiAKL7xwIT49pSV
B6ewr4U4L20ItgPqYysmgEbQ6QcVcqaAN47p0VLlm67wyAPLFXpq9p/otX98/Xi9+F3sO/vX2SKD
Oh0sQ91MArtJj2VbmA9qPDbflnaSgTHr17olLy4UESmKcetynfebyqJEJ7QrSC80I6aKgoZi+17x
nGR4fv2bXhyI9OmXmhrghrObqTDTtDQ6Mz1GSDlQflQc+72B0Fn3/7HFV+AGjzEJIYy507krSPvN
Usky/Anz/oODJGMXVktdlH8alLlg1ojHOEb8AR7wdJylKSN9gX98dBKrD+NE07ez4yZv/3TWaHXj
NYKqjbqu0tkoWNfOlEua/OjKabovmkG9R6WiuEJovNxvhKegkQyw76hWnYvBrQQzT1I8OSLQkX1a
8LHeWn0FGKlQlmsWKtfGWnOJ385s5hYu/kdLfhxSfXkCjmiGVauOG+rF17x4L7ccWsMUnkF+IFLP
dXc6VE+/IoqnKT12wojeF4iebWnJOX+a3EFMXasCpMU8iBfJj7Brw5SpyI5DnrbORrNHr38DKTEb
Ai9fXONPM+R1OJYKVKgFlOH8blCxtnGs3uDOG0cK1NSvg07r7StP7frcnL5/YIS4EDhHK1joXAFM
X/MLq+daiIYUudEJ1EFD9GwNN1J1q/veHbP7TEmUo2lWU7udNIEH+Otb/4WNgmA9eKiVaUwMf7Z6
Vps1lTk32dFpafpRQVyiNEA0o/qAlALGeq+Ptv7bLj4Y3471feQ5WYXwf9+WZmzWY6LI7Gj2Rrul
KEdRxa67YHX8ubWzvruLy1a/kR4VptdHfmGXukhnkkLyHq//nI6cDmnqFSLJjtlcwCNotHTTj/p8
ZZe+NAqKG8CggL9A11tn+7djZ7kT7ZCmy46YZQ0fbDVLRMh/mcbB619z+U7a1OJse51GSiznGyei
8h5ZE/OIcMLy1u7M+m3mxODvI2LEmg7WNdnrl7YJ1z1nDw8DUHNnN6Rw5nGJRyU91i1YzdlVoJa1
infbUZ+8chlfRr18GzE1Uk9gvy9itLJcsiYzI9Rz4hatQtONgR0e6kFX36PlMoTZMlwrMLz4deuC
8QagkHf+PI/0E6F+ptnRGjRzC/mnvHWUSfGl4bS711fupRNA9eR/ODuvHbmNaF0/EQHmcMsOE6Th
WFnyDWFbEnMuxqffX80+2GeaTTQxgi8Mw7aqq1hhhT9gm409D6/O6gS0iSAZm7jH+kTkn+y4yd8h
glQ8jqJUjwOMTstvw9p7hNm9xzXenCUQdDlRqvMv4levNudEYw9Z+DANJs3u/jY8kQI27xaE+WcD
ztXOUdjcohD4VdQGGXQtuxfHRTMjEZQGbo+ZTFgbNYblWXYqB618Z8NT/HF7YTe3zavxVqF9Ubf0
WWjDBMU4m1T/8l9Rr6DMNWFSTeu9eK9lebGTWm+tKEQ9gGfoEUti/OVxN8o8Hj1FNtrCENvJNHZH
LDf68kcYQ/vbuTtfSFzry/P1aKutQxeE/nyqp4HWdrV5nMoG68UBplzap9NdiSgZqAj6kjOKm47f
OUb5DcbBXmSxpqPKZ9FFhpi0V9pHw2G8nLQXxos3Jnj0DuNIeazMnfJnk8W0N4Rj0EAcqmjIEbcF
9kATvho/tJYe/tUndXRf1Eb6MLXqcortEjnst+8A6ZDBM8ZFZa41T12sGO0Q8bJg1voYt6J07M4l
skgJGBm9z+7G0vmXx77eySk3N4FU9+X/lZ2Y1cajFBqGfQ+Up7e6YMHs9uuShipyvrayc3dsvS5k
ykRZEpkNKO9y5RtXaUNXcHcYcNlRHSvTo432wvn2Mm7dUKTiAE9eQpM1zFZUXVZ26MwHFYX6QI3t
7lNOK/+9bo4F3HfhvTNCU9xrTRjtoPI2VxLNE74dGiRQfy7nZ7aZina4lgaZl1knD3nJU6QPxiM1
7j09AflHrc8SBWwkaiziEFxALofiAesTqZMXLFP7q/DYqqJrll9dY+g/qFTMdzEs+h+VWxW/QG10
O7CyzTOEZ5QO6wgMMHo5l8PnatTwb8IsaMkJ7pD6x8UiXlIcx/Wpbj9ldSK+4RmbgzsatZ9TYf2Y
y8E8125vfGpVBfxKjEL3j7d/eAgM2JNgy03sK7ffq/chm+eWTiYhkloZlHpaTVvOYb2If/RxHigs
5OXfNLm7jwoSOTsLsrXnYIGovL02oOF1dDYa2eBVKu03pwpH5xCnDqIM6NEDuWoLdSyPChDqyddw
s6yOeeF5/c7R2no9kK1FbASWlvQ3uZy7YoQxyUCXBjoi/s8N4LAvUFPSJw0RzSNGR9adFw/G/Adh
HPBvaA8UPOSZvhwVr/mJWkGdBnlp1pGP9GMlsRSx8jxQ13swSk3ZOdxbRwxWOb1PVpvoQ36IV984
muMpA2CRBkj5NxGembCYsb5RMDbF6jPfi3a2lhU1IZI2iZkm8rgcbliQKHExuwi0uHUZZ2z+xSUX
5CH6YPF5HEfvd0ym9fX2Rt4KPQC7k7bBnsfHY/VCQbTADQB+XdAPE/CeJcqL3teBAN1Jbl1/Rri0
+3J7yK11JTNVZc2KkHW9rpNIqxkfVYacjPLZiaNpPtZtNEDsxZHiwx8Mhi0eUF8a2KRtl6uaRO4i
5lKQ3Ftt/tXq6UaeqynJ/20RfohPtwe77pLz3jOYioAipD20OC5Hm7yya3A1AqpakccoKf7iCn3z
EwCh5WBr0WHITe1DonYljht6fJwXh2J11CH2qEzxXslYzm19cdMx4YUA90mxYbWjZN+md5IiAwrU
Zz/CQoggq2K6aMQ7bmBkU/Pco3ls+wYwoPeWS8lyJ8y4Jt3IBeGuAgzMS8UdfrkgDcyTxlL4CW3W
mQdP61B3WwZrPqZNsjzXKMLjvRGjMq0J872SOBpKB1oPjn0c9/LArXsTRAZVa1IyOoryJLw6zkOU
xqiitFmQmrF7pg+BmIK5RM27vnbnM/J73n/mVORPdYX3+c6+kN99/SUkoRQ1Bx3R/HUc2LXorOdK
lgclWjvYRseK+V24af9dEVbaHuy56+4M5OAQ1hlrIe2Jm8kCbAAJd+dS27plyKaoYkAeYKOu9kQ6
Fjkqu30WoD8NQDlpqYYfMPEBEbXM1CfPIovC34qSq8tO7Lc1MjRknWq/xY26LoMK5lVilQ0Dnf8E
MQTc0+NTrwjzY96DlPNb8JPoJ4h5r7e7dd9ARpUNGtjTOJBcfnhz8qrZHBVeDqvK32tTM6I9WTYf
Bz1xdvKOrTlC/2OLSf1U9L8uh1LsJU5AFlIcBUxzDichfXE0+wGcgfKuK+KviCWpO+u6Pb3/P+Yq
POssF2BzXWaBSmXs3ThHH4G2le/Cqi4ebm/jrbeCqiUdNuRNwQDJX/LqBFWAlBsV8FsQVo0z+aOe
zctdU/a9d3D0Mur9sVfanWhnc0x4bBi5wJMCgnM5ZoijhWbNdRaMOHVlvimWXvE54ZBtMsM7VYOz
9+xv3RMElDK4ctkx6xrtpOBOlhl6FkyJpZ7CosZ8WC/D5l7XM/vd6CQxeh68kkcF6dqdi2Jz/xBR
UVaR0bYh//2rFY4HB9FQnf2jRO1jpYaBnSJQW9n9ByUJu+Nc7NU5NhNlpAb+b8TV+paek2vulGZB
qcMAQOoPrYq6CU8AWNpHpxPDcXHKH4U+eXc60sd3SdzrO1fSVqqGrAwNC6BcQLZX55OardaBFc4C
vSitO+z+at/FJXmnxrL5WW1pCCl7qFQdL5c2X2JjaYouC+LSyRDjyyK/y2wX7Z4hfj8AkTkPYnZr
RDJgD9w+N5sn9NXQq69qxy4JVKjRzKCXpfiencdfGjcB+qs6kgZxe7TN5ZSEdXloaHeuvmiUdChQ
dljTzcqCe4o7DERWdTOienp7oK1pgdsGrubRU3XWPRpdUJDXEpmYuRgO+KltTeJMeFtQUGhVWD1/
MBzRuOSHoXC/BhLUer0kaeSyU206Dn5S5s03YPzdb8UO+z2Plq1FlEYYNNJkp+ZFivDVQcwRgFfK
ReGq6/P62ME4OizVFO/syc0VRIBNEhVon6z51XCbuirykjwQ9DTUgxmLUr8zylh8GjvH7Xa+19ZV
SigIiRrMJJoQq+BU6ejpeX2bB31lZJ+EKeYfLeLD31H0MN1DRwnhD6pMJGzICmgADclVV8FGWGol
oghLHliO4hDjY702eAJofA655lDFs/lXE3Z7xpsbq4rWJwYIsgCPEuDqpAsrzF0skfLAXIwQTR/H
yGkeApf2XaXTd/KLrQgXTuRLMo6bMGzMy3uFGxvle53qT4vRw7Ef7O4xMfP8oZnL+c6OWv0s9LB4
nwKErn2rVZujYnbO91zryp3dtPF90eF7cXqH/UcecvlL7C5Ucm7QPEgHc6of+jYE4I6FF9SFNlmM
z6Jsu79vn8mN9wqpGlmeB0XKtpKf4tUxaUsoV0i2EtNRZ/1XqyJYd22ingpILs9ATMMzFB5nz3pi
43BStpQUR86mCmD2ctQurj2UPVU+cLnMyrGNHQHIetTd7HR7elu1J2446K8UeaRCyyq2AvSMB07Z
FsHUzmZ20lqPBpytVzlWXxXpMqSk9D4dmkM6WOmJsKE4xk0EIRfBjqcw75p7u5yUv27/qq3vLLtm
FqeYGHMN8VxaL2zIoIsAGJR2Eg0uab6iVc0dVED1AfB7/eP2gFtBAhp6svhnkkhfgb/1cBRYynJP
EQFhRVAKRMVrfX5gX4ySF4a/Og3gHhIfJA2VFfusKlm5M+2tvcZVKZX1Xx6B1btGfwkwg8expqy6
fE6a5R8MWOd7xRycT7WV2Ge22x5FX+6kVd7moW5MnRxZSRjXq5d7wmVYGek6B25hzB/7SLWXdzXl
+/bgUVM4om3zDb6XMgNJ7SNc/zzPWL7eXvytr004SCkbHDNN/dUdWo9Q46yJUz1pGJT49Via1tEi
PfzltOUg3nlLb1U7L8XWUptU9sjTQN9eyR+1rRHbmWnnQafkwxc9XZSHQk3NJ2ce6qPIVeU+Bn58
vj3RzUEp11NqpvGM9M7lqZ4mazZaERWBow/VCQqqcqfOCbyGXG3uNX0SP8ZMETubaq0NLzs0lDI5
RRLGCkRd3jWvbjAlF2EuFKsIjDSpvlHsTeAvOePXdqnGO9WImoObzEj3W4uvmGF0tBEDOtDSqR80
fF6Req3Mu6qGfnx7MTZvHpSkKewTclPCWd08YaUk3NnwBfEHNe4HRXhHQERjcnDBBBwUDeZqaMBz
HJI5Opp6RxMUwTgQ5+GhahDS09Q4vb/9m7Z2ImkJmTQhBBomq580p3M96nFTBLSZndGfBqDvrA7C
rwcvUVtemWEu9wxMt06gbDvIbJq/r+sVmqjiEMVXeJNzrZ0tBC4fPCAzD+Bym/NkgRnwXMU+DMUU
olZYj/PeBtnalhh4UQUmGEStZXUF5MkYlyVd58A20Sc4jj19On8wDFht0KtQ2Ztj64nNdWjgqCN/
QuHbhj7uc6m0h1bJmse0a+ff8QQG1p9at/oZCty4fVUf85+3P9D1u8ip+1/Le9llXb/GaMq0ZhoC
aOtrdewPkPe0L0bemsvOSb0OsGAWyH4mNyNFznUHIksnJDhkb000VO1m/tHiEcQ+5lHLkWP+9eZZ
wXUGzS63HYOttl2z9B7sORvoYW7a0bGJq2a5w3uiGXcSjI3lA5kPtIdbgOBxjdsw6rLAiIiuuJtB
MjDCqjhC5tpTL7vOQ3lNkHVlR0OapzO5unB0o2O2lBdogFcJ8C+3do/ASJIeuVMj/looJQYtMP4l
kV71suGf28t5faAY36Z6I6GCKISvQjbEZi2gYUkWgLRC3RMi7XIq9UGNvtdKW1OLRDzhv05xEp4W
IbruNCoVQpu3f8T1oZJP6gsRArcyax00NzEdiQRN6MBJ5vyUZyjM0oRPqowTo80gnhqXw9Lk+k4k
c32F8aABPpCQT2kHsjrMTpREFaEKaV076SFCqfESnabORYjaKhj+GA9mvUdd2JosFwcbSuq4oe54
+cVLlARrfeKL4wqw/KQcuBycwRruzNxo3pOYJ98bb/B2PvPGTIHq0qCj0SL1k1aDKkpk131P0dM2
R486L+E7HMS8xIHOmLwEZm6O1f3tr7pxL8h4lEgRLWYg/6utlcZ5XGQLJZZFRVDi2BeDk93njdEY
mLYr/efbo23NkKaGRFOCz8Hb4XJZG6oBVegWJJf2aCB2UKq6v7iT8sXtxBhQbRfKzgWxMT86kMjj
mRbXK+CuyxGlKLxde2EeaLpQ7YdFqM14ErRf6q/wy/YsETfmR0IFqQliIOXWdYd/MdPemnWjDIx8
qY4qnK5gKFrY0pSy7ky6FF/evJ4U5bHHQcmKRs0aJ4fKVla6bl4GYWrn94swDL/w9PlXaXfddBDt
vCvkuHEwwE0AIpboLp34+nI9McHT0mTpywAYuK4c6yl8DiEK4no35/fW0HvvvBxN6p1dunHNSysQ
DF6RtkN2a7VvqFXEgGeXMuAC0r8o8Lf/bZp4fri9mpujoJyEdiSUryshHq2NzD6FRxZUU1WdYqMb
cHQa98LEjT3C2kE0YP0kHG+1IxH8LBuzmSqgGeTDZzMBb+SPiZXq50V3Y/3c6bOW7RyD60HBv0JQ
hxJMYoL1y+VnM+KoTfrOK4NYJNZHJ15MHKjb8tcSh9anvOrtPfPr67WET0HZD5CoZC2tSRUpToEh
FYgq6G1bOfW12Z9D7MV2+ihb05ICu5CUDKKNNdqwjEwzjW2XUQoHoryej75VoHXtdIh0d4tunN+6
Q5iVhHEAAZEBx+rbpXPoCBedkwC/QOMpFpA0jWreeQaujxh/Pu5SUhgfopK92uxCUeiytVkTjHmZ
Ppbhkp/CaBh4ZwsduG2XTN/DyA21nS1yfVPKYSmdoKEKhXPda61DsJqT4dUBElDDsxWl2iOtcQS1
bdvLlOObFxKYEbx0AzQMwJDVQiY9OZwexU3Q2sN/PWYfd3P0dl4t4oPsPHnSPAjT693RoFQye8PY
BmnflIZP6bv5PndU/k63J7OxCwmtPemqCq326t6Yw9KMcgpaga5DfhlqJ3rE8+m3ntdlMCn1HtT7
ejhuYGr4OjBbwGTrC2SuTGSDsmUM4ir6MTV4nCpq98G2kB0X+bxHWbqOfV/u+5cYjLrwmsRZiKZU
UeeZAq1SbPBqoVpjzJOK7MTz7b0vhyL2UA5o8A8ZS2/ca8NfHwYuS+lcr4Ij45mTofGrXN8tgfaX
WTNzwtEMLt32m9CWrxF4qkNjjc9lrTbnN35NHjWgjhLnQoGBJPJyxN7CCt1oPOUpbh1UWCbzpOgJ
kjSly/u2aG9N0F9Gw1GaDEZjfVfvqaZ2kKVrTXlKcl29J0ETcKUTsdzz4Nu1H3I/7Ix4dc4pOBPw
vSSC+OqtK7HJ1KsVljdJgHTEYh9xxlCEH4W687NV48naORtX7wCj8W7LpInJEUtfriZNWAMUhWTP
DHPlYy6hfDD7eQ9wuDUnYgM0MjlYHHq5iV/tkgknYoNbIAnGaRkxBpy1o1u4yqOSl+NbgwQmJGlh
nHeppb6+VPLYSkvkddOgqab6ESRPfpq1Ud9pocttfVHEZBS0GWU+R+BzRajjtg8HCzW5oKe88rkC
MIrsZ5JSTBRFFJb/jmWSqTkeFZEWveuNcKp8J2t1b09JY2thiWNpdrF8yIKsFjZW1DDKJjD1lBzD
6tTrTdUdUR2yhqfUs/s/2CzAM4lnuUcpK8pf8+ozet1g9Y41kM2XAK3x8KuSo6hKIXZen61Z8SJI
AB2RGC2Jy3HGdi5mcDYAanIHL2have7PxNWXgxYmivlHg4EdoQBHarfGT4ci1GB0MBgg0IGqgZdG
J7jN7celKOY9WdPr48Yl4unclhA/pXfk5cw8NZqKOKLgPsy1eUrQlkIEf/He2rV6WTuebuCA8k1Y
RShjEnnCHhV6oEXjweiyWpGgiGSk/0GkTZ51u0jffOr4Wjx3SFtTAcHX+XJeRY2CF/WxIqBbIXlA
o1MqZ1FUqBi+9fYHsUKJDBIJVytkmcuBhrQMY6uldtnmYmh8tdYKHEQGbMaOzlAnWL80ss5xe9Cr
R4715IzxvUhUmebqlNkLWWrSFFEQVaYSJKqinhVUAtHlaYv7pe5+4Hln7ESZV1EETUBSfnmNUam+
apOltEjSBORvYKZTchJtbf6ovGb8yMuRHpUQpZmdSV4fOnaktKGg4QoCeq1WX7sVzs0jDYoMz0P3
6FVO95+iRvPnVpkRK7u9otezoxdCBwYmBzEtOePlZ2wq1YxtcHNBMSlKddD1Vq2PYz3jE+cKJ8Y2
yCqaPduG688I2RpEjIR5k2etxY1Sz8xtuxA4tyxW+IjcLyKH+WyKjzrhoy9SLDb9oU+0nbfi+syb
yGxw3mn0ESGtwU/oMPaIJNJ28MYFTKqXAs+cnPbNYRHsTBhk5Fqys7pW47JL4HiLQwczc5ZfwoiT
33lZ9l9dvAABo9JC/3T7C662Cz1iUjqDphIoYKRR1id+AQ3ZKXo1PXGnhgdN9u9chP6OsXD2hJlX
CyiHYkfqtK+AvTowbC43iwp4Sq1de34qEfT+1CaVTUV1SXbirq1RaMRgv8Ivpty2OuRiQbawFPP0
pJod9RLen1NqGvnOxl8L+srJyANNlRhsCmTQ1RtqhePUVrGF9RRBbnYwME/XT6XXIkabNJyVI87t
znRwGmf+HQm9rnygLvb7iOTQCEaUZX9oUeVgRSua6dSVhaFjd5+HKBQmXc7yI+Wi4IqFNIPfFcBh
H0YVxctHs0oV8dQNnJBDNRZNfqb7bI53+mxU8VnNw8J+ViZjto/eotYPkRkDOWrCkdTPn00nit6n
ttPFT1ntduXJq+d2PERqq7JSJsnbvQrsZn4ovab4kmWxg6FZWxvT2/b4y9oB5Sfqp8LFkVp9okXX
ajQDXfWp6cvuIcxr76QVeXpGprs5tQUOnG/e4xTNgffQkiHXX1dltCJTTHwvtSdjbMyDZtTWSYIb
/X4x0r19wR5+FVDKqbmaTrjDqy1t91Z7nM7EYM/hgsN5JoTfR6AeFqx9j7cnJBdoPQqgcbqNbEHE
rFYLaDpxjnzVZDzheqGgEdtO4Xl0Ou0UaZly0Of+t0g1uzrPAxS620NvHC8WUgZYDuClq7a/oYxD
kUz59NRYZXEslTL6oOq5s7NDVlc8y0hZE8wVhTuaIZQiL68KDoJqT8g0PHnm+NlO0HScXNXHC/xX
hAiGP4d7mc31tEx8iQ1ahBJAQQv3ckCl7Ee7LRXtKbXL+r5Lyy+zWe9R4jYHeVGeokgiw7rLQbyq
60VqY68XCSD8faTFZ+6LZWdzXN/o1MZ1KrhUmLCgXuvlibwWhkLv/AkQRFidh3rpLB9wNfVx9LR3
2YQbn4oiGqR41M4A5q4n5TiiCfGtNp+m2NN+9AjpPhjQ4h9BLERPDdT885TN6c5bvDFH8LAMC3UF
kNVaXEixtG5GN9Z8IilWfppuG35ZxgSCF5YbzduicPYioG5OmymNXuhUrdpF1jhrSZu65hOSRmgp
KlZ2NOsYdhmKtMeQptzOCVvFVP87nmzASS0F6iJyF73KzrLCHqOQgsxTGmb4EWIYf3CmDknjauh9
lI6nD7dP9PUHlBHxi0UEev80Hi/HS6oE4iBaGU/Ews5wCGejFg+O4pbtg+Z1TvOug6cDWD8vsj3r
8et7zELsmWeAIBII+xp2KVRCvHHRrKekmatDOKnhvwChAUuBk7qb2mj+aMJmPEzasCd5tLHIElUK
NJcKACxR43LSKR3taHYRtaOfOmISGAr0jefQB23q+mU52W/+qFRNuKktGhHydVhtInQCmxoiLNUu
J8IKnrW8y5YkxlM6zwbsBufh9+2ven3XMB4aiyTCAGhJBS4nOHsLtqiJUJ5YfdMXAjPHycVi/vYo
a4gnm5VhoFDJidH3uBLUmxYzczJbebIU7EzNbDl2Q/3PaKm/LWFEvpuIT0nsdkdHnZ9Hzbp302na
SXjk/rx8DPkJUFc4pMyWe+9ypuDGAXwS2QS9affx0Z5Ce/yUVSQDKBl7rsAwFF0BXDG9LA5/9ZqG
iLGjou27sxbX54jsjkYMORdpLV30y9+xmHoTZ0kWBV4Tev7c9rVGnx4TVLuGgFunMBfNeMKS8vYn
uJ4+ibpMvqhUkhSt5TwHx5tolBZJUNmzfQ85oJtPZl3Uqt/Fuj0jtqza/xj6bFl+vRjiS6k15q/b
P+F6r9HKoLBqyEYUj/WqTuE4reokI/C0GC24py7TUvxWm3FnR18fWWpJsvSPMw8bbo2xSicnzHLw
wkGp6Ko/puMjvSNcVwflERzBXq1gY05ciVRSiQdMconVgeWyEk0aiSLAfaX8kRmleXK9dLy/vXIv
2cjl5mVS4CeRedOQo1zX3WPcEMxFV6ogSd3F1v2G1ZPmuRRG7/peS35VpakuR68ca9SwFWwdxscI
RYzx6JZo69m1iie3XWCy8wlRKu9nRJdE8zUP+PEh7dSmOs6aFxkP3DhOusPd2Foiqs28vrQNZOvg
csMXae9UZe8VQar19oHmv3JwKgTnby/R9VMPwEma70E4Am98VayckJ2cvbAMHCyusIJ07eMY5vah
BgZ9vj3U1YQo6oHekrrJbK8rRmYfLnZdOmEVCM1LDuMQKwcX3fKdZurVPcEonBX2FDkQ/b/VfVWF
aV9q+VhzYIvkjLszoUQ724ofhiho+oDhh3Nv62/UpZUCUVLPgngJujbTXG1owxhzGyWTJhC2WA6d
0sO6NbXp9OYlJL8iH8ZSlarlumSZ48ydzdi4BGOoDQfRiYi0s06Ot0e52hPMRd6ydAJ5T9Fpvtx5
+FNYSZOMzAVF+vtlttOnnNDmSOVnr+l4PRQCSS+xJjxdaG+rZZsWpKcHb6kxFu/su643HRyRbWiL
SvzmB4QACOoJ9AyqdxIBdzkrKjEZZuFpE/TapH/j22SooOBWd0qbeUr8ZuxDZG8W/a3xrRwWyycs
AF+QhKsZqiIt9bhumyDVDQh1Yk5PwxguP8IsLs5ekStvZCuxExkQ0AKhNLnWVfE8EY2sRJRNoLp5
fe+C0r6Ls0yc+sx5Y9vvZSgWU2I/6RhTNbxc0snSejNvNYZKtPpeTREW7BKzP2XUht6lCE9+uL0x
r28QNFUIhqjckeEhN305nunUqaeERhMAT7ZPVWGV50JT3ggy/d9ZUSHkCAD5p4RyOYrV9GaSD14T
IJioHiNXK/x8tJezpc/1Tty6OSHKkLTJcD6FzHY5lKNl9igWtwkWSwv/AWk1/tWJedm546+vRJbt
1Sirz0TLKwoVpJcwiActnNiOmA5GquMbT0wX/VSs8b/eHtIvf/CxMEmRdxWfbJ3YNU5paRC722CJ
3OhxlAYgBpY8b19BtjsgFvJINBbWzr+WKUIlbu026BEi5SinGELFyfzmG5GIBEwjIGDCCVgCl98p
xBumaV02ehem2cFE7DJwm2h6dLTe+Ov2sm3ciJhP00CTvGOeiNUeB7gYQVxbmiAavOhT3i7qw6zF
76I5GXaio82RqCkAh5XY23UpN6FsZ5XCaRBjVvuj27mJr8UpRvQJ/YXbk9rY51KDn3sXtIyEb1+u
H2GMMIYibQMxRcqhqPXyrEfGxz8YhEqkrCbQfV1HsIVq93YXl22gycxeFMvoi1nbO0xXcfLLTiD0
lWwRipCr+7wdsH2p+4ENx0l9aGpsZ5oZEyaCteYhKso9w+Ktr6RLoIyMYjE9lYf7Vb3CSahqef3M
rJJwSokD5145l0oinvvBqvqdPbH1oUAOgkaTIiIU7C5HM6CahsW8tNC/jfouiVT8ai3cy25/qe05
/d8oa2xY6EFNQ2O1DbokaY+U+ctDk+KuVcXRr9sjbc2HDgJBDIGZAQbgcj5wEMVCYbINWiUZHtJx
MQ9RN4WnPxiFDJGPxPa7gjxHelkhROi1QY203bHV5v+0ApOjPxhEiuXQDSFiX0fqSduMSjRmXRDq
MWa0oxjv4tl6e5BO8MzLx8cBIXiF/UV50PV6t+oCABPu35oxWN6DibejfvcHs4EAKzluvOXrpBYz
PWEvYdGhFNsui+9lk2r7bVk2e9KpmzsAWO0Lp4xmiNyLr86P8CwBoSth2Yp5PpIaOD4Wi2/OZ7mz
JWQBkD3iWLx5l6PkvTUlg4m0HG59ximsO+zvHKAYb140cjSIY1KKCh6DvhplABtttTYCdvmgHdI0
UY5G3b/9hiMYAU8i3Tzk31ejRENqY1lkwRrAGekvPUnU/2DCGR+iRWQPE5fQP7dnJeOpiySdshLz
oc9HuYuq+upxdcuhciYXMPbi1Gp/X8WiUT6N8dwvT+E4V81TOYWhfU4cDJ7vaUSL6M0hOpVDKsFo
m5GCAJ2+XNaxYMknc6iDrO0o0cZRpP2qc1xsDrDDlO8IDPV7N+D1K0LWw4hSwJg9sw4oTC/F7W82
OWZEMP2hLBWzOINjWO5w54O27OhFsVcOvh5T6l5J0DaVGyKl1UlQe4iiKTC5IJrVMT56at7Y3/LF
GKIvitkqxj91lkY7RQz5Z15+28sx5W96dfqibhwmar4iEL2qv88ojh3tuBDf54wY9PY2uj7o8jrh
qqfjLt18V1/RdZfOVNB4DGBsKcepBUWdN1G980BuLSJbFdMRamXUfFYTSgZNDGrX9MFsZF8Ls+v9
JU3f94v+0KfVXnC7tXrSXYseN/Rj5DwvV6+qtCWjpNsHWGV2jwiK/Quyeb5zF7ysby/e1Ujy9mJH
w0GgrcUTczmSYlD5q8UkAreqlWOKWiiEJKPzk2Vud4a6+k7cW7zIoKVNwpkr7kUxN1ViYw0chCWq
X1nq9cdU1HsHbGNCRIEAwIFZSfT06kLummnQEr0cUD5JGt2PRPJzysICj2wLx+o3Lx7VcRvAAmeZ
RudqT5iYLDejqw+AkOwKlnoNVxVHPk+rDw3eu3tTu7ovXxD1oOPIRuT9sdoVxE1W2xXmGOjuyDPQ
AzUsD2j72+095pgWbeO5w9aRVt3wtSHl63cCkeulJRCVapy8QxS7rrCjM14DfGI1sPM8OQ2UWg6d
FvZ342Lt6S1cZa5UiNmYEPU42/RdV8E24KYlbsbCAOWLTbJGnEV24qZnrODMQM9b59/cCJO3dj9p
mHE38yZJ6WdS58uz4EZTQye3dYLehRtxRwcosu7QZNewDRuUeU956fo8UHVFfpm9Q7eMHujlcNPY
D1kkKhdy86AeRKzZvqrv3o7XH01aNNCEhyPH2VunLYqBvplnpEuQx1DLj60r2J2O6NwS71qEw3YO
uTxeF/c+wrD0rWjGQSmQZN3LSdVaKv12ZiPA+tA8xhWQJ3t227NuTSoudo1+6PqEfjJF4Puu0ffe
gqt9g+jgi342zUBumbW8jR2D4Sh6ZwkQeWujszu2DNEZncjf0eZqLayR8dTFOBd3jPPty+DqdDI0
oBGwKdSeSaOMy5mbWoxDcFhpqJS7dX1OByPWzl4dx/qJkzpMR55dyz1Y8ZQvp1rpzDeK7UjEFEg6
Vh/ctbQwWyWMjU0UVWmDGaQLZqhW5rl/aTGxVDx22ifcpPeaLFefGtgZmBxyBf6iE7q6aUVfeMmy
2BYcKaW915Uwsx+sysppU/JGnrIywUd2bBygEabQMeI0yZSN0+1VvzpE8kdIE0PJ1nIIjS9XXQEl
Ucx5ZlFgQHiHKyl/XEpL3+ktXB0iKADIR5OvUGPVgWVejlJ09eIOLuJoY6xVj+PsZMeauv+xt3Zt
LzeHku1WoPNcst7qANEpIWnR3DCwPGHOZ4HZWXGIcMJdDmaPHqz/1vWTpkFAhnnFXnjolzNzjMYp
pkE4weTVkW9HSC03SVLvJH1XwZMUtyPZA1lKFeVKGrvWPZpNmesEA3W6Z8dt9f8cgCwP9YgXoleU
6t+3Z3W9iGwKsmVwlywkH+5yVvmgGIvoXS+IZzeDhoIcwoGGbv7BRnbtrTcerxNFd9mtl1z+tRdJ
q1s5rtNdGMClL1FZV+b2qNRtfVI708K9GpNyoJKKW+gnTYntHPF7c9lZ34350nyi4yll32Xz5nK+
aW259FPYNBWa7/eV1vfHpKjc0+D0804p/oU7fnHDG0S/1Kx5nWk7g4m+HMs2csm2GLPnNtQa4cc4
uNd3KR/eeM7Upm9PdsKFe8TdF8+UlkhBnNW2bc27ephn5Z4bMScXsKIOJsYo7apTI07nL2i8lO1Z
SZMx9PVS2Nm7djHaAdymZ/1uu8aq/MoatHmERl4Mg283NSLUceYZ/dd2TkxGQRC9PaZ93ovjnKcV
Ak0zp8n0s6iFVgnLqww/Z6YZjvdqVrmR33KhKP6o2d3dTIE6PCArZBp3mSmmZ60Q9vgh9OwwfEh7
4HLvtVFp2ictatr22Hk1ehpTmZjGQ6lbVYrptSkKAHS5WXyD3zYv59Zsw+kwp8tUfO4dyLl3baRG
0SnVRbccVYu8yHdze/oHfZcyPagGB+KUFAUCgXUKcffkFtHk+qO7GM2HrNMHjOpb21LuURUOhwPn
bIzOrKtqnpYMuZ4PfUnrrvO1eR69s4qha/stxv/dTf2cbMxAQqRphPncKmOD0aCqDV/SoXWLvye9
74u/lKSlDhzVURZ+nhr8nIYDXvFx+OgaSdn/FU66On/0jKqbwaQkWvSwjK1W+zXyVPUdACeL+JfI
0/4AcNat7m+f5+tb/v8ZMRKYUZ1cC7kOTsIFUxn1c4wo/KnD9Mqv9ag7vXUUmPaw9agFoClAaHa5
swurK+q8z8dnEvH+Q12YwymN9b0u03WIQneJnMuAIis1IVajhIbZzYMiL3g7149YGVWfWxX13VPZ
K/jqmF3pWRSV0+H7W2dHbZy1Q1KLvWGsiXNoQCQtRkfps9Kk43RI59H0Y7exy50s4fqup7OAXCsS
9XTqaPFermJTZaba82o9j5ngkA2Vnv/OIQR/ZfeDI2pzzap3Ppz8Iy+vJIZkRkyP0iXo9MshjVjH
arQxsv/h7DyWHMeyJv0qbbVHD7QY+7sXAEiGyAgwInVuYKkKWms8/XyI6Zk/CdKI4WzKqiwq88a9
uOIcP37cPSGZC3kvN5Wf7nJagvt36ELM5s27kTQHSUg2yRtfd/W6RAUgjSkijpAhX71L+0na+9mt
Pe+Ec9T5YcksISX/Yq1ijnwcgpluR/85UdT2UMKNfC26ub8T0bzb4QcNn+/WDcKAfLBFMWSpBKzi
R1mN1RhXGP+Ztjn5YMX4V+AGdaNl3DIt2ilhafBavUlvnX6rDAgq1/Uo9qxBVT1lDnXHEAJj4xOd
b0KKQYD/NHrAZCD5OR0FsnqDEWKWeOSnyrehquZPoYIri1Ka2V4Qy3wjdTTPdiBwFxVx9gXFXESD
T8fLR2lGua0vvWJItUeJEL93ffwQPlOtCh+YqfjEpdD/bkZp3EDaLg29lCDYKwtnfY3gJGmQjXWv
Vl5ON25/V+YpgroIkswYFk2KURwmREvah0Gike4wUynb6AI4v5upiyLJhCMU1APaPU+nngbyDGqg
D54q59MDWte+nQHMbHzQS6Mgbr+kV8sga0qrnwDi61o6em/0zioTot9jWc5bUknnNwmYA1cJISNH
ALny08nkUMboCOpHL67zx9AXDCdpgxjrHJpqrp+2N5vi00troXaTkZO6wA5eozlzpFZKrcSTh+fk
nMPED8LXSp+61jHSWc7dXh5m81g2QS3uiD+06jgmeivZA60qw/cgE8DPqmHOAzvWOsHcab4xvNOG
QNB+WSFmMDffsSjz0dWjLwYK/L6rS08w0kAi6pk8AqAFiUzFu1FqO880iGauL8354UX/j/iSs8Su
phBx+hECRey7mbY6j4i2r+2GvuG7PBz6XwXl1w+CPtTN/vqIFz47xw/GO/3XC2t7BTcpflIPiRbP
Xp90/QPtipkzgS+65mxIG+t4YSNbZJFLbz4yOzBoTifn14kQqG2SeeIkSndtMIcODa/JxhKeBxkE
GFyxKN+DhJJ6nY5iRKIyCzTTel3Vd3dyrJaf6JjUdgK4oG2hZummXTdtlFMuTQ0K9iKZjlzRWeq6
KMIHo9UyaEkjfhnlmSODkW4dnAsfixsHRAvhFN76dSAT1H0XC3Gee1EJnGBRyDjARcqdQVSSozrN
5bcOIYDMpmlsOPj18DCK6vBNjYP0IcWn8ZHqeb0LCmhuupptqVucrQFg5SKuvHBGaMZ7E1n8s+5h
RZM8GZ3k9VkOSKCZjS0Khnx/fb+ej7JA6FBDYfeAWa5PCFU5GswCHOPDCc7uHCXSzoR3v7FV10qV
HL3FSwxCP2DSwkRd7aKYnLdI5LZ7TuVs0m1LJXD9jcRD17wLZq0Sn/KOlPaOkvRES95smOUhFczZ
fKiCPJAdv4vjdodv9Dzaoz70wCfzlG0Ju51th0VViWeUXQ7oCPvzdKvrEkXCrq67Z1mQKzuOFHh2
iPrYgpzIG1vvfNmXNgMgNrj/YMVrLBUWAQkYfdzPVFJqpzfC4qDEieXe+nGXI8sIyyCLmM3phFLE
hnFZrvrnUW3gmFhyeAA9zW6N9pYO44WXA9MYuPDtefpjo4pq0khw6cXnWdClh6JPMlfsJmFjC51d
5W+j0A0CTog75ZrLXNHTBk++ZhRyHLuLtR+dMt8VFcYzuh9sGbaebwVALDYC9YmlSLeG6bQhJvlM
FQms2/IjW0loB9GaKgDpTpXP17/SxbGWWvniS4WtyepsFH5DCydyl89CHqMuXoeqUwi8G5YO4Ht9
qPNtx7QWSx1Uy6CxrlvP8ctLO0QYpOehDXRHEgPfjeZqq0p89mTwqeD+0kCMAgmX+OrVnZN0aOWZ
xcNTrnCHLp/AZzrhfavQulMrRbmX9GirCezi1EBuxSVRPE+GR90MG6BD6Xmepmav5GCCYdJtQXQX
RyGkoIcEfjPv/OmJkro2aMJClZ5DRc+crsmrR6ULtowtLo8ChQZx8qVpY4WH6+04jRV8TnytWs3x
47i6F4Rmq8Pq4ij0eXML0UBxxq5MtBCJzslk39UG+v0x93LVCltUkIubgf6tpfWFjHpNRsymJNd7
ko1nXKRmR84iTxf9D7ikf4iL8qnP/dusOnlp2Hz/Pd4axg/FWMMfhy8Ul+23PMDqpLOC0tXybosN
fla1WEaCJ0DNm8TwzJqnQT65UydBelYGzDh72byLgvzOCBECUar5YzUX3/zOf8Hv4UYFibc5spp0
wgIfUNVcvuwfN26T1lobR+wPhBD8g9z1ExxjK79LSRlvjWeZ5EKvglxDegEAfjpU0rIt5plNEnaW
7GCUbdqFpYBGDu1WHnNpP3LhQgTnGSEiWd2DIoBzQ7lWxtbTwpXQyoQHnS7qw/Ur8NJtq5NZLzQ4
svk1NSka1U6b6kp+rn3D3GHD89uHHuGaQbJVZF8bqvGZYAQBbFPXhVJC0eJ07WjmaEq/K+bnXElC
9EtHuEdTKTtpYeSHATsLr5vD8anrpX5fSq2/B+8s7/I2GIBBjS0lpfPlhSROHIkcB9EYTVqnv02W
K5Omzur8PGrB5OSphdj2nCs3BzYkonCwFs4O9du14jS1nzpAZlR+zllWN2j7b9pYbckTnE+Fa5H9
iOgOBYQzFUxKvgmgjDI9B0Ip7KWgxwfNbNWNnXIWcSBdAheDcvfScM7jfLpgvh92UmiFxnNU6e8m
U3vqaeW0Q+S7KD9vbZazKWlUW5ClpkMSThCUjNPBrBE50T5utGcktVR3yFRsbzJlS3Lz0ii0VS4U
Q6o7fKPTUSD+9rE19tqzVmuVrcu9tVeTbqs/+uIogLb0rUJHgOFxOopp1pBx6BN4ps09omlYUHC4
D/z31w/yhVEWbYrlkUQWgILZ6SgltAt1pkn0OVCK2cUIXtr1rTC610c5uy4oydELg0zvwtc+C6HH
yWqbUYhNFLKa9n2VUjWKlKT9iS5Kt3F0Lg2FthMNmnyehaJ5OiEzQtC55hd5zro+t4tZ7g+GSpEx
suL61io0s4LQtDigEhOR/Z4OBWyaoiSVUWkUktDFfxXtERF98iabt2hhFz4ThkdLVyj1dbbdaqio
KNpMaChqBiKGr50vdU+S2U63vvrLhOgeoi+ARIdK7emE6hC8L1IiJmSpXyNsoe+VzkJ2wBxvRQ8X
4QaYSVjIEWsicHA6UN6i4xIFWeApqA3tzFL+WSBKd2tGRUDB+8fzsYhSnaX+XRVE4BYSmPOQv2Kk
GH4UELV7vb6zzz4MBwR8SiJ3M6hQravNVHa6qE/m3OtFijh1g4ixIQvDxqamp5AVOUEnSWqoOZCG
Ak2eN5OJOWGhrHfm81DXU+GWshkcKyz3Rqej7KfC2JYLw2NBqtQNp2QIPkVTMZovBnaX8kOAftbw
OY3EJN9NeYVOnE4kXDrUS+Xnsk56/7M0DOVsh0pLLbeQhF6z5bjXlftSE8zaxvOArhu71ZsR72fk
k/MDHq5J42bWNKV2YYqB4MrY/YxOohPc7/02bXRbkuNB3RXiOCj7zBraam9JzZAdAowex4euN/Xq
YBl+to9QRjMmm0rRKL9OWTEPX+DtUSvWq9F8CJJQre7Qk7XC+8FKir9TrpPfxOKKtJ+H2AzeWXmo
RvtFK79r7VGdxcgdSqg5r+NICvLiJ2oYHqZBqoGbhGiq38mDqeHcAMCM462Up6OtNL71rcg6zi6x
tiWiXoCZhR0VefZeD+GyOmOpyoldoHucvyMqGet9pcbzq5g2xtdEGtKC3zYtQ3ecBfWbqYKD7Mwp
n+X3eq9o7V2Et6/s0MUmyDZCFxU6zYZf6vJOh4xR/mqyLnmB9CJJKJoQRe7zVsP1N6sxA/NiCcm2
h6kuh+EwNjhH7ZOYDvc7n0QXLQs03vqXIZL6rwKANbQfnnUtdaxQ8NXfIKmB6OjzmE5/4zlnyE6M
q0rr5GNWNk6qx77xOhMtWvuqV8veybN+7g+alGvxXasbI8oCWTENwhOvO62Zaq0Gx4Ilin5YxuAn
OxEAMNxXZqJ8CbVcVRz6FNNyZw1JZryIyZTSuN774WswCFbqlHpTCihIiVXl9kY8iGyMrpfdYQxD
bFFpQ1cfk6RPpIds8KeInHey4mNLw/V0p9Z5Mtt8DAFGQWNUppOhVTA58Bbi8O95ClrTsYI6++kH
Tf6qBxio2RphY+OUwRC/dpMyih/SuVOeJnFMMXFmp0kW0mq6GDtTrgmFizNsMd+3rZi1ODCA9bxo
s5rGbhuqQuRJairEh5g0OThAeNHD3SwUprybwraDYLJ8hs9VKTXyHqxD1hwxjodyPxZxKR6gu3Sy
IyVGWNnU7q3xQHkonuwwSudv6BHq/eJewnmy1cpXUzdCMudbL2G85DbQO0ob/YFRdk2lkjS3xN1e
29VtI+q/JanKRCdUajmBamLJx0oRI/0oiUVTJDbNZc2XhHMrObqWBDJEuFRq90Wjij+vX4VnL68O
orSo4tOqDFd0DVhIgzgMqVDUXgCEtW+tMrrTIkH+VLdI+l4f6sKtuzCY4IWiGY9T9irOw3lEC+Wm
qT2tbPW7sB8yR+klxb0+ylnouoRES42LPm+u3XUlLW8pe2GAXXsVedADjPaajkOyHKjne4TPf10f
7XxOkJbAMFk54nEivtM3sRIsX0yHuPOsYpjQI9MLWwzEand9lHMMeUF30Nik23ARfFizEmkiM7qA
T+VNQpYPtiTkmAZVZUBzrR9LcmcnpmKGuybJuuyXZE2LdmUi+NCIkqFo3uVpUoz7tKJZ9ikxUq2z
cbH2b65cQPugKk03KUnzwl49XQsEF3wKMX3rJVZvam42DOKjNlrjjYbr9G7Rg059gDec+jRg9ek4
cqOMU0mHHfKcNJGWSdhnNtTQ+CMVHHU3woPaB3qXBxsb66xEjOoo1H603yG48JqvppdG4ei3AzlR
ZfT+vWH8iKUB77agofU4yaFKhK1uy3Un3NwdBTOTJnhYBUhEo4K0mm8gIlY1l7r+nJfSeFAXszoU
n95f32LnsyMeBhJ4S440+Jmni1ors5ItWmnPiukLe11QlceYKqirlaa6TxP5MY2QzLGaQbk5qiQS
JylH75N4hgjzdGClq3gIldZ6HirWL4Dr9thgRbcR9Z/dCujQAX2QKy3me2cei2R/VTXogvVcd378
YiVGvJfUUvjchhCgUGeYP15fzvNrlQMLjM5zsjAn1j2aUskhC31r8Lh9RZ76OnZj4kc77MYt39gL
Q5HgUV0i+uceWpddg4B1C0ex8zJt6l106ZKPqGYqj2UhdBu1yYtDgTDDWqRiSKv/6bcSwmqyhlDt
vDoKRsPhuAHpaEHQEWCJdaXvry/i2kyNlwIcneLcYhRD8qEuv88fYN9Upq0oT8bgtdxomUfrpoA9
1pxqKEKaWLs5Tccfu8+12pDtQunF6qOp4tkLu7GMDeS/pSi4wxGdiskghdEWFnMW3vPrQdrmNuJK
XuxmT389cxDaFl5+7xmCFDnKEBPsUUZ7F8kWJSetoj1zFLYqDBdeHABJuoBoOQdYk5df6o81CRVU
PiYKrx7XVBfaON5oR5812Vj780+9vGvsqKWN8Twjn1J0N5NsHj25oyTsKEIxe9iwWpHbTbMabIQG
F0b7310vxkI3PoMLpyyaJbCz2aNBcrqLog4Sqx9F7+gF+nF9T51/s6VTEph1yZYRpVrdc1aBsW02
+aPHyy28oNUYaPdg5rKbZ6aS7ZGDqSYnTYY6dG4emGI7KDLP+Jue7el3S40AyglMVQ/4oXSB1AU7
lITB7USr8KSqSu+GJQi+PujZtYcEOOEQKpU8IPxz+fkfm8WYEeUu+mDy8nSyXqN+Dh5zQbOQ64v6
d02WoCh/fcALHxJwkqyWKwKf17V6qqR2DelUzoAs/lNgxGiaoAn+0ffb6HB9qPODwLMBTsmHBOu3
1nVKPfclZTayyWtEM3yU4wQVwizackq4tIK8S/QLo2Z6DrUVqhJIpDSTp/rh9MnQosYNJC09iF3s
ux0K2RtEsAsLiH0kGmIyJ4GdunoO21lvkJHIRU9KLR1P1rIjasXMLq7HLeOcCwvIUMjcLHrqC6Pw
dHNgxdMXUVOJnhIM/g5Jc/VOVeKbEVHQD04bUCU1Q+7K1YSULE3DHMFrTxta9T4ZrOkJAGRL5+HC
XND4A2/lIoYZtK7uDnnTUJ6uJa8xYEskaTvSWTpm7vUt9+aEdgLoMJkF3UUAlouf4uHpkg1GFAim
4YteT81Qcf1SgTxXgFYgIliM4g9hNKG0t5CSX6Y6rKw91P8mCIBaSsG6m2pRThzZt8ZPkzFO83d5
yFNjl4tGpznYgw6mV8u5mDqiDmX6IfHr+qfhR3r7UFRRb34EMCtFtMUiKpWKFobxfgp74UZ7eB5d
qheLTTNsOpZzzZxoUWdL+7ySPDWLjGdyG3T9kzJaWImS9Pn6gl44XUuzI0eYvBAobLU5xjrjEolF
yUsLkb5tSYM0a9NbpxwBiutmV6exrG+EgudbhTeRwjIQ0uJBt66Smi3yZeOY4xsjJPJBNiN4TLPa
bGyV5Tc/3Smg2bRRs4xLu668mlkiS32eINLgWXrR/0i1pt+zcZXXfAYMmsZa/6zi630vTaK6QWU9
v0HIjyCSkmijQ8E9crpHO1+BMhSyRxHRKN+l9SR96hIIu8ME8nf9811YSoaiDgyQSvvTms7Ig9MK
TcFQvpIOTwpb5SGSO+P++ijnTzYRwcKbJOAkuVzrVhktmtXYwCseaGnt5tqg7bMxN59GuQ7eJ5Ge
/rLwjt9fH/R8aihyo6oGh5XOT1oZTlcRpeW0LnJZ8ajCWI5eJ9En0wq1mwPqhQnFV0ISnjL62iFt
KmN1KrCO8jB1jN7hzMtRNwf9Sa+MLe7v+bYAdoF0yiVJUM2/n04oGw2rFCiCepYY/qhnq70Xu3La
D2GzVc+7cEuiRkcDCPUp5Aq5ME+HCnVQWbVSNA/2eiLgaUyDX7xLYoSf7iUVv0c3UoeS7iNMlaQH
PZznxq30qvBEqzLrnRyN5fQ5ikYLpdJeXSpcoyrGd4HRR8dqSoLJnWqh+oXncxC9GPBEgjsZiY1s
p+diFNKiZGL4LHVZZNlwViqf9qe0mbZCnWXBTk84B5w+PDTi2AOATaezRJ899wezULy6if4u2kpx
DLW7L30agOSo+T714f2U1HiaCRsh7IWtuZDySWUJSRZC2OnAetrMA1Cx7ClWob+bVUH4nmq1tHEA
3nh4q/lRaecRQJOFcdZwXY8iSz2btebREmU6gObac2rqnRvEbfsiGU3jiaj4HiatK5xxGsojtgOR
W+jtlk/c+c5dbIt50wkqKUdKy/3wRxBLEtdFyBCYnoHthA1aKTj1WBVA3nOyu/XUL51/y2HkAVzU
tk6HavUiyHxqaZ4qmNFOwdyCUgL1hOujXJgQlGJyRgAsDDvW3NtpTspSMFONkAjgONOi4NDLM47Y
IXvn+lDnz5CxVPEJXBdc7qwejbhbYnVlo3lSYAjuFHTtR11KeieoTVBAyQzpCBylKXZHJS032jnO
9yljU8nj4ma3AsueLuaQimUkyowdR5HlzjhIkOzIkXt9hhcXEz8DGm+p26FVfTqK0ac41jS95kVz
2R0CTHvfhSRie8zot3KB8xPPhIyFCL5YNcAcOx2qqoURS1VR8yYomWiH8ka8WlHWfA7Ztm6iKNmv
tI67Lz5IW2AHgW5tKZhemuxi0MuuoTZ69l6okRr27B3NK+l0eD8KYf+E1mLwWc+0LcTswvnnyUWs
jw0KE/vMq6SoVaQqfFn3EPTpjTt/7gXDTirdojvSiGPDKaxw+FQ0UZ0RvI5pfxCtJqqe9FrCcaqC
kJVvZHyX1p+AmVeMDH4Bh07XX00mAwXQWvfUoJnA2dOMWuX0oWyqnVromt340o/GCvZSkd4s9AtX
njYoaCMSMBTM/NOhZyxPhsWhxiN0Np0+En0Y6UF9iOq225jlpW+86K7whrL8dAGcDtVQOAGkDA2v
z0fZhtOEaUqro1GS+Orr9bNzTtNiWgjXsKGIQEB7VmO1A57sVTAY7Ke2F1w644bfcVqh0pgJ2fwy
SM002cbcpd40JNHo0mXrJ/u2aLvXJs708aAkcriFlCyDnj48S0pP4AWKAIS45lH1edA2VRGa3iDW
6nPRZ/3TCJvsw/W5XxiFHAcBR/RQF4uo1RfVo6Ckh6SzPGPoRjgneVN86zV92riAL3zNpY+BRiiy
bD7WinakF6HRzUJm8qJkCbSjaXodNGnYS6GubsxoCThW68Y1uCwZMTJCyqt30ojV2eh60fRSs+0/
9lroP0Kvo+ZppKItqn736eYVRMgGOjDtI1Ay1NXNmwtFJYNpmZ5u+KldtimNema7ZYh+aQHfinlA
6cu7vFrArm+UwDITy0uyvNv5Ztc5UmFkCPKKW/ZWF7bEW8capKBFWmytuappgREYVWp5zVhN7tCW
pYPi3ZbMwKVRFrcFeHysGlpYp+c7rOtx7EB/PK3F+6RFXM+NgXnubv441DuQu144stQhVnflKIU5
lcskOPIqaoe8GDpbVPyt5pYLc4FMxS5gv3F/rEMzHT1hZDaQhCoHJXW6yEjuE27ILUzsLIrhnL6J
/FI2JjhbG6Sa8SAZGZa6RzUzu9mduLTmj1LS5OBi7SiYWEnhfebSr11KTtXIIr29eguzOx1NtXlB
xVweXzHNhLEAMFCnDsE57tuLzIQQ2xrX3NdIRHTFrvCwtVzsniz+Pely4S71AaueTHMoYEGIRk5d
JdK07GONkMmx5W6JMNzVW9G2ugEZLtQVpvRHgWNn/VQYSCrYUhCkr/MYaXgFCX1bxjZ1KB/npQqB
mcey9iHSKIEQobCAn6dlJ7IW/xwS/EVfo1hri7taLmRtp6JsNDyOaFoZtiiBFH8dajGa0aySJv1R
UCPJ8CIrLar7CCMFnzaUAWWpXJ4sSndzM082bhh9aQtIlCa1G8AXVH9ILV48v2/ceIRGNBxSIqWI
SCfEKi3qlRomNvmZJ8tZu28bmi2yANb0jaMYEJjfYHyu1nMVr55AA02SyfQ6wgxXV7LAbTPE6q+P
cnajLqPQPkQf3hIGrQO+RhAkmcYr0zOLLj7qmCLZWR+oj6kyjjt/SJsv18c7O06Lsr9GnRf4hkVc
PxaWWlkFP5W8uIuKfSUjjBvWqnbzrJauRkJZ0A0AdH11AWm0hojIW8heHRi1WxhxuafvTXjUylG4
1+RqS6vhfBXJVBdNCDjYEk/7crr/zN9iUej0ulE8XJ7UIy57VmiHMMI/Bb4iBLbYYRt9fR2XGZy8
hIBuUKMX7YSF7ruGwKbGastE6QkU6ywzXM0oq9/qMIXlQc+55A+VJozaHmuHUd8AdN5EBVdD0/wD
bxb29ALgrx5FiH6L851leVkzdtNzOVrpz8TIky+1MSTB3kjk7humRtQL02QMRnQkLTRcOsvvfpdt
1gj3VopBla3oqWC57EkTSp8C3+NjqJuNfCAtrWc3ilSDVs1qbMuvipEFyNV18aQ5ZVJ30a4AU6rd
LtKK9r3l6/rfvtwbn2lhVXo7mtBBtEVIgt/7hgLx/vrCv73Gq+lDV6SuRlcISd9ab1kSpKnTkR7x
0A0o7Yqqnhdbg6ba8WRpP5R++pSbvTuh3v+zLvrmq1rr5dZrsf74C0xI5AiqBJ2c+PF0u9UhXCvk
HSxPiJPoMLS1VFOdloPEmdok2QBbz14mk3gLdHARoV/6rVef2x+UNm/qxvKsAJbhQGpm0yP7TR8z
1c6F6pDn8ktg8tRcX+ezi8IEDoELBB5Kcq+fzbE2MlFLovg4REX3ZRCK1EbNWP50fZSz0GsZhZ4J
CeoRF/ka3tWqGVuvJI+PTS8kByOTxHf5OCd7IK6t/OrsjiBxZyCgAiAD4LT1HWENTYbMGsBLauEm
oY9fxyQwHJ+W/Lbrw4374XxidLku4BYviIzowmq0IMzHIijL4FgPfemAIFBpTkvlWcq6my0JgT/g
ZwOQMylQJfl0N2bjiEoeHhbHeCwo8lR1tu9TRGOuf6nz/cAsEFEEnACNJGs8HUUArCvkvOKNqv3U
Ie4I74s4sA7XR7mwbEvGxONBHRu4egU8VqFRGMkQJixbogRuWVjlN3OmndeOmzwU3eujnV3iFE14
A5mRgUYwFY3TOWl+NOjZwLsrasFsaxnKalYl/KzL/lGI++IADXNLd/HCBHmjoGojS7O8jashO+4K
fU7a5AjNvbz3tZbS19QKKaer9fuv1+d34ZtZS/WEh3jpRHwjj//xLIbGGKhiUCIaVTTBk4U49YdY
zYrd7aNQfJV5fxcVl/UqgpGEQisY2XGWZmhymSDsUOcoNr7Vpbks5Vd0KzlWYNKn3yoMYilHuCA7
yp3p7+lP0b8HoRZ/u3UuaMOo0KQWIXKg4NUoglUmQaz5rFipwiVGEM8O+mrLCPP8SmcUjY9Csxhy
lusTOxviLBdNnh+LVJkPGV1dO2tK5j2CU+29KsijXaEf/thWmb5Fgznf8sqiR8CFREayNHScLqM/
SCWk4zA7FpLRD69ynenxM70x8nisSSXzD5Ncdj/00tfim4Xe3xwZFFRUqBqCcC2/2h+7sSnTRoqH
pjimoT6YTlFaGNFhsnv7EaN6TlGIoIUviIDR6ThpNPnGbAbF0e/Ra4FinzlahviZlerGzZfiIrnA
+8XLhW7rOgpU4qyAtt0Wx7ycuz3oiH4s4rbYiPjOcdJF2YEWKaRuiCvg2ZzOKGpipROEtDj2cTLc
6Yma7END8A/kYtFOHkrdzTJ4qeDjpjNiPLXrzUF9zrnzNq7n8zeUrn2OOnXtpYKx3j0T+qzglEZx
LLHaOQxVrtvZEOY7Rah9V0qoo918HNHu4hOCRtOqvcb3s0DVxrKOy2NV94UL+fAlx/vi/2NS5LS8
14siyFkdNpdTNTWzrjzSERM4s2LFTm75tJTKfrnLZrG5uz6pC0eQLkF4xeQPcBzXyQo5xVxPtVEe
OSmKw+uk7CKq23srheRoziAL8FSD79cHPb8+kY8g/CFHgnwBiHe6hbi2fUQWF3EiX7YcHzFMzZEJ
Lc2NL3Zhh4BsgWDTxIVD05puIUEbHrVJrI5Fm4t/R3pevGaJnn9qMPjbyWV0MzWVTjFanHhKITSh
m7cKS0y5HjRlMMsjdHXlYZHU3qfDaLqivoVFnpUGGIlrBTiS24uAdRWH13UF7zNgZqAwyq4J0qp3
SEPoTqrkBB2TKM3Ej/pE47bVh+09u7b4cv0bXtg4gMk0eUFF4wJdw3pNJ1f9PMfNkSuuUHZc17W8
U6Shyx6sQiqre6QNhNe8ELViI59/a18+SboW6gwFUt6OJQJcK6iHYRTDCeq0Y1rho2HwPmklIqqI
H5TBA/qfVXRvlRCj3oUInNd/l8Y4GwdxyOLmfW7MtJ3ZSaHP+t+S3hTVIw7t1nRoR7lqlp4eMb+/
vlDrTUhrAFuBb7TwK5bc6XSzdwOtB/0spcfeyBu3n5OHQPCPuRp8pnZ8K060DAYBBxBnSdPOdFZl
qegkY47zY1g0Eo6vaY8Hq3hr9sIoSDdzSS1UJlKl1ZSatJTbLG/rI+6FuqNpgnVgq33UrLJwYEq0
G0/OerMvw8HYI8EmsaBGt6zwH291qcLcNM2pOUalYBxalScmtXppR0dV7wzmmB6aaTB3da0HjjxV
4cYtsr6tGJ5+NmIkoiOe8bXoTd9XUjI3ZXsMe98HbqXhofbFfn99m5yPwjl+U3rgVuRKXt0deoP8
rzIH3RGVGvOpolksuxuzatgKkN/KIn+eHplWdwwi8LxYSqr6OkzQm1TIra4bjuA2uOjISjyah8aa
xQf0Zud8n5pz/FXVhEp6CWsEJ2aX9iXkY2EGtGglmWLXVEALMi2+aRlEH+JeEecDfW3x6Jj9gMTM
1KM2Q4ulFcd2l+jmfAj8TP+RGGL2IfIBDeysDmOcls3A+jKhBUubjyh8VPRGj2+MiZgsqAFpL4St
xXdwVU1RElr9xiofj4UlfJN7NTyERaxvnPCzdqVlFJNbEAkBhuKYn25QpQpkM4vKCci0l6RdPWqt
aleQ3iZ3FnJUn6xxBK4SxtZCrTcYg/yYKpz+Q6wFZrPH5zpGkKUG5bNHtG0El0KTMtyYGS3eC+xk
ji2FXUCUVbJXVuYAGjeXx94yibUzyXgWso7C/ds+/h8/x/8Z/C5IAiDb582//4v//lmUE50PYbv6
z3975e/8fVv//t0+fS//a/mj//d/Pf2D/36KwL2a4u92/X+d/CH+/v+M735vv5/8xy5vo3Z66X7X
0+vvpkvbtwH4TZf/8//1h//4/fa3fJjK3//662fRcXXxtwV0zf71nx/d//rXX3BK/jjSy9//nx8+
f8/4c0/f6yb8nqb/uG/S7/mv5uyP/v7etPwthvRP+HVQGjh7i183l+fw++0nuvjPhbXCBU53HYEm
j3pe0HjIH1L/iZk1dVXuQK7Ct4aBpuiWH6n/XL4oIRy6fbzCiAr89X+W4ORj/ffH+0eOMnMR5W3z
r79WjxXZJt37IB1Eg4zFtXe6kwcpS7NBjLLXehRrR6okexbN9/2gKzZ22eZGsLvcaX9cRW+jgX4t
Kvzawp9fnRs9DoYxFcrsFd+6ZJ+9yHPgDUpMa0v7VChhZBOJR3d/fJT/zPjPGV4Yk5ox3CCWGAhp
TTjPYj+Uu2xMXvvJ8MbIKu7GdjyUTbQT+8I4RHLyGFlbpPALy/qGiIEkERWeLWuv91ZXSGn6Ks/a
fNe35n07Wp9bwaTNTN8Si8SDe72uaPgQWhNjL+tK08zpV0SuKzfjVNRfKbr2e3oTlcg1k1/iaEtj
gDTmrwj2SJ5/6YL3Ukzx5dlsPSW/0zC79h0xcOXWmaXv1mwvnP/wlxn8MouPY4Uy+FHs79v+b0W9
N+MdkultuE/jD2rj6eFjCmtO20W9Y4ROnR3M5uuM43AelPZYO/KHrr5vQld9F78U4W5Sfk3FB7V/
H+bornmz8RXDh7k8mObB114VA+2AF1F9NbXYbqSAoFYGbH5pReGAiEVn3EWHUb4TAjxWqPopr6Z/
rxyMBwXMLMxsNAasT/N3PXQzrXXG9CH6qn5OfsilkwjHWfuZCtlTpJcO1PWqOA4QQtXstyl+ncz3
mvm9AmuY+s7Oyxe5+gE3xG0KbOvl373/Dd4tNvZ20O0b5b4vcpQDUxSgvvjzi5+7KAqIA/XVrmfG
XPfTFyNObUn5LESP9fig67OdzqVtSY9iSR+n3RzzCHo8vFCnCP4XZde1HDmuLL+IEfTmFaBr79Ry
LwxpJJEAvQHd19+k7suotTEdZ2NiZ1ejUdMAhaqsrMyYxo6PtQABqybd6JFrDS9CoqYeQLSAlSs0
QP69EW57F0B6QHKEYgMEMb/7fjdnIxzVmzgfHPM8sLymphnp0BGfIhcU7SXDiXTfbpm2LYYaqKBU
P5Sdfo97/2tfLGUnwgCa6eie/Ep6JqtDi2Iy9XNnv3VTl9BuaGGFXQ0OUZEK3knk/uvTgHIuwrlo
2KKE/7ktDAmqlCXg23MmnGuUVAmxTAHOQ8+3Y5N0dz7tV6ABnvutigdcFUO0t3YS0WD1ktDG7GGE
ADlBFuLqnXW1qmjVDfnGdNh1aop7+c43A+FHSMWnAo9EbYQUHY3im1N+imLYEaRW+tBMxktnhUmO
QQqni2TC7LT2FN7OpEnMEbPTQ4juOtZylTywvD+ZQ2GTVtjaKu/S0kNlhdKBn/+96L5BmR/Xh9YA
nLYg9Y6DELZQy1P7K5dnqgFekBo7l6LaWSLA27Y02tmhobqORtEJ1OVwSkPFH1fy4FUR5BdIUnnS
Z4pF6KB5Snq0nC5dyCXK/XzXbJR1vTLWFjJQItA/rqmzMwXukeIbm4bg7ymDW2PYgmJYXcsIpMZ8
mXAkaDKRPqRtuy5DoyLmvn2PL8la3TSv2Tr2kwAzQp4KToFEVIso3I3Oxsu/n8Z3IP79NNDhRgsP
JJzbAzCuUF5Pdepc7OswUe1PXFOOyU5sgYZAGzL6sjblNeuIesw2eBDQ84xkt4Kkh0Ng6tI8QjZb
qml9qXbDhn+W77gPqyL9vVX1LSv9r+tcwIC/3ho8KIZh7hPnwlfVVp8IENNk1fjlpgylsEAY/VLw
bJ/T/exHp/5ZORTbaS08i0RQolcD4FfRLlk5IcoC9ayttMWYy2dl6AivzFypdrPEhSbJnG65Tu3x
2iVuoZGhJmNHjJbiBOttknrJQKzQ2kSr4aicxjMo7p1Fqhzf6I4GYYlbiyAziTYf9HEzG34b7Zzy
OGFgvXzpunNRU60h+nO2j0jp6yEcSE7VrjxgSKm8NDseSP6/3+93O/T2uaEnC7IhRs4WCuvP55aC
DpXDUMC+sEd5rRyU1Xzg23af7x1ihNKT/tiS/CRqrFaSpiQeiQGhl5ZCq0uCY2dHh9d89LKC2iVt
x1UzHJsGYrlgaUHEh+LvZU0gbM9i/mwESQ33AtceKBPuxAMbapIVEfDK1T0loe2Wb4zULV5x7kAM
T0rWdYVN52ev9UVai5X9xF/NJ2XX7yF1f8TBo0EW94SSLoebCILHRcjE0C9Ov0oMF/uhLkNNd6US
5iuwcnOd3oPHhtyRPCH8Dq/629f891NcREbxLJdx7J9PceLIcXKcZpdoF+3Yo1hrq+Qa0crNtnVC
5dGTZFKWftJS0EadnOQ7cyX8bFNsWFC7zqlcjZ7q6z7sidWnqSPZ7p7VCIo8XMPf1wgcGn5pgMXR
EHIwZnsTdyu9hIxnVE+nzA5YHpTKmjsEFmYm9mOcqYj/m7SKSOt4ebyK43XFVpl1MvsTL1ayswbX
qa1edOdqd+sWE/rxzpiorLlTFHJG6z+V7cc9AZjffU2HJHIxZaKdio40MlEVon+kNXHeQEv7Uk1P
lNd4erabgzJ6+HOtodlEeAIdR2oLz7DoMEA8yW9Kl6mXuXTb2p2Gdcn3mChpMjdiQZb4GCTvrAK5
TULhUUYcDSNr616+oisOe5r9nO6qOkj4EmSR/TFukbnYdzqjwnJctbiaGvSOXWzMHkQP26+7wJI9
fobWjXgHMqWZl1RsuOqX6amXAnN6n5ArmgX4XWCHmAWpLc1LMe/dQIcv03GLuBi9BMjXIBPkNMqJ
hBgJg3os0SJJQfHAOCycQwzXhE8kHLdIY23z8Wwlx17s4Fbu9/Yjsx4wi0lyjqd1T/3qNrkAKdAE
7RBbHY1vlFA3Wz3K1RbqmYl8hqcPpKhGvorMSfPqSG3pXFt3To5fn/btGAdZEFSD4GrdJhdyznWz
ZBAKi237o22QumlpyokMATEcl+od1sctwAH0HKUqWGHL/A8c029FZjommy2w4PjCzbwmQqnBySmK
P+grL3n+GrZNMmXWquh7bRtDMwkYq6vPcQPjJmvdlNo9bd7/uKClK49CFakV4Kzbtpo0cJ3JUIE4
w/TsqRkSw0fiSBLL3MaaQPs6joJOw6Eq5RC/kCDraJ0Ms8xRjcgna8IYz78D/W2uhwwPaQ1UUpB1
oXvzy8ZPtccYciLzGcrxgQ65QHgpdBDagpTYrEjunJcRWVow/4+1/IBa/q5ll6DyI+gYiywi0geg
4CDF3DaIR6Z1Fqh68lmwqvXktJVpr8QtNMCw8v7XO1xgNGQpmAjAg7dulrcUZ3oSQ3js3EE4mJSR
140WdKvmJEFl+app3HRTRb9zfiI5/3WH0P9BPxM9BsR94FY/Q//YqJXWVJV6TlNMCtKcrxL9w8k0
mpawtYaScSicvRW/QQ6MaL1D+IygIO9teWc4KanKF6N+0LtzVD0W8nEcN8V4marHqX2vO6yS8ZJk
26F7Z+ZG77bIltNig7F6ewqLejfNIZBKRfdgNYYiDu62ek6fQa/r8p7ylVWHqVoi+KHCsw8zcL05
bDgZq5PFsOuPhdgZZpjLL3KNAK5L+3oO9WmXSl8lag44ZtNWZQTaMxaOXv3ZjM/COVvlY22hEgot
XIh9kGJf1f5k5aMxeeW4b2N3MEOccb11yuSVY2wakICLL8fiyAe2pgNfDdx07kqY12c96eFdMJFZ
8hzpyeZXdd6ryRkVtmW6Ee6J4SlKa1X/hBur0b8pJcRrT6x+yFDeYgabK0EyVLCDWXE8KwkHbeNa
0pZ1wq1yoO125GrGDgqp4k9SSvAye1MUPFPjFbKmEDgjlRlkCk1aaNGhUYpiJ2wWvvCqQutNX6F+
Nq2HXjwk+FaWmrTRLrBBH+1H4fiK5qlaCIyCRSicl1jdVp7GN8O9edRfpzbSsqVnjhl3oMMIcz+X
V82KIYausn5OWJyhYIfQd1XZHSlgG0YmQ2ooU6p7ffpf2TQwWKhggzGJQIqPvc0VkjleRjBk7Tyb
H0UPMHyGPK8n1zGxy01af7XSHi0bfcRhGp+0bh1D16sIlGin149d7iOgtOOLZPuZtcvHHbSvmAoh
QONkoxQwTpPyCsNnXScV8AQkjc16yLwY0I65nkBt07mrcTzZaV2Xfu+4cC6xtgXJtSuyuvmIDofp
nJxeeHJCBs01Yr/XfBUEa4m29hoqrKSS14W8HtvPuPB1w+syr/yIzEDGs5PXzqlPd/tZI81wSPhz
ORnEyBpSM8wuCQxvniqrJFbzaGnruKesOWSab42kYHem3jHW8yt0gFcCQh+G3yFSjM79z3drt9AL
mwpNPTNtDcFnZAv9NltBPMbL6PDVQ0ByN/ekedYtzM7SaMIAG1ibJumjkzyvx7ImEP3T6GjtqmSb
6e/L/8RQ7Wf5YwSOd+9mBZkrV9UgiEChSyhdpn05r7m1S4rdoQTWllJZFMia9ZWOs1mbPuGZCRnq
Z2HjEZT4bVuOq1ypfBBVnezVYW8T3znAfNAThwMTuyQgVIyh9F4dlXaHeUYl3sS9W5iP0XTtRU/t
GCp901usn7SqR6G0g0ekZB4qjWjIA2Qlp/mAgNAcpunNFlunlFEwnSWG2Qix7d2yplF3liVgdiWF
eFJhq+hauLFB0PRpzCDRSB4/tEbpReJdYQPmNlJiNA+Qkl8e2YR6UKShjGOg2akorjlqeAY7UFqn
IzEtd3pUtkLd1VqgDsSU9zo7N28D9ESOA4YLZkFsaZeZOonrgxHtIz64DJKOzYeG2JbsVDGGrINu
5GBsi+bYGo9KHIVpjHK8OtSd92ZAadsQ7+VobKHZsIJSELHHmlQjlMrc3PqUzYTUYOW2c4IRuaBo
oJNU+1b3B2RkK48Q1304XS2lUISx5RkSlw1iZjoRSX/Iq3U0rUaYsQjgekIcYw2Tq+Z7lX0Y2oNK
4DEpjYGRBuAfN1nIF1V2nAVI8/3SJle8zKB4fVTfpcpPQKqKfFl2+Vm6CtlVPmJYUqN4qX30eJyS
Oik6Rrs0CXAe9KduP84ogX2Mp6FbTHkWYK6a+5EVlDIjZe7V6XrK3OraweySooDLyOyNaBxVRItX
sgtmZzBApAqy317c7pjwEss3Q8dtPcSH5CWFOsdrvHH8cp++Scc6IblC+vPoidUQCqDDBwEs1VxZ
wF3OyWtckFEiclhfGMfVTTrOMspW1YY/6USO6HRqdFd/umeN9t1U/ZnaQMNnofcsDCNU0Dc4UYlc
Pk+hfHrmDbgaPatkMoLjgAIxITBWhSyT4nhcLlRsUOBacSZczBJsIBSqE4h47zETe20la9vK6Z1u
9E2jFmp8GH6HKt3CvVjI9kvc+QsLcUBpZVIkxjNPMkFjQy3dtOjvqf38yihx65D9x7QZ/FIxTXdz
Mmkdi2qbT/KZQ0uNVIZ4lBP5CDc4FPnzWyfPx4E7d2ImpodvYyawSoCWi1UNnjx6CD/vDa1+SeV8
Us452r0zlS03l0MAUWxGJPDrwgX+PWrgdoWFuudSkGCdzo8ZYixQ+GplfyrMfUf4qboFshDwz1bO
Mce8vPRi1TUd+z0zEDM2U/IpzOM8fCr5s9Vu5Oy9F0fQeUv+WPRfs+3bGlAsqjQwCCK1RNBpSLkL
1RjknApQeGLVPtYAT/xiorDpxeBxiUyKr1mzKix3HFxV0IxR7JgBwwUTQechydY2YGXfoHqobgBo
hEhETq2HYpICL3QBXQWKP9Ha6/3Wi/f2KXotv6Jr+lU9l57hlhv0UfB96Br5tWd6/Uv6lL8rL/VG
Wamv00nC78ZxgIi3jCY52igwXXPxq4jDWfHT+dxL4VSsNGs7DqcisLWwyt/79M+UQ9ljAz6B1O9k
fuiGldQWBPJthFVhb1x4vZXL59wt6i02+Kz6rF4r6cYBiBOvMhYWmu+kwTgSHNjwdQMlAv/uz/JD
/QI91vxlAsxdQquBoJkn6QiBBDrC1gt7/3eBgEL39+Kx7KXRviAgv6uRqYNChp2J+ZworlaHoxly
vtV1Xxn9yPGQVOLruumqbIUWHJErioWtvzqwl9e9vnoorHdR7oHF2/OuQ2INiVkl6BmpEi+ZfQM2
syjfOMxmaXvOXqTnKqflvqVIroEQZMS8dJE3KC7PPfUQXaZnmCank1+WxDjpz/2j8pWci8ccq+EU
b6sQF7Sud4mf4gc4r9ngjpia2EYH4VsernFVPFZvxmMfwACgIJJB0wvC/ZfREAsLDhIfpssUV1SE
4QLD5GCFWUXkNxB8rNBcVfC0UB4wPO1X6+S1KGmmk8xrV90XkEAcnAppX4xdikvbaTvDc6jk5UEa
mG7rx1uT4DChsg8abkqkNw6ABhuKUw3jukS+RNvoQR6AdwD1kT/UVRxwYDzwEuak3sFmfK+FfWh+
tIjWXumr7+oT32AszziBIaU/1APBjpvR3PL47KapN0xrAxiq4s1FKKNn1X9U1mnqV5N2Sao5MMat
k/i8pfgzjOwth0JBrLP8UjylO/NFDLBnIvEuv9Y1wS+r8vAL9EtTCs3Sh5yv0pHWpElKIWAx4OOG
0FnUrTd2vysHGWjdczutQd6xEN/f+9AK7Jx2M1B7b0gCprn9Ke2och0+jM9+p3boYpAGP8kmOXqU
KXyRsW3CxqRZTCNYa6RBawRqt0+znWz7lu7im8uUFnCt/UwwogInBE5H7tqTKws/MtaR4zZ8A4lu
A36s2kpRfLtcJ8MpBcQah6b40hnyqYuGFnEfsjpo9R10+rX2MKA04V7XufiisIhdBWXpdgNCHZmx
XOC4AfkHAvHayUH7Dp3IO7X/bwgERiNLpwckUR0p7i0BTzeaHDzKfD7nwoLA7YAdHrExI2mPfgd4
sesuPSvN1lTFsSg928hVV8I/FJM0gHi19A5K+wuRwuXg2IBDwzJBiIbXz6Oj0ZoRQ7eJclaencKZ
PNnAOHFVoq0x2nfOKbT6foUa0IWRGTiLswGggRs0Qs4iDeLb1Xwe3Tys12I/bodH1eO+4w1HbA1W
Qy+d5slajA9VSsFMVAARX9Wj/jBxYh+BkvP+iLF/DsRcQj2CStiHfE5bUJUFdkLsP/N1kgk13nKo
NhvE7GhmkQya9rbfYm0fVcvLu0PW0qH3rHw5oAT3xtJtUJbBv/3Iv5aNfpheRB9q/CHW91PvQVFW
Pk7HaqO+NGG8yredN6/jgAXOOQ0kr9tMR91NA2CrT/i+A8L7Y/E2bKu96g+IS9pe10jN9xaWZOS2
3DNmSDCvJxZ06W7uYPW5y3Vch6sfR06B+Or1Eg4jDe0vT7JOCo4cheoW3g0djtJ1iY07+YjLj1+h
Yh9f5SP6a/Kz9iUhRmYb4MRWTKKXeXbRh0FBhBhjHrWz6ZpuSRVi+PMW+a2vE5y3rurPX2CJyQ6R
rsU7eMvQbcf1ptcB+84m9Sce9BJqwnltPifntiTsoXxAKSStq1NWY4P2xXJqOh/OcZCorkAxneDr
7XuPoIVWUooCg4iv0it29YE9AzZZ23uxdkLzzD9jnM/DutlmD8afaa3u0ncQ+hF2rSNAYfwujWt+
1TS0lV1doIQmnbIxtGWrzuY2609ttLHb/eC4kp+W66wPpxH6VCfRHZm+i3WfNb4wXUlzK8VnNoIO
woObSYHTBo7mSiKcWQAhfJDigGLoFTVfAVibLQK3m7fU4FgtJH1yCrIwCyRielN3rMROVcNJ+Op0
VvVd2lL4Gre472IriV3WQQcDNDpj57BHEFujllh3cN3/2LPoVICEtEyFgbN801ixBfReo7GbzzOm
Fw8SPNs3fa6MJOpH3as7Y/qfYwQEnTE3j4GWRTn7tjnNS3PiwyClZ0ggm7RjNiJmU69LOf2YbOme
ydS339iPGgLgDnIOyCiBvrlIR/0MSQ6vNIj+2+mZt1HlwkXy3VDhSq/BYAMExj+ygoA5oUpKuhIj
L2BcJGNBs6LAkQp1LtrlmH3BaWU6kxSAowebHkd0vhO3f/6dOt2+Bjx5oEELug4BNpB3b0DOehQy
73jOztXslGjtCCxT0+xcFDt0HlSx+vfHfXP6/34uy+eBP46e5EKDwAjiz+eSVk4+V23Gzjabh01W
T9uRR7aftkmLUdv5T22iopq4xrzJntFoSWzLBzRc0FLPmk3foGbE/TRE4noUQhNBANarrC2MgO6c
cd8Tlz+uFGN3GHcH5w3T76hNbp5Mm0s1pve1+aK+CnyeQrKeZA/SQQ+MSxTY69wrT+iXJpd4XX5q
Twj1aIqy1yylUg68ljTMN/lRL32MpwKuyUCAEPscgAvzJeanqYuUxIhcFdCPwnD+X4S+1/vQOed8
EyubIqIG/KYw2JtR3hBo0GsYo4YezuwZdo+h7hVE9kWDJMJH69MZkF+7db4rVIC3Jyk6D0j3ucdq
D5gAEpFpg//UJMLeS2861TmaXAQSBYgSQDJ6DRAJZUiXkMvhPHrqEP3AsbIo4zThboMkEBPPw51H
/E16uX3E4ImjrfM9hq/fxIDUVCzAr5l8matmC+Zg6mrWaNAswUFZSaNKsGvfetiEkypFdpXLB12J
vjgMTlZoihz/vTRvMTsTcsEQY19cfTC8hzHBnysTpXBiYssWFxVKeejiZAddH/ogYn8g+o+s9Tr1
ZciH0bnDhbrFgb8/F0N2CE6wG8CY7M/PLTRYWpgtKy69I/mdAlJXNfKZMBO25CpTAWaZ7Z2Gyq9N
j1tdVGtQMKHD8c0t/RtGkHSlaxWtzi+85L3XWJtJMyMUecjmeZ76/36u//Fhy0aCKgH0AaArc4Mm
YPDeYJVh4Lny+pklBRJszf4sFXGdMnYvM71NzvDjASKA2oB0cDlWbjJBrdZkgNvxcInmFJBb0SLX
VtGy+fctfR8WPxcuNDeAo6M1tIwG3FK7OYjdrVKb/QXKmACzypmMD8miNkLkGdsfSR+1UfSy0M6O
BlSMZQ/abwYIrcVVsFVZbHhylpxDNW4qw+NRUDoGNTI/Mzw1B+XdE6MLt2eteahaN4O+YhuMkuvo
YZu6HfONaNMpUNJfFc4m1r1J95o5dCLPMdCidpUvlJPoWkP3F5kj3LbYQ/6gPFojpG49jdFqj9wL
f549pj2RS1InnlJT6BqoPYWXe4mWYbbHVE3HMAOw5xZkK5ciHq4/tkQhtNjUPlysoezAN10eylGQ
DkG/K4J7PmW3KBRe5cKXg/YbwoMNpt7PfaHLUg7nF1lc5HSGSW1/QI+PzI460r5rnoVRHjAjfS8i
LRHn54uFxg76zFhGy2K9FeQtrAQywXCyvmDGl6MMHF34PyceqO3gdvWt7mIGBpBQP4aF1MVeXVb3
2su/b3sZyddA0cbIgG59H0t/QXxyPMP7yRiLSybpjxnLGW30JKK8Lmqv46rq8vIL9h/ZnTv/vUsR
gsHHXDw+QL6+NfpoBfQzWV81lwnyIevODiRw8YzEoLkSS8G/t88v9icwReQAi9kALKMXXY2fr1bq
ZBENTYkPG+xLDVd5qAtxtAS+kuFYSgWUc+AgTGcHLaSsKu8kgv/x6WCeLkO/YAGidLVvQNQS531S
wOLqIhWyg57F7EIGbacJo3YNxnbTdqg5RxMwfkRn7vnft/77MUO6Ah7wEO3AQARC7887V3VWxb1d
NJc2bzdQT1pmWhzEC2GS0WnvxqlfqxmfBlgMc84Lq/8WyHYg6gaKn9FeQK3oQgBZQ7capTkmQjUf
tUVNTi2qCQ3m1L6znH5xQUEBx13iFQPIBStFU3/eaIK7saQKHbAcqvFq2sgPCfjQhbiITtoUDUSK
ehUt6bGzJOLgQKBgiNqezlamE4OCWWWy382ybw26eWnRZ//3a/iVnuPyMLyo4bRHYx+CqzeHPa8y
CWTcWD5PNSyx4nH6Svq69c2yaomaoruPZMACdR2tTCcdEZk7FNF18tQxFc0uPdf9zhall5tI9yrt
jClS4TU5GG8Vv3Opv1YM6KqYHcLIMjYmMvWbK+0hYm2OhVldnAr87blFx8SpagWTq+kfeITc8/z9
dYAunGzInWCBKpiSvjXAcVrRKkVslReopmuglIO3kkUiu7MHjV9xFhNgoNAAt0EjAEzcm+A+GPDn
btWMXWqQ1RjJHfVFU8Zzm8yrpGbl1tTBVounGU1gva42poHrcKRM243CPERy7BzLyIE6ygx6z2gZ
6x7mS/sK3oybFPJlxJyfdTtHa7fh5gEmb+ANzQJWeOofG0ReKYnenTiRVrgMoKUAhdVs3Du1AbQb
XgoUOt5gG8hIVDpdWktpVJ6dvHC51uEFzLMeVJbcngTQ0aiz+9NseRlmic+gFUwQETtaNXwnO3Yn
Pf1dOeGRgYaI+RgcTzicbhjkLYMVhGgzfpm7nFMYMWu0l+vStTKlpPIMyI/xLloLkR4RzB8w/DOQ
TnY+5U7eYYLb00a9f4LMKZ0b4ACN6jQ+BOD0O6nRtwbsjxN0uUxc4iKpubim3Gz8Wi1i4dgFuxiD
xAJt6LWD0pWSBxU0FQIfWE4iKsEmqAqCBjmop52AbUWCBa13JW0ABBzj4iWvsnw9Qysmt6AEkeoi
gKx0u9WleNNFihr+Oxz8OnOxBDEJ4CzHLoYCbsUINVE0UmIM/cLocgINi2KL3hqJZVDXbWcoSWbD
1ex//0wESOjVQBgfJNKbtH9QDTB07b45q7z7M2ftZ55kT1mUrnI7wiGIvpck37NiV24FFBY7OAiC
YAEhx4ES+u2JAN3cRjXh2HAumKsVO1O/WA60icfHooAflCCx8mzkO8whdfU6N8HZATeTETwV1Kgx
VLBqjzHI7WKeZ8qpjJkMZreuhkqtncAriGYSz6BiqO9WB/rvuwkxplLbNAD8MPuj9ocewk2ZHvIC
xoJnddz3YPdUaRhNxy5zrckrUtSaKIQe26ymfXXNlfeh9lq074SxguOjk3yB9pslQAbNIAKinutX
swztp8J0h+JZ0zYDBm0W5TjaHg3bExM6YSD8oE1qeqag31Oh45dUnaExS/LaLcZVau1082A11wj4
nfmkZ7pnpwcMSpLmDDnqvvSrGCLYQGL3U+VONpFeEHXR8GLGKrJ8a6GZ4kd5aYHhChznIEIGSnXn
PP19CjgoQDHADecjFTnaTbzM5Am+jyaUFVtNA3NiBLgZsX0MWm059Omdpfn/MnE/NzE+DjvBwWng
LP/58/RmRp7LrNaHs9D9QT2VJonmQ9vi5ck1NVrPyAAUGM+W/eZUOziZgpR3SbrnRKxb7UXTPxX9
cxwAcVXHuPrMpF0SQZ/M09OnWUAlDL22TSSjB3NV7Os0Cch4PcW9SjvhEIio+QxtMonTLkJHA6SK
HpyRIV1F4jwku1INYvtZOKBIVR9q20CmAvgF3lArGFUww9vVFdbzkxOtp6QhUP1GVWbAuxK4OpCU
se1WfSJ52gCRXzqAQKcPAtDJAFAOwHIKqZse9Aj00pwS8wwcupUTMEkZPqvo/4k8JpL2qRgfTKpI
oRyd5xHFVIO5LwlE/gJoQfxcl3nQ49In4NkN/lTFCNMQwX/SfAQrhsgMcsotTpMUDe7+xXjF6MAA
LL4h/LEHWSmjqn1qqjNPP3Q0j1MI71Tjyk4y4sQPTnxizUtpnmUwZhI4wBLH3NRQiZ4xUASiW87P
ES5Gd1ZOGYjqBfQp0JhHN9PAnsCKFQFs5mzw0oFE1ytbJfNjiTOPRglxHAqcBX00cVW/lMuYuOiA
KzrIXelWxaSCTi1ccOKJ6iSd0BXs37XNmFPg8ywoC6o3HjwmgUTBr6oFXgP2muqWYPLhkJTd1H4f
1EfJ8crYQy8oT9webkypF2sUI/OmCCweQsLaQW0crRlojMOr0wKSXKnWqp583vjDMo03NSCEbPn3
l8fp0DUgoWM+rh2f5GRCP+5FlC8j+rhg4Q6Jaz0OHzO0wpkn7ADDhWjQNuqDk64h21XA8rd7ju0V
rEWt/m3GyrQxvGIj3Vh61SLxUsQxrBN0RZ2gFJ5mu/a4AR8eoRC/in7bSJcUzKh0hZpshINMBuLA
Nhcer/YmiCJF+54u/eSRpO2qUE46Ll6qPnrl1GeXaLxwNBtbaI2OG7tZmTjRy/RaJLsi2mtKoMZB
kq/1OIj4NhVrnq1rsZT32hyCHVnMB6XYmIpb6H5unKfhCYN8Wn8VmZ+vRHmY7GDU/Yo9NClGA8+K
OAo0/qMnFdtjHleG4zn2FkT23AjVInTQIgUNam2iIXlv4P9bwOkmkFhgwaHGg0gg0r1f2WsJ+6tu
6s8zGoAM3NKMd8QqusmfFPnCeTas5tocDnpX66TNY4jeQbU+gupMkMhAUWqhAhdOx0WrFYy5OkX6
a/VaRy0zB48hj9BCIcLpH2xePHTR0r9VSy+zZLAfFiJYAbJWlydjUI8xEJi+kv2+xTGVOXJKjeTJ
6TSFVFZegy0LFROUIGbdUZaZ4HvOZZD2oGb9+9z/XX4iJ8LE4VIHQlsdei0/Y6tUGS1XEim7qJE8
HM2kd2utcFU96sncKziMewyz2PH7KNqWyHJ8T/NcWTKwH+8EF7DMBy6zj0v1veTmfyEMhoDE/GwY
2QXFm76NYSYha5NfdfoXa0Ed7DohMNwDcLiZxoHCUPgDQ+PoOVVY6P9+Fsvb/3UlMNZQ0f5ZzNtv
UtphzhIn431+mTP5JTZmnN0TKq4SqW5gqntoetyzif+dni43b0JEGxR+A+XfTQFe5BosPVQd0GcL
32C7LAbapdYfrXLsY67HGJwQ6spsihx82DbyIr05wFT4QcNhuK7tCYw+M7/GENvB4ODUIAUqeto1
KXHUT2vEoYXp5/HOU/pmdf18TJgygMkL/B3QOZFvU2o2RyydWJ2CBof10StFEvSjrNIhEr2rDKzz
qqyfiRqjXDLB1uVOHh87UCxitBtFkfW+HjtKMMmyCFShE6NuS5pCYdePo9b0jaJ0/o+9M+uNG0nX
9F9p9PXQwyUYJC8n99RmWZbTKt8QsmxzDe77rz8PZVeXMuVWTg1wgDNAA92NanTbkSSDwW95v+fd
us48A6NixBh1U29ro5C7MUd1BfHmacyc+mo01LYfzXPowTlyOb04RjJ5JLZgjOMUp1iPxeDnYko+
mgxVLHq3vh/xn3l7nz3Dj95a5OSp+4GdmGbiI6SpdRodWNltIqMq0NHwH8Jl4s/B+FnKlFJsKqO1
rL2Hsn2fDWmxiR3g54BilwYY38FlPqjvkHzRdVrqSBlWE2xEgli+DAOzSwogFNp9d1eIgLGEQnM2
3oqna23evqTfvMVzMd2kioVVAurxk7e4iDDXtsNJu5MNwiboa9O61DuKA27Q78OCpGV2j2iDK3uY
y7tBUDFW60oEWr17ZoOeQpF4mebOhUQsObcwXtHQGk/4mJXm2l1bplu7sbotPqnRWpvEPrdNhhRM
3I8mVHkiAbZljNZ7L2oIEpiTWAc2QZit6LTEzjkh429/GIYAaAd53S0gFcdHXVb0WZxWlXZXeuO0
bIL+zprKPfFBuuJsY/g3a/7oWn81+DxD6I2XOnWEpTOikuowIMGKM/yYq+Hh7Wf3m0OILJ5Tj6eH
dTYs9+OfVbVAV8agCD6mvpvdTOSz0mq3fur2l1Pm76XvVasicYPlIAZ9Kfh/LWVdyEvbNtaxdjnk
VxZdUqHDTA/qRhEryB+ZF46bcsx0DILyn5vtb3FV/i0t5Yiw8iZ95X8gV4VM+MWze8VV+fgIquQf
u+/p9+zxf/3j/9RP37MaMss/YKz8476K6uYx+8e3x38s2yx8fMlcef5rfzJXNPEOmB69L9IpJEp4
HfA9/gld0UCrAFAh/adaAtvvmcfyi7qiOe+kgIIOW4UBL2hXkjjhF3ZFE/o7HBpsEkKbJgm7+m9Q
V07ikRn3auO3SbWPkGT+Mp6cjdOghkjl4YWOuXe6qR34zekqY54021WZ0alPdPaK/GuQiIEh0lCz
KkJ/oyXMik0nRKf/4gbf/jyUX86VnRxsdHuYK+S94KIZUpnrSMcvB5ZAY+J6zJemYFtR75QtsXsX
F6qyltIa8+hJ62oX+Eduqw65Qj3ZXr0b6snSKIFhjJ5p60FOJjlr5Z1TrZwUUCQNC4/0GwfFGbeE
L+XJrws8lXoEoO0ipxmDWr5QbUnw3zgh9lwEuhoSGzjyTKf6sxCFQ8dO3fI2ztLB20AhnaVQQeDq
Z9Q0J9VB5Akz2QBFGvVsfa4QzEHfi6DOpPOZaTK6qDI7zcf1pLdiuNIwpKJ5XOLjhZVBJc2JRLbF
Qb08cPqJbp8YXuS4S6OLfekurV4bJ1SWHo6UqGXHOr5XRup8JiJNh26VVHGEHrvq7BZtkW+MuGc+
P/v/hnPmPlf86xTcdHQU/dsD63/iMTRP5//vP9/iV8fQfZ7NmMufpKgZBwUKjv/6zHTSwPy/oy48
k2yZD5gPjb/OF8d7hzAS00MmgzFAmQ1h/zxfDPvd/P92sT/CW5UhW4LzP88XU7wDBzeTQzBUB43E
mfDnb/v1Bv+kbv2e63SiFrWR0MymfdST5rYXLKKTJNABnm7jCG5/Gtzcu6LMW++9WGmrLGby0GZr
7cxEz+5FhH/rIk/AIonMHPYYW1RLYhr4+g1weyycq+lMMsateRF88svoP8DVY36e+AWW0cnZp4ZC
D4JIaz75elhRzaeSV8rSuKW1n2wqTZxz+j4Odn+tx+OgJWZBEzhNvcIORck0Bt2noMZgJ+2ZnIIM
aZw7Qo+7Kz+XQQPB6TQ7xzOle3wYhH6RGH4Wdp8KB5l1pnk5wwOhqwHD8Po7bF1AaMRuc6VMaa0a
p+6WWlm1ZxoW8737K+bmRwDVwVYKDQY6WQL7k5MySmJR+56bHzRbG3e1aWoPY8n0kIuvzGfseRuU
Saq9NctcZ44HoeiLN+R335FXN4HmFUklRHPUPISlJ+trwq4nI59L2w1DnH6OmLY1B/fW0hvjJred
btXasXlplfVwEw/ioeV8O/MgXj1uWGvEdzPcmqkdxDbHzyFrEm2q06A5VKbpozenltFUjjyzynwh
xzeaVXh/Cb/xUXyFfxiGuC+NcGgOpbSqvRklKPRDjIiqGFrkmZs6Z+THa2E/xLA3bzHCbwSVx1c0
FV1v4HkxHkajtlfB0MYbsHAGGg3Xu+hMjJIXeREiw260B9kzx5eik9hFWhZ99gPfVEucCc/5gBxX
EeaNhtoHhaXDZ5mMyD6pIgiqN7Fqq/4gLe1LS++fIYBsFw/2BwBvizAqzrXVX99wIiVkIiSsnI/M
SR3fBNPF3UcW6XjIBwyw8R/yVgFISvBfkXNmF79ailiDyIygA7QvndKTHdSU9ljzQe8Oacs0oYoY
GJ2g6jJ0V5s/P77/dqB/rukfPVqWsqBzWqyHmcqp8CQryrgI/b49tFqmNoPjaRd+K6ulX9n2XT5K
fW04lYOpkTo33/+7iyQDJvydpVuIfY7vZ9y0YSGSajgoaog7o2k1QBp5uhH2eM6N4tWBz0XS4GMG
mjBuZrocLzVgRxF5kzkcfOFfOXXygGlbuhicCMZgbX19+215tTHnQJEJOt4TPrXc1OPFnMJ00q7D
Cy4ZCoZTMbDKlkns1LtiVMXVFGnqss3QIf/tVQ2byh19Yr7h0BmOV62mKaFeE+qHKVH+16QHlYGl
69aKTG2ntbVFn02zfry95nzbTvYOkkLuKyVDyG7i5I3gV4iu80r90AVMVnu9nywn/oLd317lGfsr
8MNArfQ82/4ixs26niSr8aeDrENvHdp1s3Ct4Zwb9cn4J+cJpYKZt8vhjQCNyOX4BvogpbvC7uQh
LtxrxYxRETBS1xTQpplcrtaGBdzMXnjxLkwPA5TyWB8BOY5MHxM+DIe3L/o3L8ccKVDmmXEjxHDH
v6a0wgLgvZIHFxVujcx5yoeVCSv37WV+e9WzmpHEZnZ3PZWhjokDZYsm2AGqBoqIHrbgZXTtfuzF
2kLrsDD35ROYs+AbcwT+OQ3s7y7y5eInbwoWDKmnqloeMu9atFeOcxOEZwZ3Xi9BDk2hDTES4BaU
7sf3scNgWE+1uPlsDXq6TSfMYVTidIs4tZO/vU/5EvPiE1eiReefjpfSeiVEmLTeoexlv05M0lg0
/cWZ83oO+U9eOvPZz2TeGUTw4uS7hzFsFVHl9w6u2+UJivC8+R5g0eYv/ZjO5crP6Y8uZD6VUBhS
tS2aJvxRZilNusAYZlPZUog/9FZhwGf4MkxWyA6yb8rOgFNmzexh4ouwpArlJlGzDe3U8RnhTFJY
TlYzXoqi7G5RriFNd5kYQFGH10nfarm+C6KSvVKLmf1nwW774ebUGM4cdK8PHa7fIshk4JMOwnPa
8eI4sI2kpOLdO4esTvN1gZk0PYr6HLr4VRhLD5yzmzwBKd2syTx+mBmA9cp0a+8w+pydiW9AzfCb
3DEvTC+i0lqKsblqe4aiYz+ZKYd1qv6WBGw+kOicPVeB+BmI1k6ylInkvR4iLTjYventcbSsV6ae
JDutz7N1EtJ5fPsseH1jZ5c/Ync85CBXC3l8yVTjS2VUTXLQqyBZOROAJakYWHh7ldc3llX462Ho
I00ETnu8ijkY/hCbdXII+VKjKbEKexOPJZiFvrNvs6CrLoOMaqhVIi8Zg6A4cyD8dv05LUX1M5vG
nlwljEqRTrjFHTxhRzdF0/2hlUxPRDlBjlQ4wvXDAMnCyrUH5EnnGlEnhaT5oXL5CH0ldWm8iU7H
3Ye0d7UwlPEhZTa0By7L57W6dPBVWGM4X9zHYQDPYqQBzKRUtpTllO7K0RBn9tZvnjWtWWBZaP2o
bT03cF+8RDh7CLvQeArM6kzbIWrQP7Z5vX37Wf92FTo8BjEO8z/PvJQXq/RT4JWlw47Ky0at63QY
Lgo9PocK++0qnLceX21vnuU43lFpr5zMdpPkIBvGdfo+LBhBdOoz5+7zSNRxsDPHcobLKNPPUuDx
Mq3fYVDV6fFh1BIXyGdeX2t2xVx1UNv4smL/RPvFXHij8D7nfRlep8pTn/DX0p9m1+5l7vsDfvcA
Np2h++HoLfLEoXeQtGhTNv4wEs3cisGa4J001bhOowSukc9QsN8ZiFvefjK/eQu4GGTf89XM6frx
xZhDQKfCb+ODmujdtA7vOsY5aDg0AxnEaIql5udfFdZ6RTee08Cd1HqfXwLGbUCXETjy1E5Tt1wx
CYaRIuSFtLLX3Dv0O1ph7Cud4aakMOLtaA3Ori9bfVPavY1DtT/eDb4ebYLED/8f3gWgTHO/iAq0
OL0XksqP16ssPnip7uxrHV/QPhTnnNXnO/pq+xAbPK9Die0kVu48Z6iabooOk9snSz8ZAB56gdpH
Sk37KbeHM+/eb27yjFnmFjObQMn5NGymN1axXav64PXdH4UDRyAPTXvRG3LcT4MlH4yme+gEhK8u
7+O90erMw+tdfWlVebJ+e7uddBtmgCadjmfbFncWs85Vx5d16jBSSEDGrDkEmHqWUFya+oJESa0D
rw637Pr6Mzcu28hAILYqwlmEX+pnNv2riuT8K/iW0/ugOkO+e7LrS43nnFhOM5cMXFghZfOZ8DTY
9zpSn15nkE9ljD1gaZptRjtJvzatNd77mvk98+Dbj83daFfemYKZMwdsL3YG34K5lkEVfwaDEW+c
BnR572aoP7sHh6/9VdAW8YOsa0SFPpNrcH8cF9JcXSHQXiAHtK8DNy0fZDmKBkTwBHFoTK30psxa
/0toNDMbyUnta+mEVr3oeqZXoAilEg1z0Bn3SgzIGLUxzN83ckpRb6KJeYCO3A6Lqemz+xIrHSjF
lp3e1n1tfKDchkopQhN/b9aFNTCPWALmqvKg/BJEafgEb0vcpyqPGRSfauRyA2kaYrdiQvNj2n55
1/Va9iVTlXEYXQ9qrt3moEaE5dMuQbsXPpp6M6EsDBPvMh9kds2MSPDUKSvjqwTs5qs1QW7PjdD6
xtwAE9VxosyvVodR69KUAybLXlB+EJMOBROPp4AWc6ETzE7sJeBxVvhUeI4C5dETnFt2OyuKPK+6
1+oclZ+KC29CFDTBm8vDIv5Dz5T/MzX4b+hw/H/XSbV4id5oYbTdY9oe9zD4A//qYXjvYNGRdFPB
5MWfGxW/jCkc+U7H7JB3gv4GdVTi7z9bGDYtUlpduINRruIDNlfH/mxhGPo7XCnmOMDkjxFB/p0O
xrNO4MWbSdACx42Tc8ZdkDyKkySgdkTR2IXdILFDPKiQ4l4OFiI+W7ViF7W1u8/qQW1lUOW3ZmcV
F6Lwi006yum2tobusk2SlLHWbBsEDN24eZlceV5T3hvGkF05GTGfxB1hJ6p6uoyMSYexZdc+hGE4
j3D/qzMhzHEuPKf4xLvgNCmMU57nu3B8COuisiHuW+Ij/tTBKlCZu45d9wkDAW3/4iHf/rxFL7u5
c3Xirxv3a6W5I0kTgIrb6ThJq2ov7ovW/mgqhhvDcHD55ACsyuxCIVwN5XXRFpxDXmpMZw7531wk
K5I3zdZNJhTP44sM3SIfXKX7H+0IQjRs3+Ay9QWCN1uOZ75qr5Zik+FnAE8REzu2ysn9jNk3ndep
8l7rZbMJR/moZKjjuWOc8xO35qzo6IbSq8KMhW1Ioxzx3smXi+68DJQcy/vE0TcqqPfUjTfu1Fxl
pb4uB7XBp2VhW/sMD+ZOfOaE/mDk5jJmptx/BExHbY0hi3oX9s3FqG71CiluJ/ZKUA5JP9pt+GnA
JtJSM1SovgQMcFl1iMlC+HCtaZz54s0/9vhiBDXnOfBEjEgidhKwu8MYy9BMk3sj6UFo6cjSBj8z
F2pkFCQS2rki16vdyMzhDBOmAES3hJ1xvCWKHl5bTJninia63E7+wNisNgAbUX62L4be+5BoDgql
6uwOOU5NeA9Yee6B8uahlqLIfryyE8cDg218OluHklBQZDBUTF+dedtO9U4sQxYHDpiGG+MsujP/
jBd5llEYeawxOH/f+gbD6lqY7AQ9qG2iHMhPbrpi6qRe+AFS4qBCoVX7oVxUAlOtWFUkwW1mrbUR
kWD5+DfPAaBuuO+ii6GCCaP45AAthjJt89gPPkV+kC/9tGnfOwZDLn6B5t1ggGTdGYxEO8gj3l74
JFvjzs8JoSTa4990a6yTPWbgEqeH0q4+NQKRPcJ+elQMNPfZh7IeP1dWdx+n47h0Ak+f46evDR40
vQVqTQkf4Fd7G/aETyjCHnOsU5PW/B4YVrOgVvsVIz/Eg2TNBTn7WVO2k1CZXz5rglx2LAUuatKn
kg4NSaoIqMl+Km3z2p/ktk+LVe56N7WH40ImlnaTLSJNfDZ+UTr+E6X8k2Pzxf55JbT4jIdWVD/L
uzZt02bs8heii/nP/itgkUgk5ooyo1s8nL+ctNBjuO/wuJuFGHMc8WewYljv5riGfjDj3TP0hiPg
X8GKeDePyc5eqNSh0FMZfydaOTkFyKrJBmZjckkNj8rOacIX9E4bRYbefIrbmDC8slR6M2SRoy9t
iofbeSx4EQ9BkKyn0ey+IrACdu/qNZpmSyaf/LIpb9LBUndIfKZtTf545nt5fO4//0BUJaiZUb7R
yjll8WBLKvWKmvGnMoZEBF7jAhyWi2BZleLMkXh88P5aivYJnQ2K/zyv4xOx6Zwe9e/UfBq1ESpk
XwXrQA/jM1zOVwHi/PUHpzH3vnhdXzHhe4YYtIpBgwMpdLs1JNMMimH2AXHDksHFkknatmAes/H5
2KWjezOV2nVSpZdV6EP4MoKMvDuZ1lD87Y/K5Y5rhpes4nFMNo5/lzgMwSaI4HZxQDu7qEN/G7al
jfeFp5+rF8wp+F9f5fmW0QAjsua0xAiY4ujxLRuJDKtR1eHBcbTwm8M34ZZSWr0kyCIvjwqPOSLj
YhDgyFuB+3GXTstgTPSVamwmbiH3pbWqmPW+t0UXr7skiH4+1P+cT/+cE59/n0Rtv5PvRkeH0vwH
fp5JQr4DCEtFBbICNXV6pH/mUMhFMct+oebif/l1LAkLJakNfpzzxyYCm5Xzv04lYbwjoCW1oskk
AFzQ1P0bIjB+ytG2ItwiBiLmIrKav2gMwBxvK0Qa3iycrNaT25TJNh1jPpm9U8hDZNMp2oStr9fL
MugsuZGiGj6ZXeo+8ouHve/m4Nc6Shx41YStAMOMwLO9IF+M08s6sbwH228h5zSN8jhJIi+xt0TA
PQOAU9e9H0ynLmFsmwwdEzO7X5pUIuGsPX2EI+eV/nXmenSTq74JZyeHXMuXNAeBySZ6P1w1jWH5
CxfN6zJwEEO+7zs/3kWd7l01Mh1vAjRMj8KOyx95kc2k6lB/nKaRpgYNuuSP3MtSDN7HtAdfmYb6
TcRA0x9N2TmfvEz10Tak/pHDnA3xj5FjANbT74VTL/pUTcCVA1U/QsUyvoWZMqDJTZH6bDb0Hxf6
GFhUh5pJQUo2utJf4eCJC47BRMqDHcrpMoOvJPcapbZtZKTvTVEBYm57r7owQ6GSraoz7aZKbcYF
vDyOv4VxotHIFmK8qGRBSKR3jSMxPxrrFFg0tbSlbTYgtEWldd2KlnUdLRo/syjjaOhX1nFqWYzN
ZG3BWQHb6DovItxjCq01v4g6MzBYlGn1ATljME/XQZeNG1KzlZ6I1F6UZuO+rxILV7o0cMNpWaoa
mg1njW6uNU1Un63c9r4iGUyYVbQSKjy16o3Hjmp1tQxCqmerZE5tupDvy85nbJYGZBErnGTMrGGu
qRSlu3BUO93K2jQ4r/qxL3ZuLOJ6EThYtm60PjN3HUBJcyX1HmPB3JjcTyrDqY5aeOwESw+kOgbl
jTFGDI5kkbZtBw9EuhCaU16UdcFIa2rruH+VWV4yR5iDVVgiBCnMXVPC3h6Ex6AVqZHbrUMvbADk
RxWsQC+uzI9uDyc9G5qQqcHJpdg9hO4iMjNrRP7MHkOwONbAiOvu05BUE5aHTgxn1/BaJS+mMIvb
ZUxm8JgGo85QCoHCZem2frUepZurpen688CFtB21tlUBEIiCl3vtTLlMlqJ33HFhIu5leDfVJMZX
Tj1Nu7jE3G0hosq2d7k7ex1DtwesGKoETvwojOFLhqvkH4Vm4gkmGjfl/tSiRoPtjR3/nPbjRh8r
72s1NfxNZcuobzgW1fVkZSTJkRHru0Z1+Dj1cc5ra8lhbqHIEPgOKdr4IxmM6A+nnRimhQjQUPqL
YZvsQ7zs7KWnc0LgFlpWPwyKotYyppOdrAxG7OeiNlnJIrW0PKU749ufHZVnydISAxbBjK6U3Ewh
qkOdRemPlBLlF1U3JQ5gVeF/b4oCuDxvYH9jd+YUr9KCLsayrXO8iGhcAFJLvCptmcY2ws8u9uf9
srdKaSydIdSDJS33tl0mkRFM1DhiWE71JGIQZwb+9qRkGeioZN48y8yOa+cCA5/SXIgmFOHSSjqQ
qoWgVL21PW26JV/uQQ7boVIr3W2UjqS7aMECuxr5ZBbWjr6XtdvH2wZwNyZVKcHXJp9ys9+MWsDR
JCkTW7vRSxjip4rNcWgFokrhR1XkE5EoFPYgRa9VkONjp9v45ZDCl+sS8ZDb+L4vXXeIDm6Te99y
X28fsLYV2grT1rrbSt1mhgrj2ObeG0YZgY/vErlri8bM1tYIV2Tja7HTg802goKTR7fiJ37O0O4j
qaJhg8+P+DJ4ArAvF97ehU4ShGtVaF2/q/J2srZBOhnNnahCdoimjba8bYc2avfcRu0xQyGQbPq+
xjjES9Lymx71zZLl/U2spFqVRfRBlOnAIVy2Me4guaPYmarZmQFQENuHTFpNEY+VOI/HZ3uMxdoY
ckpbbaMhF1dTnl3HvcmEsPL3No/eBVrp5uMtda+1F4wAv4x+Yaj2JgmYxOM1VkX3XpT6U83aug1v
y4qNi6Rqt1YbMubq94tQ8gO6pF9ZLiO91KpRRuPX4DFuXzCNGtH2riv7AQegb2OdfRwSi5e02HSG
+WgEt11TXqtkBJg+7qw63NcNJnmBtx47xeuQLQ0odkM0rlUZPlSdq60auyx3TtXft5mP4WEcDTtL
gpLPsrtOaRxtpQ3vxb3OQstcpliq6oDvnfYJi2msXzr0HR6rpTqYygqAQu+7F54Vf7ZHK9w0qY6c
JqbI4AP5ZS63T7Bpm5IUiPR4EU1FciFqS7tA9XvPNIla2KJeQenNd32yM3PFmzpW+ySA2RBm7g6D
UPzAu7ua9LaT3oVnFJw9MfYiw9ep04EJ9c64589/9qvgcx0LChuZ+Jgm0UXnhJduYl0l3QjizJ3w
btTHbVcO9DN0/toiEB/CdHiytThbqy6svWVvGx2FM7pkGRzYTPGiVs1aE+YG0Tav6HQZ4zCSZsZl
b+CPpzLGhm3xvoXVtaw4cRiq2M/TlMXCdcuHSoO6HCffc+kxlZfu2tjc6aN7KOpZCzSFMECVmxwY
x1jqsnhfm9HaiOhnTK665iwCxzioaB0OcQ5/nC5hmAFwy0n3G2MOZNLmKcrNu6pUNK94GZftpEOs
STdlXt53ZvzAcbqkoh7uNRq33ZzvNU3OGRCBMhclyqUNoc/H0skvyzJ9NNPw8wDKBrtsw7h3TNxW
hNkuGGbyyGIYOdXc4bqmLbaKvRASRz586JjOXjA3nazztgRzr2mmuESE++QKhmBzpzOue8MYF83w
IArol14sv7PcKnaTmzCq4OQ3ne1BpvYJ0ZRxHeN1ZIV+uXUJN1ZmoX2bIBUwv7ee0sm/MIuq+FgL
h9DEnJbdMFN5bkUMmS6z7mKdqdzUa3GoMCUYEr0Tf7RVN11NSbBKStRKadkukmz8YIp+o2LIBpkJ
UdPlGVJGuVVZsa2qmyrogj0FpJtsgumkNfsqzTzufPR1isLrCYbuhKzRGoIbTdr7ZpS3ThNjbMdH
ljGCFZPFH00bS4Cwh0gsg3UoHPwvgDbNLMtgwVATtihlY65E7puLJlG7Bl9DU0uuxyq4TBK4zoa6
y9BY1Q5kUE7UQPdu8Upf2h4qA8PAddFPdl7JZvPKbTCuwMtiKvolTACRV/UngoyHCP6+Fz5lhXsl
0g/ReKO1Fds5/9iO1oX0efy4LREEasuI6VALhL8VTP1tGxwojCwdo9r4FVhR75uWN1cjCLy28f1r
mvOXehNvtBQRvTv6lIK/94YFr1YY6zJMACWHeIDwjSlwVTWBZVbtDjOwdZx1+qqblwJw+cXHEFMg
pjS2vgWEDMHLKkikt+n6BK9ovtGe3KS1z8lsTk9JOcIqTOxpZZiiXYwVwYg+Nd8ynI5zBidW8cQY
Up8JAAbqprdr/LWqbJWkHCd19KB6Bjq4NAA0fQI9wC4fCa3Bq+aPg6kVeA7rI5pcSc7+xWl4QPtg
0p1vFuRjo/fLkLSgadx1qOlmTSPT1TPsAttqhPeuki/QA0CxxjJ1Y7wMcYBgVFDH5iGXPUUUv9XQ
FsZ8C+qijYC69rVadlEksBaUSjxVdqweDaGgctPA8Iu1dHxZQUtRalj6TOYTamVZVK0YVDV2tuwA
FnuD5IvYME24oLdUXxauwvaUGVULTFLZfufeJt3elL4TrWTkQ3cYCld+iAOlfqSYEkPr1qGKMFID
kUJ3yz5YDEOQHfTUCbsrbSC8ei/9qLl1kJeHSHQ68bEwA8NFz++JdBUOuGDiUTQU33i1YGMNVVrR
gQAlwFxFBnFqMbhc2KpwGlpkBp+GD31v1jUU/mZ8j9M6/kOoyjwbnrcaeqwlB91lCjeg2d6LmB+o
gACmF3ohBZ9F15wDSy815UWeRNrnfsq1GwKTsbxMRpmsVT063ww615IebwtWiuH76etzcv2fMsM/
mUV5q85wB1riuMzw/Af+rH1K9x30CmqVf7VkfzVrvXfzhCsqbET8VNxscvxfhQbXeEcRDgohhSUd
loGgBvFXoQEJq4EwnyIDMFqkuX+j0PDsm/ZX+YoRW0HFE/UOrWHAecg7jusMvpWHOratE8euLgL4
B3okl0EbV+3DIJoipY4QF0mzyUtEwLc6igN557tuHO9Iv7zxtjKGwkJOS2vZVbQCEtXt6I5gC5Ji
MwKF36/0D0nu5QcUei6cZ4WghTwyiex1HkpffhCh7fsbBiW0EBZRlrmVILzX8qHe1AkUQTg5McMx
67I02zsKFDqZjqnpt3Ah6ydPbzQw/ZoX89UbDL52JMmkCnmEHTvyBowrfNHaD0ZrzVq9GOnQSu8F
3BqmDNJru/f5HCdRhBykFw2hRNZmcH1l5IT1Jo7s5E5DeoOpRtwV6UY3O0PudeQjqdjIeuRWpZpX
8mVsvCogj32xjW5/PoWX7eDjRunPZ0NJce5S8aChxB0/m1LLOpN75sSMkQRxhYylqtCmTIV3qRKj
ilZvL3cispzXm4V69Ouf/4Wy/Xg9P0KSJ4xGxIuY40GAIAuYwWLsUPRfdVMRBUxNVIaXeZaP6dPk
1cZ9V/T1w9jXbIExqodzzOvjKhi/iLN2VrvSkuIfpHXyi+pAm+IgyIi961hncEhoubnCGV4zAfVb
/QQJqQ+xy0q9mjiozAYsB5QTnPsZ5tz2evmWuDQJeVEEkEfEf7yax3dGyqydtNSncBDC7wIgESEX
f59kCU4USdj0+kb4mo/FG/Dj5HIIpPVdN9JyZQyaKWFCFeb0aAUdumi2PH2qLTWZsMwWidsWEwez
5Tt3orH68GPvT6P/ZHdDDUNcp3hkZ8u3HzNHx8m18KJTqJwHNyhWPjfSXnQ99dgNxwh9BoArsP5f
JoRnai1DC6bs2wsd9y0EQ99MhXDPmFFykPg/b7cXC9mZ5bM7fCpsoTM0EscaNzWuhRrwickYo4co
ZiuyqbdXPX1pWJVXBs8joH0zEniWBLxYVbk9sEQZUjZxZ1h8mADTsGTuYx7jVbu313p1hfCIaFLx
uoAImhumx2sFiM9TM0npB/kyHQrIJaAjd82Yde4FqFTbvGxadNHemXPhuOXAjUW8Q9MaQxmQRAKm
wfGy6GldS9WBJPAJJrkcjDq5VX5M2J55fn0wxqreNEoWlMb/VT3/vziO5mWlRIJNSZphjdOu/GSq
fsxNYbOsPk3l0rD74bp13aJdRIw5Pr292vxKHb1ylGSRAFCjZ1m+dycXifzZ7KbJiQNsUZN2V1WF
s/Vby9pqfurd1gyQwpO1JhyAhuHMFjKf1ezHi8M8ps5vOIjdaQWcLO77SWlGpcX+qf2hyIJl4lGO
vasrsp3HFEBr7TG/xO/euvYEvTFMAtpTC6PTUlAMSYHLvL8QdSPxc88TBBK3zhB32fXYWXgs6Vmb
mu/LQZME3CmapRj3inbKpw99Xg/51ucBqw/5lJFcyN4YqeNDgC7Hu6LRJeQiX2ryw+R30fTDisrC
7nd6LZOZwtI7+vSpjDqt+440fgpwdOk78tJ4dOPkWvSRKW4iSj/lB5SZclgGZpBjs9SnVuBcJjoo
FzhJRu/iFtgDRsDHNhdqPWDWWI2bYIrMqV22RhZhVUXKI7u9JwIlMK+PHS/9FE4ple1wCCZjILIN
MZ6IrWmY8M80o3QVdHaGB3lSBJJE3mlDzd0XadpDRg90K7yh5JLFGIznSuz4OwJv2oTakPvdMmHl
+GuahY1/Zc4lOACVhsfRUetSc/Ob0IndWO3ZuQ6GcsVgD96qmTqI3JDtNA37rtYxfXudlqYarFuM
U5CB/sgsmfXVrixUqkWr3MILyWT8W5Shs2wtfySCD8YOI7ggUpr73dOUB+2v6hPqq9IuHHKCPHSK
r5qN7fESVj/gzchCxtmsPaPX6u9ENk6zcsYpjL97XppmF5rlE5NQMIlLkzQiKyQmGMEUwqU19IHp
J9HECYayfd3mSzN2s/SzMCdSo0oaeX9htlJ5uz7oFQWLgCGMfZh1mnZDdhbw9dGg2tQfycHH7JbY
pfiBRvO/SDuv3biVtF1fEQGymE87qhWcLck+IexlmzkW89Xvp7wGGDVbuwn9MwMYczBQdRUrfOEN
nv8pbLQBu5quggP0TFkgjHjTqT7hxJaOk/5AVBgLxDt937zrx0mWB7MTE5X81IntW69F5hsPNQCi
41dq0ONN6LtBeqggNvO7jDTD96LKExx/I7dovsR6jt9jCSaWtDnTws6Zf3qFBnsFm1tgLVDIvNJK
j4MhzaK9l7WIDOdYFTRcqEQOaTRDkAqR7pm1FolvxB/nu8HxevM4yjzNTkPFuzLi8dTGnRfeeqFm
u/XeTXwr+eK6Zt49UtWfp25bN4kenUZTahFb1zPy8ZAKM6tQztN1RK02rU3tmd5QZ+m3ZR/2Tr7p
EdScqY2PmV1imIawgmtuuqF1yL0tLR/QW52s5ARIsdK2qtpNbX/UUl188JyJlSX9q2frp2hCA+dN
p46qvRUALt7lYZPCgUptAlJ9wHP++ygAwh1salDdu0rQCrufJ8+YHpy8o2xNfUvr620qhhpAf6D3
4/1UukZ09AbXCB8M2wvjRzeLw7R76JO88iSGbVHZTls2hzWeqlhvA+9n1lBl+0qimmKNMTdJNk48
xkMLK8sbAz/6Knsrjm8cS1ZDd5sDQ3BOfeqmZnjwxqJtxPtmyjSqTnreuuXHkoK21HaZNLkpKPAY
VvZtIm9tnzot97BBnDVDf8zdTu/uXD3HM1drzDZ40IKIQvQ4WNY/UwvMeu1BVNfxf69rMihgIly2
5C+ATokTF+FZUNhRqnnIy9YTDRX6FfIk87LejS5g+Gp0+5UH4nI8xaSDmqM8LRRV4PwBThQzvOsn
/5AGQ3RTRKW8KV3MITyTS3qezTUc4/lbqOYnVEiuZP/YcPBaz8fTAqfv28Hzcc3DWp3dOB7GqJ9p
HQXy3us8A7fZwNtpjrnGGlzkBH+HhvIAjFJwedKVXryEXUlckYmZBK2LZHSbclWM22nMgjtdj+on
3cF1PANwjOFN09jYLudDfkjqBO8NpyyMFeTIRexKUOnpxK+eAxMMmNr5QhihqcV0bII/Eb3c26Qz
xMlWbPTrocf55yW+cvnbNsAAIKMu7f7FKIHWoVI3Zs2flAe32gyVpkuU7ogrEcb0muLg4xK/6qB0
tofVoAIUArIzfGKVhy2+sRNQLCqpBv2pOWU9PpRFkR4boSfjgRx9QH0oTjEZQ8V1Jj8NpvbkBVCp
n986dUS2TUS0lNsNvPjFrxhtpw48M1KBT0Qz1DxWY4hSPxbFoGweavJDvD1RTzLrlSO13OIOSniG
g8onug0K9KW+/IuwHf+ISQgYtjdmHyO8GkTwLY6e6IxPBbdjdCwxt95QLO2VGxnK9TfX532eNaht
ruOtwX8gdoHrcMzz4TUROh3ERvcw4S5wk5mivg3FEL0LCgKlle31ylgUdgCeqjoOQJHFGmeinc2E
NPVAjO3fo0qNpIJtpx8qJxn3b50WYGG1ndjLSld2sapZp/dQX2oNZlboRmjyAgAJS422sI48/4qq
lvrd57cwmZ4JcpWilZJXWmReE/ZLGBeF4VEmjXdKmpR+gIWXqag6fDi9Qnc24G3NlSvhlVHBKJOW
YBRiCPKT8y8XepLg17Q07ICy9mMpxHByHLh3As3Pzyh5pVtD62FxXV/YBdyUDQOQEdtr8Ic47wkE
Xs6H9UAymNgYoObszql+zJN+ILAXE1YzNCYcOkahFoRbY6YVu8+yKi+3ctLdYePrTRKu+VBcbClK
I0Dp+E20NnmVFlsq7PogpBKMyXliaMO26rIme+y7GveNqY7bty7534uKhNcCm82XVmf5xVlNGvhS
opO0n7ymbw4xQERa3cawtaY033luLn91Tuz9R+/s/yu5cn4ts+QA+JX4FqIZ1Hp4fc+Htfq6HKM6
kMchHVFDNsXwSS/kAE6x67QNtRt8hK9/5fPy098RlfgUhRKSbS7DxY7WU0MzO8K/YzgYe9Hk4fuC
nvyxEG31xKZ+FlZSfMrbcLwPCec+Xh98eSPyGSl6cZwoyXE5LRVmxsrSs9oJ2uNUknSmGTy2NC7l
l8zCVGUoAAgMWoWDdpKOK993QfhT8xZAf8m7USNSCbjabi8+cBAWWhj1Y3/su3A+xh42v/6Y+/80
c4/QWGwhZD606ZYec7zP+m64ccBNHVMAcjs3xjxUdKCdukAAg7y+Jhf7nG2ERhWfEt0drprFPi8r
h8ehbaajVo8op9hdddTk/KPP0Zi9PtLF6jMSoE64thTvYVsszrcd1znE7nk6ZjHC2mMhdNBCEnON
xNa+tVok73FDdDaaG7ZrfnOvTdIBkkxpnsHp652vfmmFRWPN/nSkqkaMZ/cgnsws/OGztr+uz3Ip
hIhknXLJgQ+mqBZgWBdf2tKQSqD1ZhxZAbmngUa7q23KI8zK9FRnjtyWggaV8Orw3ehPxrGVibP1
9Eb/XM2Tc5iz+snKRbUNSdSAvBk5CIs0+o264tqtc/5FiLYhPhOCQvhUtn8Uos+Xpc3zmoG8ZGfH
EHhvM2205u+aloE+7MIgfe9WrvyU0/0rgTjRaH7ThuCqh9Fm2XCk1HOKdNZipdLBG/vMtefDQL/+
VGhV8dGu+x+pEfVHKgjZVkaDf1tocXu4/o3OH7j/DOwS7KJSBKH8QrgDTF/qAI/CI9sofmVaOuS7
yG30cZubbgWwz3L6x5h20dfr455ft2pclVApqjnUGLbGAoFqiLQM3WbSD13siSNFd7ErylEcswgD
A18O2en/MB7fmINNckXV7/z7VpM5UuyhlG4Hrrxz4Xs/aAldnGZOfkbGqK9cr69NT6gquI8AKG/n
4irRzAogmlfroGdL/31hN2RtwM9suvVlRdkNyt9KzPDqiJRrUX1Gf4Z77HyCZWv6MQQb/TBYsGZA
JYjjRNlwbwZ9sslHq1yR7FA78r/x2L8fkO9mKAAx1/iyTJxZKL+OlWBBLQBsYYSvALTmcdc7k/d/
GAp8C4QB3iqsaheHQ0nudJYI5sOMkOJeTpNmb0oIhfs0GAPtTY/Av/PidoTqoxQ3Ibuer2NrDOFk
ebFxSIbRvpd25N07dYPDCNW6T9f35OUS8gCqo0dcy0PoLvZkPjjOPCS2foCx6O79yE83OtTsr6ms
17RyL485UEiltQSXnRRsGWu0PvDSxHD0Q4p49d62OmvXhAnSkxiaHXQ7Ats04OH19vmRUasvxydC
0vN8KTsnGvTea/UDikOuDzTZKr+M1mBmJ+KifO1hW97gbEYUBBBwUU0hLqTFkRN+l/ZRH4tD7Gpd
/d4o3XraxEXrwXgfG2nWuywSARYgFm4BX+BujLj/Xp/wK6vMPU5Fk/kqncnFhBG2R7S3x9xMzJqk
PQeEpKiQra8pBOBGB3jbmpPsTYmR2rBIoPxtuZm8XbB4zlfZnbNc2AOD1o6LWj7h+ynktbubYhdA
kDnZu7ybmjcfSUoKHHwKVLyaMBbOB2VxO4xmcaWLE+e517PhYEyKBZd78v3b11QFSmxf+iWITJ2P
pMl47MAL439nEoyLIutO5E3EiFk6H3tNIaew8dhdH/SVkwmJ2EMdx4O4TvZ+PmgMfiCxZ2nyOk3R
rnXAanf1nN5IBcO8PtTlvc0n02kowP3gvVjumdikkKs5E27yeS62UayZ7wY3Hu6DUYs+ZQJU3/Xx
XpkaO5S4z3UVNmQp85I7Za8NCeOJEmCsMbfjByvKf6X12N5cH0kt0vkLQayviGVMTpmqLRexroY0
7ab5gOBi+6x3BbA9PSuSlZf9chgqD1Tt6KQhnO4uZTl9bBgBm2GgIfXImuiaUGLailKYT9enc3m/
UFcBUUOQRBGJt+F8T3hA3zWQrcZBzzCpwKvGP8yUgX/pEUDtPkCMkPpWf0iA7a48SZdbREF1YCIK
ms4UkRaJome1cR7Oo3EgLzH26BZrh6I2/0xVND5EmbNWK3xtOEqTdCjxDURlYXGhFCQOBoxkMkAQ
FDtOeZXtByWqJPywO9Xx5Mrd9aVdjqjK6xZysVR1KNEREZ4vbYC7e8kMWyWPjIOYb/zuhHs7Omjc
04ceVpZzeQIYjXedyhioF3BRS5mtwsh7v9R91GK1Xj/VBIVHLS+DbJMDISzeGJb9HYxQF/ljvCXY
oedTs8lVy6hlsKoT0VFA44FZ2dW3cx9iAl2VzsqhOy8qqNIyk+NiVogwysxLTR8v1unv9la7H43W
Rnmgmj52fhbYu6nDy57xJPTlJjgJ6djP/K/6jdeLGh9+G5btVK70i70qU2InpCtwegqzcUtBNTlM
NHix72zmlV1z8R3BYKBPosAfADLAZZwv7ej3AQAIs9oP0pm+9UlWRR+qupPJLcTI9MP1LfraYLhD
8uJRAuMoLk6/CWTNNGKLOKkqkrvAS4u9X9IibX1ZvX1e1BtVLcJmc3rLT4iYSWfVjlXtZyOqG5C4
YQ9WPiiVIPtQF9/fPDFlCU/IBJoG6YzF5ZJ2TgASjLMX0lM/kCZ5j2ntJ7s2AsB/fahleERVhecA
9Az7gmx7iQZEbRd1p8AFexq07a0jHTCywtoruV7kzcxkW1XzmuvZX9+ql68Qg1K5JPClxMZ2Wd4t
sWfSoc5KuXcrv/ig2WwTiB5NezMPNHiRcjPuXNEFByBwerClVjft49GK6000a/lHUNV0+7ISKuKb
1wIlFCrnSo8YAN5iP41+2haGSzMfV+7iUIyzn21rC7eIEIDOjYMCxKHBtmjNWvziE/DnUF4lPjZV
3rbUfmgTKzSBiiB70dsTYD9QhVYDiQrQ1nzS24aqg9GuPNAXR0eNqXCGfAlSAX15u4ejNkZpOeyt
KUv/xGbnHyQBw6msdPnWzayGguyPqIXqoC5DDjNBxMqe4mE/WLa2yXJFP+uz+lRMbroSly7DDjYT
gRv1W/Te0dRZNgvjea4hmiMgIi3Nepe4TbXV9WB465FRo9AsdGiTUn9fwunibEZyzXaHPYKnwXEU
KYTF2M0O5AGkpCDU7ppWzIc37k01qOp5cEaBKCnk8MsCrWm3nVlX4bgXtTB3vj3XmxrYzseoioMN
8jAwA7queOutp+5xhatT81SO4OeDxojvGUbSMSiE6p2O8Ok77qFpb4i8fvv8aOdwJ3AI6PIuAxwM
sNqi8yjqDmIyfyGGjndmgggkMP24/VJa+ngMSFB/Xl/VV47BX0AkyDNVaLvoQUbYWpiNMexju/9j
dqWBUm3hUWazppXi0+sjgY+EWkpx5C/e9EWB3coLCty2yYGL9fBmdjSuFl/C8KGTvnKNLYNiTgGT
+u9Qi/DGDSItsIpp2HteWt0nkHZx7oQTsXVSswUYFkQftD5MtlpTDiuRzgJGR6ijxgakDkaSqj3b
5nzHNIkXu1U3D/sWUwnFNBpOPppeHzJ3HIEX52lfbopYIpjvOFAaHOzGP+h9ML7X0e27q4X2KDIZ
3vQxCvAQPmiFk9Pq2soKvXJP0HPnveMhR+t++dkDskjfoty4h3vxxyiyCVKY661cE+q1OHvkWAqe
VTAcIDfJzBeh0OxkMK19vrjs3fS24hY+eE1g3nt9ZO6NcTJWag4XUaYaD0F272+SYC61jcBW4QkO
P3cva1h5sqW1bXZWfKAFYOyUNTq0vhEf4AHkf1aNa7Kdr7xiDE8aS0Sm1BLUmr/Y4B0WhV0Qg2ir
nTF7MGqj14/SgRjnls3s4RaZde9bu7Wth+tH+NVlJsMEQ6H6Zkvoxmxkw9jr7Di0Hbsdqa13J6EB
7Zw8gyCUemtdgVe2OJppKA6p5xqR0qUQfC+BNs6O0e8ruIEYfkkn+U3J0/4CLWJsN33WWAd83J1f
fTL0u6qJw3qn6Vb9u5yMFMfSqMIPukfiad/rY1xuAEqXu9AbvR/XF+byxmEzkCzqXJZU+pa5sSz7
nKJ0D4eqJzGt5rQy9mSMJUaN1FmClVj88jOoeIImIhUhJKuXbjYcNtOpwLntzRSWK/iV+RtEDS6Z
oI2YrWa8+T4lqKBZiakJR5i4/Hy7GVU24+mJPgCdPIGYCiW58XfWzrO29fhC5duHQ7GDPJ8aNNpo
5uL5bS266p2edHuYyulxpsP2pIfgrQMRJsn2+oe7vJ3wMKewQL7IBNll51MDRDd5eIdNyAF28rfo
8TLPcB9YKZ1cBuGELi+HWaygtIZmcOJ52kM0tXfSbaNno9GTmuRGiD+1KV3twTBLA1iz1ndPIETN
XQEGd1+m0jzqVlx8rmMZrGkeX2xb4hzEJNVaUxanNHo+e7h4YNqIEg5GICMkc8gKygiZ/ImEc399
oS/2LOV9D5QdoT5PFqHV+VAh8vhI0jf2oYz77gPYMmsf5sC/9Kkuagip3bjyPL4yoKEjIERG5+NI
tmyaREPatRGa8gdP2sW9zsd/ND24PZ4f2Q9R52rjykN38SYQvymLBaJuWhqs7PkMSeCytpgScUAS
unwv4tD5pJup+Se0YKNscvChFOd02ii3Yefr+Y2MtbWk6iIaUaMrsTYaUqqRu9hmhHq+maW9OIRF
VH8raGa+Q9S4e9ZlW07bdExgkncwXZtE1Ctb/HIrsZYwRP8y7jhIiyTHjYbOCpxJHGitKG4TPoh7
lIK7U5ijPb6ymS7eP+aJkReWNpQ/aIst9m1loiVszZU4wL4udli1aZ9Y0T85ejU7G3rdTTYYbz8r
dA64b1Eh4s0FtLn4vH6vkTGwtrY9pA/ppMlhV2fShf02iylZkf9+ZTMBB8Vh5m8H9aIAP5q+ZltD
ax5IYuOdJabxbq49JPcMs/psVkNz0MM0e+ghsKGAIMrf10/rxbXIRgGTChWL3gZBm/raLwKMMJmD
uasy4zA7aY71khucZh9/qeujLGBeLCMhBJuVz0i/CGDb4lLQSXXypujRuRn14Kkei+EkYyt4lnmG
YXHbBVoGAUxm0T6b7bHalkjEfaf67Forv+SV+SIJqWSpuAjJGRY/xAabICt6ZIcxDe3HGtTZqc9k
vZIyX15JCnDE7QCFhVhh+W47zei1BXnZIWviP5aAZLTRfb4syPH8PvBAyF9f31dmxRtKukg9kmh1
eUzM1Al7chPrQLDwT4QJ8M7WvLX+jdoKZ6E3H46QwKeIxktMH/d8q0iNF2NupXWwJjvExqWsNiRg
8sYXbXq8Pp+L9aPQADOXuQB1JB5U18KLXdkWDYkdfMVDPIDZRkMLiJCDdMIHQ5YfgyTtd9fHu5ga
47EpMV0xeUZoFi3Gc0XcunNL32GMgq86+Lgd8H9kO62mQYTr+mAXdxqD4QGGxqaqrgLDPh9Mc3Or
lEliHCZRTJ9h/MuveTYDTzbn6JbkjIZ8Oc8r4c8rg6oSMvLLxHdYQC8u0rzTGhgNzBCQZ3Vf9b5+
55SufeR6dfZ4dk+ItECNfdNMEV1FfocYwOIfGn/LpwIWUdpUWiSezM/hjftJ/zyd/LflZxdDLOZV
hrZdiSwRT8LdRveG0pbfOf+EX9qv4tP1ySye3IuRxPlnq0cRuWBOxZPxPr1FccXeE13cemsq2YsP
dTHM4vURiPaW5cCaIQ+3S3b65+FkrGQVa0MsNmAMQxuWLeQzZ4ts1o5sa68dri/WX6Tsi8viYhrq
xL04wbEI6PfWTKP+Ub+rjwf69emm+4pCkPMr1jbxs38Kd9qprTf2mrnI3718bWx1u7wYO4+1Om3h
6D0l4bGxbtD2UJrTEqU9zb41BK1Z+53t7UPzZJjaRrMp+uknTb+b5YHfvBvsved8yRKcpNyVA7G4
Zy5WRX2ZF79Ml1oId4g9FLk/8+GjLJCM+Xx95RfxxL9DUFUkhKEQTQn8fAgRdWKIES58CtLNl/zW
+O5/R2z9UK4E3a/uoRfDLE5DOSWxH6UMU/5Jb8p/pmftNB2vz2RtiMVJ0JyqNfOcLdTtw73aptNm
rQG1NsTiJLQmGoUzYJmn7ra6D29xmzutQYMWzB+qyuoSfLFSi5PQRFblYs2t7o3C3/T3+bSZ6k3z
s2o2nblNf+k//7dlW+x+iaS01ubs/vLPfKc9mrfFce3jL4DNl3NS6/piH7ugNSstYU7B9+peHMvv
zocB541bUOztY/TVmjftc7RSklr7Vup+fjFmm5ZjE8WMiW629uRQ/qm2/hfn6/+2eosgp6jCrPYz
Vm/Yjzf/bjrzdH2IRXDznw1B2kbrRpmdLfY1GiJzLstUPLnNbal99jBEGOaNOXz734ZZ7G29DIMs
mRmmQszQPiZUSyvE9o7XR7nY3kQVSmJekSaYGXrHi8/iNh2iPPr8zZdeVGwMQEwfA09M/VHDK8k6
IHKRRgcXM78bdIMytJLKsP0Tp41lbBEH9H9c/z3LxaWhA68exQtDqOtvWeaZhrExkzYwvnk4BiKk
OhbvG63SdraoYaC687gSf6hVfPnWMB6ATfIJVfX2vb+q2C925Tyjp4EAY/Q9tHPf2gRJDJ3aDdxp
5VpfvhyUoZGy5R6hGAzEaNnc7cYgCROgod96CYg82gJJ6PTbrtRg5G7dqpRr8IbLhUTBHs0JEwID
1IVlwJiFkRuHTVZ9N+scqcxIFPrW09CjAbvdbqqkrdb0uZcHnByQJ4tsH3gMSemyGdcin6nPOP38
kEKL7+YoRRtK04MH25+997D6y3tcJv0VeN/F9yNpoozLouKSgEXJ4jDmZqaP2tyEPwJYZFhZOOWR
2uOay/HF10N4mCCYFVVuJJTzzw+JVnnuEOVG8aPRar+C99mXn/3GDq3jjG/n4foRuJySqvMB6SO3
QFZjWevzKiVMnov8R4Xcyn2DIM7HorbXFm4ZZ7BYShpECd3QIwAvtphS4KepBV3laxyV/aFCne6h
d2MDqfD8cfB65wbJGQtzOc3ot3PXDytlk2VFATSBaohRVqByoVLSxUVt61laa1Hofa0jnoVNmcIo
/eGOemc9FGXUORvDa+K4wRTKiIsvTVcUQmlNhKn2O834v60s+oIBAlxTybRQXabjhKEQzi/n68Fz
GLhNZoWPraahgI/FmnSLo921ffgxn0PXpX+NcN2ODl8jtyFYCPQhLXbf58ZEGuo3FJJuCrZ0mOCn
bpzor6aBn0lH3uLgbldo/uKYlm+pfA3FzWQB0FvT67g48kQqlOFBnvIPhYvFLq0zv5xQlLK+Tr2D
GILtxdNdP4ngqUH2rT80vUBXeCUivjj01GEof2E0DOWcNHExJvp6XkQ9xPtaGSwarRAkr1GHv8W7
3TxhP1E/WMCbT9dPyOXe5czj0sRsSUzpoZx/q0AMqMdXMvgKFdsOKZJaMtvHVIXsm7lrPfeYDaYx
4Y3XI8DnjQKdWzFgRr69/jOWGSV4ZhiAAHbwWQcTuySwgl0LNMQOtK/OHMr5XYcJSLMbGjL0U9TW
fr2bm6EuaTjbFYlgkgdr1JSLa0lBf8GPK6ASVfsls0FPKri61BQx7QZKshV1Mo4Hu1b6TEWH48/K
GbkYjrVWtGzwiLA3MGQ5X3YvbJChMd30kS5T5m56iVj6RsP/DKkX1v3LG1cX/BrcayIs1ZEGKX8+
GuTGJrSjTvsKfnX6mHVmhzSxWRyrNBw23ux0uylLxp0FRWtlT1/eTUCpufH//S+Is8WmHgvIDY2V
NY9m1CB0nvv+PZ4E/rty6uwtk7bu0HcTHw2Mjt9ZRvRHGG2+EpddnCteNJTEMXykkE3dRz0SL+IS
WBCppYU10TiPDbSY2Ez3lRjSXwNKWLdWHX6LaRTt37bkQCIBt1K1Iw5SLg6LD0wdW0UUnf3YVGXx
QYZd+XHIB6v/OCF9/mcQbusgvjrXybsgmoM1mbflcQLp4ShaK+Oz9KD1z6dcOFWd9t4wPlLY8u6D
LC66n7ISwM1iQI36ptQFbmmT1Q5HdNdk8tavzvi87MSeilPL47RY8gCcK7TKeHrEtwKx3igR3m2B
Mll6a/bolG3KFtX+Qorqc1JL57bop/inWQajvXK7La9x9TsUG5EyL+VTduL5Omi2gVxyV+uPtWwD
RGB0p2qOiItkDRjOEKAd5tvV2wrerkn5VFDdZ1h4PheUlG7M9QbZ4urRT0Jv11q9/36ufQScU23X
Bxy96xttubsZjiY1ZpUkHdCnrcVGS+12FpI6/mMyx9T9+nZ4mGU8HzTfD8WmZqPTTYA+fX1U9QFf
xvqwtAFigO2Dwaj4UotjHaa2WbmEUo8m0qMmKqI2GtTWZK69ia+No1QrwRUjK0dR+vwDIlyDtWTs
m9yTvRbfzjRH3C2ygc0ak255ITMhzOK5iwEXcE8uuZiynegiZp3xGKajROw3KPeDN4lNpAdrZIzL
w8lQRPUevUp6pktalo8nkBXIxHhEzq68N+fGvesGvK5Smy2qp7qC4Zbzz6z385W9cnkcQOIqBvJf
4RVoU+eraUjfzWQn9MdQhu4By19Xv0UQ1/M2NeHrF7PL2xVs5isjYnDIKWCLEhAue2pDWuip7PXw
0Y1SeQgctz34RuHvvSnSN65bzys884vTIMBhsE0UEh4/yyWwOSz0Pp9QVnxMSpEdm4myUjHMETIK
UtKV1Z19VXbPbzwL4AmhapA08Zxjpb7oAuNHUkRIuMyPaJJq79PMtA6mnNYwzRcnQY0CW8hGJgKs
/xJtE+CNgZNBOz/6xtjupjpDdCqNxpULkz+6PNkUCjgLQLXpal8C7O2+mLHIs+KvgdZo7V3QTFq1
AzFRpz9HBzyGjjKdbpT2xux6IOMI6iNT9jw3vZ0jZ69NRvILz3Q53ThYd4Rb7tooD5D5HmHuZ1ou
/J+0QlzUiv0RJ4pn008CVKm0yBkaf2NhJ6Ap5iokya05D0H+XpplhwdAMSJ9d2yqqKPQlUBFMLbD
1ER2ulNuWdO4HV0XR8uwCnK72FSzSeX3KIEci2iLwYlJn9Hx4tY5TXNXRyjVlzba9lsUGPq53JqZ
VfX2TZfhPOPukCSsDWeDmqaTulQmu9hGB89s8nu8NP3xXUafrhmgdCRjjVB4Lb30DpmdqHyOE1GW
n4vajeLk5KXonhbbwdGDON9MxTiF0aYyRKAhX9k1eY2qgagyexuAgunJc7TWiZH0xyHgRGXDSJ7m
RDRlgUAoTnSIbQ1V5HRkShRIbnLdnub3rQza5khW56V/oMqhnrC1wrrX3gf21FH2bGSDPjbS0vE/
QewUxT7OGkFi6lezy18a+Ya3Ay9IcCD5dpI/5dimGH1HGSradg2R49Gc/abemLAcc0DI5YxIbmhF
LZp5GYIGG2lWXRpi7hEV7d5KWgPJLtdKu+xdawQZOtpjl05AE1L4mTdhaLb9J7T2wvxbDPBX3/uj
n9kf8GNo/W+6TqFl3BpJbtQzYn6JZTZskqIMT4bQyt9ZVSMwWtZijPdBZg72wcZqxD76fqHpu0nI
UX7GOUMWx4lQNzpW1OWVP0mVAZKDX5Hs+iIK5Q6zjtDaotKbDXddaDbWUfcrf9g2tdmWOyvoq+Y2
4dX1Pqee1nnPUzD5zQykHNzNfoRVEG5j/NrsI7bY2NqEACb7A/EYovW2J5GyymY0TDYTfzve9Wjw
YQTqxwlaxRsrKrFM2Ahn8NKGzZ7q8b6voQJWGz/w2+mDhrTgfEtHKmzxOOpE/K0X0rKP2Dy47de5
z0xMW+HY4PyQpcP8I0S2H+futuowICp1iVU2av6+1L9EVp04G1BzkePtLbdC8KFsSwtshTO6+YPW
9PglbeH5A2DaINIr9WJjZZMuzI0HqDNAHiKQzRd+gjecRrLWDA8aWqX7zjLH/FPZanP1uybNT08Y
IFj2B5Tmalvfxp6NauQgoDNuBNuv3AzI1+H8VqWuPRVbPTMa+W1KiIrzHZ/OjFHNm92yeldZkdtO
mywO+uB7zU/CflyzJgxjUIezYv8nNJhg/GH14xhgDGKG7XTAOFfHuyAN8vAkDYAhzras2qRFhtLW
C+OLl0eJvaf/nBAGIc2fzPamce2Ol9XAX9y46fuwKX4Vll3GLVa/CeuB6C8Z0a/Z6Lx4X0T4Uv68
/l5cvIkw6ARyKCB2SXkvpNeYTBLHZqbhQyex8DH13ELJv2nGByeLuXD0oopXnsVldINEAMx2rm1y
QHg/y3LGhMbgUDda/i2J3LrdBaHwm0Onxeb4jzMCKPtzfYbLCAfZLbA0DAYHB+GXv0nhi4yrSEBN
+E3aMNzgY44RVE30Ox0xLLpLm547R6SY22CmMQOiOEbCHo1v13/BxYTRlKU3g1wvryZgcfXKvfgF
oDqriosne6oQ0H3yIzP6Neqe/CisehUD98pYkOspapLpKKkv9b1fjGVKkOhT6yZPXZa4N2Vlj2JH
XbrtcWeqcfu6PrOLtVVQW657UnqF0NEXEbGwJs0ZuXSfjAHfgy3qvP6nIbLbD9hj5UcTv5FvhLmp
QC01K5+uj33R4QDrQiEBeJTCoJFyLKYaQ7Bpsblqn6ZoCL6gLkb54iDDEQ4XRqiF1e2zMEOkC6tH
8U/ZTOGItFtU5Z27FbM1Gh97N9DGlbr1wm7TJdFySQ1YDkWsgpi+WBKZ4+5Uho3+GA9pb2LnZhd6
UGwLj8jkA3fWOGaHdqLEQEEnmd0aMxTcyZ7DAiOqbS0BPaGkFehZzHLWhRfeUBAsHGCDKPGg9FwN
evbW80hOTFUfn0DTBki/hHj7WonYIEbLz6M0SueYu3UqbobKJxIiQorWMo6LKgyxKewvhLUUwYcy
iNpUL7YoCus5FF5bf84RYTffUX4X4w7KtKwO8VjnRr4ZIMzlRyG0NjE2LldQ+CGsUDM9NLabOMfr
++hiD1tIi7nQjbFJpvi4LE+MtS7C1nLjZykDd29k6bhB2L8/2okhd2KO8L2a7VrJoBYrPaqLs6qM
FIG9wq8i9GXxzxeCj6/FOHdEz6RlxJvAjKLgrgp8a9z08JXzN9YCICASRvMPHxro2zI5z9tBYg04
Vs/u7KYnELQx/mC+9imO8IlyOpG9Ec7CeIpDynXPNUTZY3ESCs1oMP8Y5bPRorKJmnWfP8IjD5pd
W5eI7cvZRtXEzANrpQdxua6kQFT3KGWyrhzF83UdaOOqq358tnFlTG6xmtSKhyguMGxzi2QOV9b1
lQ2tnjSYY8q0F1WxxXgFDbJ86IfmWQMLqH+JE0ncLmuvKO8QLraSWyoE+rQtR5swI8/bdtxByO7j
Laok6VqRYvmgk/qh4kDaRAGGKrKnFufF6crT3IvSfoieFeR8hytacJLmu8Y1tyE1rZvrZ+dypcku
kPKgckzcwojng42BiDAQnPxnb2rqr2U1GB+SyukyIqs5/HR9rL+do5dlHiYGhdYGUAlWjibaYmaB
U7S+0zXac94WIXmVa2uujLcykz6d0BI+0PQRdxg3v7fTTte2dQ3v/LGqaefdV6YWhi3NH+GV7caz
mwE4YYJEOR0qqzTwF2t7aQAqrqLsNge6Nj13PgH912j01hiVF4sGLpyAgGooJAul53C+aG2Y17OL
SPkTjRw3umVv1N88ksLoDk0qR9tdX7bL0QzVwKHqTAWCXsZi1cy8QT8yyp0nJF3tpyj2gZU5mr2v
q8pbOQhqn599IGTsQe4q9iTMONo45xOb7MnSm8Cxn7C1NFQ2Fu7iepY3eVbPO1op1ub/cXYey5Hj
yhp+IkbQmy1ZRqqS1JK6Z9psEO2G3huAfPr7UWfTRSlU0Xdz5sT0zKAAAolE5m8yPust1262jxe7
/tt7jOFRL6OzupYh/W3nc3RADeVp638WvEdSOkZBlR+KeEh4iaNlf02m6dVBQ++DCEct313HtTYL
iyTMsIK3tZ++Mw6RPS0wfcc4PrEE/b7Nq+wKzmY7HrtmVfZB/ZmLymTQy9XNU8wzA6mbPybTfURC
Nz51uTt+knWJhrozXbmbXo22mqRQsV9VguHkO+blaE2PACI9BfXTG1CcOy4d1OydVyMIanpN2uzn
2pfXKoLbag9wFayAV1gxCdTafbwcs5iGTmJ7rf8MAlE9wp6tzgjvt1cOxBszozoNb4+ghRTAth0Q
F/g02n6t/9RGMf3rTI7aI6FQ7GqUzxE31drff3cAUUbSYWdTgKfmD110EyPRWg5ISUX+c25d1OyC
pNhP04wWe9Yuf/3R6LLw0TjuK9V9uyUpRLG2HX6AlXK7o94s8sij5L4hgbyfFaLofzkz00XIma40
jwBId9syNUls1s7uMv9QUuZhD7b+ECMYELm1W/3lRQOdhe/NSq4VfrKKzdZABBRMg2eqn7031sfE
L5fbFFHjO5Rv1L/vz+rV/uBDoVPtIo0Atx40+OUuFA22gdbijEi5B8UXmKRo8HtpEy7WkGBD6T6/
P9yaBf0ZNGG8cbyoblKP5iLdbnpHX8AnBKn6GXuN98XJdIcamtIldtGjp6r9SOkqw/sW6Zu/jJc0
IeF/0BbjyHEdbbuhGIfq8Eer8mdQc8uFZHECAyQQ7mqarhKjXq/qqvAOfxERjLW3sf75H2lJ57aT
PePRSzxxg5sYe7r/vHFcPvsow/wzxvW1+PUKbAypnj4r6Qnry/t/OztKXElhCKH9aP3cVz9cIG7L
reZlqTCwgOxEhdHvMuNctF+6vpC3jUrht1RtWie3s3DEpIdTymYMmxFzXQwq0wzrk8yRVTacM+4F
MzT0VNcwpUEpuTRwU7AzL8K0Lg00uODdSAMFr41m+vT+htmu5IoFQeuaG4Butm9vaVB6b5Tl7Fbx
f7Mw5ueaCuZNEcztXplu/tUxMK14f7xtAuFCiUD1EByhThzj3Xb55fSx0YTZdtY3US9ZBC5EhdgG
5sec7te1x/P2BnB5O3N1rzgzIoqz1chEpK/xkIf1fpjCntzfjR5k6IPgATtqxW6MKSJgdYHxxcHM
HG5DbBQBQaowbbmqkygYJlUVUamlmZXh2Kq1uPQGdjeGhF+/uMb1e1WAgEO5Mih46EPLBaixiezc
nMlUiKb4OdrBIH/j+z5ivIzDNU6kPbVcLM2TXs9/T7GGFIEa7CF+ivWhraLYr9I2v8nogLX1lZrM
JqBQjCGvJAdiAe2VNLzJE0ZeRoum6cOzV5OImNYUwKnqqLPpfrzP+9Q79k1d7t/fJNs30MuoK/cI
gh7fkJ1yuUvw/8jwiHKGZ6QFwOZgW3aDYWp7Ql63ijpHTliGdtPBJmpHLlIjH2ohrgHTNydj/Q2A
lUg8V7UXk1hz+RtGf+lqYQftM7JvTRYNvjBQtxhn/+h1vf8wxGlyTUH7jcWmqoenHIChtWm7GRIc
r2xUbbTPyMxZj5VUCDZPufqSxMGADAEhZxG2eXx/sd8cFFQknTcADZRRLueppQCEhlJ2z5gKV7cJ
vYojlkfpvZaiILJqluOnl8krX3gTBl4WF6oQNEGkSRG729zAreM3VF+G/rnOqw4pyY4gZwFhtttS
u3LZbw/W/8ZyKSfSPYKBuc1jikzr6HKY3XNSa251O1JA0MOqqG1xXpa+jw+VXdLg4xhkxnNnZDbu
t8LsstD2NXMIjc6I27+7LFEVIPiRDaxYQhBSW1gjjgYxhjJD/SzHzLrl9BU3A76vlDxVfuUAb4Lg
/4ZakwFGpD625RDrMhlMqVf1c4r/zb0WIL6AqNC1ZHvzWHsZBb45wZb7nwRgs4kGI+WtgeXHs6rn
5B4t8J9LqamPYN2SXRw4yPaO7XBskqy9AUL57f0dvN1M62pSN4b1xsflfzfRItNiL5tiO33WILU+
cUtrUVAv08lJye7eH+qN1VzRhGsisEK/tgYvNKBUoTll/Qyt36K5pIYPZhHk398f5Y3VXFEh1CZA
vDqoMFweyaLMhQ6dvHnODZ/WMn7YUSaEu7OCxNtPqKndTLNNm7r1PS6oBh3W98ffhj40fFeRDi4k
kL/rs2YzfptLyxslQV/vkg86WjKC45nqxW62zOYb5lbi2l29Hvg/Elc20AoP5c2N6iVAhy1KElRH
kyerZ+kkNe3c9YZu7sxqWe0QJwo0u4Le6UMF+f1n0A7lCRTL8HMMkvKngZHmj4J5pFcyle0lRMZA
M4CMCP0ZHq+vculBawJvoeFzMPIufqRR20V2anU7w8XqOsO9eV+XC8VVw64Po147p67yr2UFm639
8ht4gP2vKoAwzOZG0CsZa1CkoKyWCVUWfZqQcF6KsEiuYnc2W/tlqP/lgWRKAKDWe+KPnLoZNVN0
WHEdTEDf95KW/nnJcKh7f2ttbpv/jUIRgBQaxVaW93IUTQWVT/aMum8NbSRJRRblWGQcND21zzEO
1mf8qa7pGL+1ii9anHifkHxu9XVcGCGpR3Q/KL50NBZVcUJ+G7/yGZOy9+e3OTov86MwBpkCgV8f
zv/l/HxR6nilW2wa/IZ2rWZpkeFl/S5t2vROi81ryr5vrSfgali3OH1QK9t8NUtgoLU6AGAVnpsf
zKFGYLEyxB5gbBBZolbh6ObZ4f1JvrmedFxXYDOiattHbWni3t7i/XOQvp6F7UDHPzG1YK9jzndl
qDfW0wZxCE3cptsJr+JyPfFjUebUJcg0FHTewqZAqQHhVjv4ipOkvYsdr7tSd3xjRRmR4eg1ACne
ynCVbrbIlnf7Qcax2pGJLkcqCN4Rf8TuzpyTbzP1rSs5yhsLyrZkLEgxJJzbY07nmr48XxlmehFH
7mRnB+n5SehmZX98/9utd8cfgXbdoMwL5hQSXvQ5t1SYRgfxkAdCP1jYVB5yq6l3lYrrndUU3WpN
uBx6f2n2QshrNMy3Jkkc5QEIkI10YBPL7M6fq3Qs0WxPRbnDK2EIe7tGNybwryn+vbVrkFNaFSnW
2v4WohzwyHatHCX6rImRa28VIJdxKj+YSY/tsDZc0257a2oUrlYCKCQjxrzcpTnGM/E4E2DideO4
M8rQwhblDQLOv97/fG+OBIYNrWsuJtrVlyNlkJ49HejhAV/iyvwlwVy7T4aW6EY4m/Hy5f3RXq8j
nL/1WiaYsf229LBl6UwL2huKExRjDpod5PsUJZwjZt7Fia7MNQWR17NbC8XkcxA3gB3qm3UckEjG
rbqyD2OiOzd2gWhzYi7tN9cXyfP7U3vjel/HAjrCXqS6gzP8xX3Hy7biST5iTa68xhkiV3pF0Ydx
6nXtEUfpLD44A8acD25n5nkZ4WdTFWHTWTXgamqYIr59/xe9DjxrhQmlS2+VA0Mo5vIHNYjWtrWW
I3UXCwFdnRsxj0EmQiTdOfMUl3s6PHhTeFOaG1fGfuND0+OAoLKqclOdWf/8j8sf7HBjKDE5hzjH
oYkrxDdPVWL6BwxO28jDUSV6f7Kvw9BLhF3fgFjEUIS9HLBIFyB9XhUcRkiyh3Ge0i/Cn6pbJM/0
fdZq/X1pCRFKMdVX4vtr8S7OKNAEqrF4xPD+2swVKJZVVqPCpiJpdBE6MR9/avE2yMqx+b5MljqX
Fa6bqVO5dyAs9Kd2aupjvSj5yfZatS+D5ZrsxOv1BwkOdGcVkwlg7m2eMBOmtlbq1qRFdp2cHbMf
9/ncVeekrpeHxvGf3l/9t4ajwkBzCwARNmHrOfzjcwOj5pobkTrUEDf82JrYKkeZP+VNaHjTsgeB
GxRX7p3XR5s6zqqWAxOMXHqrEsLH9BsDaMjBypOqD+FGYx3bJ259mIwgvqal/cL7ubzmoCERkNlZ
1P8AL13OcOH9gPsiN2rfp93O9hsVuuDDn9WwVDu3n4ads+R48ZZF+YPo+QWwEeh7hUisU9Ohen+5
X6fWqzAKpVZIoStrcz35fyx3mfuGGo3OREWyHI7FEMx5hK1dcq1Y9/qzMg67GgwatRxqV5fj6L05
TUWCaFdazcmnUvfSs1sY5bnEIyEEFPzjr6cF+QS3Fzr2axl+c5D6nLpxYmOakSvWGINq58FPav3x
/VHe2DjMhithFQkyEa+6nFTjD3GzoFF4qIvM/jSopCjDIJcgXKt2NMP3B3sdg1HD5FZdC7DUPLfe
uHObAyUyBLJnfZJ8T7TA+Q71NqY/NI1av+eeUNox7bDlvhIP35glXSnCIXc6aeC2cTMY3rBma+uT
aBnPTmJ3aQhXtI36WdP/eX+Sb2wTxqJnybN2zXQ329E3UD5SNjJdzpyUp4Rgucusxg4pRiT7BDD+
lcf9m+OturZ8Rg7/9lbvfVf5K/D+4OaLuCkyvzh5JCu3fpvbOxNBq/3/Y36828kAV/+YrfUhKW3n
dsMMV6HM3H1gYg5S58KL8vUhNgt3uHajrKnCRbDhvuZwk7jQGVgbRJdb1MrnxPJb3z603eJ1h6Ya
vI8a6DMkZ0TX70FnekaIpLYN7Lfpx2RHpT44LjMCt0B5uwjPlGsh59V+4icBhiTgsqtWaOPlT1ow
1OgcjGQOAP2zM7963lcK5ekCfsLfPnkZilnDiIaWAotjc3clWbeklNLtA3qyzUPcjOqYLCrZDxnW
TBO2rle206toynjgdVbtNQrz9Gkvp+akVPhqZKYPg9lhn9iXqPeGy2wM7pVg8GoNiQK8kWhorig3
etuXA+V2SWY45eaRo5kdBmVnR/Dy5p5I/vn9HftqSiuxnPcfN9YLaXaTDSlf6yHisgks7Lo+smmc
EzjX5ErV+fUoNPRBfawBBqz0NsHExd3Es6Z3jkatWeU+RdjHjEOhQNVdI8e+XjrCIq9wWJKwlV5V
nRdYJ4OqB/8oMG37iWymeyOqudkZuS7/2pIECBcQUOSocaeDtLc5fYVndE5NLfSY5jaqmPranXI1
605Yw7nQNXEFD/h6FXnDrr183npkrttdMeVjnrtd4x9td1Z75NyWs8Dh+ub9HfEifvdnTFnBQFSY
VzNBqmXAry833+R6OJzAa9hJTcLYsYyuqLrbXtajuwuyxoyncBodT95zQlhSE78qcYTMlFgnPJfc
IhyCHC0Ere+9IpRdVQxRkdOQCWPVz90BjoDxrR2d8nfSxN1H2aC+QSfMenREbhfkw8X8D84g41nk
rvlRKmjrYTxWyJBAETXTUGax8zNT0DMi+HX6vfJ19T2Rpl/uWgTvzkNGLW/nmXOOVmpnBsuJGhbx
L7ebwQwrbxZW6Hqd/hRLEzeqwMSZ8kGvp2G6E41nqX1d5O6vwOqxTzUTO/kkukJ+L0HQIgDtURy5
AwEm2pDg0w43whnih7qf5HAYS0+bDq7TpssOUGdZH+gBl20Ywz709q40Y+PR75r+lxzrsjoiXOvv
xSIMIwS7s8hfVoxR5A50twtN0rZSOUYgDfLSjroiyYtdYWeqbE5jBdElylw0dkNIQdJNjoaTjZYF
3DcGD7Azg3wsP1Q9zJ99DEdd/LZsNWZ7Eo/OjlI9tcrboVGLH/kgmI0e0R6ta1lCGxA6nJk+bQ8l
vKcSAQkfTUbtEPRJpm7ralDqdwkQsaX8ZgUT4Wic58+T8Kx8CT0/6IJjT3vC3l3ZkWy4iw1JfYOT
tjIegeFS47zckKg1LkaTTPE+jbP6iKjAsCtRxC7CJLaXwwh4NIzrJcXss6r3He3SK+NvswicakgA
ORaEFCosWyPDaenrGU/VbC9cVZ8Gr/8uprE6uL7WHjyzviYs8OJY8ud8efwTubjUVodf1FM383VM
keBW4WWn2CobcZCBWXaHRXWms68rGpu7JSlTeQsd2nRuPQC6w74fa/OsFn0Mjp5yTOfowYdZDpNo
dbFv2073w7K155nGUern3+o+8ZIQUI3S7+tRz8VHEBqYwlkVqe3DrGL9JAfLasOSJk3LUbbLp5I0
fPo8xJ5R781WmsPO9XLKFo6VKy9EVWLQca2ThvhQTnXd76bYrPJQejGZEG2MqvsKKaDzsKHWEqRm
sRj8BI96yD/kuPTcGVrT1uF66f7Qp3Sy912bZdVDgIe1dZSDnhg3Zmbm/xl2loOZ1VueWCFRIwse
pWc2zz19uK98qdKNjGlZ7gG9p9M90NplL2U7pB9lX+Y6ughKpT9yB1nKf2Pad8vdsMwIYwur9VDm
kaWHkUSVA2DFKxlbHWX0vXxMVVX5x1kL6gLvXGXdB7Uxp7+g8VVH3rOoaed0YQJ776DzqYXZiMpu
ErkOFpHUa7Kum3d52pXml3aIW9XcyDRJmhu/LZb0iB5jbKBCHwfeEKbSXZyTydsUWnsXtPGjNWdI
uLjWYvwaSOuMM0UzIz42qgnQfPXNotyLoLXiyEbqZPry/sHj6bY5eqsrPY8sygJo8KzE+8uj1yfp
yjrz61O8Mgj7qKWW4x2wSOXAJ1qN1FbocOy7A27iaBoqof4LYsLCY1MJrva8xgAl7DsTxfyB8s54
A2I4/aH7VfIQ11zk+3KCHBgh2dTY+5QDEVthZ+p4kQ6Zmk10JRCG+sAel1lUlTpo+2ZejIHvpdf1
46TFsnnCPkYrD0gSQS/XdemkoJ8qq9OjWOp6ejd1npGHw6xj8R7pSYU7RY13Zn6vlVDG9lVb+lMK
6q9O/M/23NvLVxfRK+eL2RX1D79PLC8abWPsb/00hns5Zro1+zgXG2bxEMxi8n+ns4D7eRjdPpsf
BreojdM85uO+rBYzOwCUDLqOZbKsNPLwO+i/0dvzormAVhtOCfIkp2xJnKYknjkzMoSibdNdukz1
EhpJFotDRh3wwTbroH9Iq6oSX123nNywAo3f3qajV8+HLOZ034sibhDzZzOCEUeV4gTdUBu5P0un
n58kQgdjaOpq8Q4rpQByPJWYp06ugj9BAgAAj4BRv50rzRdnjRT/iY5z4ueh3ynZc1WaEJejpPOG
7J8caBcM5VKMcyQ7Th90Hw2tpF1ZDKW+o2mLUqoomtwBbus7wNhFk9RuBJlzkSEkfbCroW/N5YIW
9dRMEq5uneof9CoR3k9vsbTlJpstED5D0o1SD4GGZ8UTiYvzr2qrPv9E5XnZaZWR+Scn8+OfXVEY
z80YT8Yty6/Pu9ZT2ZeB8xPf0L3nI2cYyrTaTjiLebT0LPNC6db4CTcqtr7gCwQlORFjuuPqtNpj
2lfL/L1Kp8D40OMnP39vAsDgZWiYqnhQeVKkIS5c6lM8woWMTH2QO1xSaMwOU1GBDTTrZDfLJmYf
ixRWNedVZGZYoJBS/FNps/hma81gfUgHY+GDZ1JPDm7flDeO1Gbzk7dkc3rXSz+gbtRMdfpJWH2Z
mUdZeKl3G3Ts/jHs0sHqWhr0Rl7uF1tW86fFUM5vmz9E9NqGBtqFVmpwAUHRyqEGVjHX3E3cGolw
97Pd9XaUZc2SffcW+jefpRAou4TCLXt1Tnwts0/JkvhIGxi5ddfBVZA3cwNA4T4JWs86Ix9RGrti
yJqJtnQCcTlZfBXszRoqzi8aaFNw5r/lkKwi1NHsda/1jqM7x0WzA8mkrD24snSJasDHkIdydDe+
TUZrFfu+d82fuqAT8HNqmrTfJeUC9Ewbre5fG2LsHFausubjLE27joImSc/jqPL5vgPdoChAcbvs
i8HQbqlpaCR/00QOHY5tgFxEOOvVeNBXdyZFBR72EjCWor7PZDn+01aBqf1HDmZVYB1E3ZwsLZVG
qDLd+BXrSfaXIHzKPS8Nf/rfyJdTrty8JDJ7NCet7fWTlquiOBqLmJcw9+jNKbCavWFEA4wR7eO1
+L4N7wxLbYSUxqJ+AH7mMrzHMyCDRDXOKSddrJ78bumCOaIw0v20zCRxH5xuWhDRgGmt7TXo9Qok
TUk0s5XmLI+BGjgyPqTp/5x5Xpyor6tpGEPhBEl/XDTR/5CyB0cYDlLqHmRhw7+zA681d+U0jlN+
pbj80k6/yJzoqKwtcMx01pfzFr1n8yLLFQ32k2/0MbaUyBwUt+ZoBN2u6vqctLnu0+9FVfv/2JXT
lvu2BKn56K8iK1Gg6H7caVWc6uvTxrDbsKYDLZ55ZGXY1sUxPG4y99LaY2dfG5/7fMhOdt0YzsfK
zu3PvjMgEG2kAc66Luxx/wpz4gUIcTm91fSNOj04TRQxt4zDYAAlKWILeQHE3ptDUen6/ejykm6G
rvqQzXoe7Ad7zNIwAOWVYGDTf+3mqkZLpkqGk+bPX216O7+R5Cqwyijn6R97nH75QprX3DNfJQ5U
ZdAJMqHucmtT2LzcWTYd187rZ3mS7jw3MkSpIqvDOGtoRoeKDdVHfprpD54uVX1Ytf3/1qd+RYQB
MKbiAIyGisCmRmyPCX1Q4eqngZrnPzSxhn2Luw4qnRlXjopLctf3j9OW2cUpBkvEO4daMa3uV7UH
pjo0vla5J4AemQ78oqnrnT/xuDh7jZX5D/jOlHo0xal/0kxKIXPYzaa3RMbo5cIMrbELvKd8gt8Y
5n1RTJ+yzPUzTDicqguVHFMzIoMtHlz+X/PQFfSorsxhfVtcbDGKW+u7/38l71cmymOBJIpjKf8U
92gUNCREH6jDB3ddq7zfYye1iH+gulZIeT0qRdiVp4PAITtme24DMHrCHCn/NoWXOccu6wJ5g6zD
5D/GxVwkn/LAGvw730jNa43ml514OWO+2MowN0hzPZQVL3dqlVsatSFkTvpcD+586ff1YcBzLX5K
aYs+am0rmzBrLbsPjb5xzA9J3vbOwY5nUYV5J/Tpho+XPsxZNnUV2sudUxxVaRZfVGxibmVlaDdG
vG+q/3rmaB2aHOmRK0DE9X64nERAQYi+JRaKL+4xl5OI+x5dbr3STp47HuYgjb9LZ5h/c5c4j9yF
8X42kvFD3TvO79lZxJXynvXqtINYBkO+vha4T14hec0pbapFLfkZ9lhr7JIglnfF0KK8Ikk9yp1K
8xzPLCux24/ITCKuHKdO/2hOmHFEoslL76sVO3W8Nz0SXBFNSynKH345pvezJ/z6kC88OWGe1l6v
kI+qpLYviNEd1ITRN4dHiRfP3WymUI6VbQsNl64GD8iwShr7FwR7m5eoml11iAfDHfZpayXxmY5V
YJ7H2ZR+OPd5o31tBp7K2a1tSdePKFkFehI6xoDRqZ6IXj9eiRdrENx8tdW2BLg10g7rXy6/GiJK
AYUxPTtLN1ZINAfzcDL6RT5QQa+P1AGyc0BvPNSN+FejfOOEWdrw/f0fsd05XJIr8xWNBVicwJc2
vyGomzQW7jidq45O0G0hyEVCzriRnejpUdu0rMzVd7bRwVvXnFpPz3Za68Xhr38GHXEI4iDQbR8Y
wuVSqGWRhl8kwxkZo87aS9dT0djohoocE2XbMEFnaO+grno/qbII56m4Rrt8Kav8+TVYCQi58Oe5
uFYq5GYluiChJJcm7VmKJfaPq9f0EvaT3/m3yzCC8kyFmto7nljdD7sdfBMquF0/5IMauyXUptY7
tUWMyXYzDVp/GLt06nad0brorQ66OQ83/qSP2QEf1f4O0Z9KfRd84+A0ydo/I18mYKR4RXPqg7iT
PI66tnEPzrhoR6HlY7V/f8W3hXKmSxd+nSiXKzTMzdNeAhNfYs2rz5rv/kTHQ5t2WZJ/Ttqhsa+0
GF/1xNexqB8AMOD70vfbjJVlg1+kvO/OYGx/Kgz1ULIuytTZT+2cHpuR2miYdpZXH7pqKP+RIkl2
S1qOX6nITbeA4q6evW1Nj0APE49OFYqR+JZt2SUzBU3ZzVl31oC+ptGAjC4EqLwdIt2hhBmZyP1d
s/h8kYK73GF0C1gEOIZr8Nim24QTV1ftMJ7TFTpwdp2isW6m2uynG5kP5hTaCOBO6bnXtVj7OGOG
2HxobX3Z5XMxFF+WhALVl4BCx4c0CbR4XwVFd+ZlZ3qURjtj/GVXplQHz10Kccyo3g/h4kL621V5
nrlfURMruLOsKpXOA04juXzCzY5Ll3ft8EWz61TLDm1ZmnU0TYRqCje28h+QsmnjK5vvVWGJ9Qdo
BVcQvNKK49zsiEYiTVvFU32Gujs8zImjQ+qZ+6a4QcAn8MMBP2mUc52+XdCKHZqfmFYp/2BkmZzx
CmSTntD71ncpgI8UGoeb/Fs0cT3fqMXQsl0zm9bt5IjxmuXMltMBQWr10uKZARR/bc1tnkxDBQAg
kXV39jx28Ie+5ma/TxOqw4Yx18W5zQ3nQV86Rxw1s3CSD9pk5300Wm6uDqqC1//5/XP8xuEC00K1
GBgPnedXLodmp89+DhqC0Gk1Z+VOYChHZT0aRv1hbP3kUcpAPJLjm7edg1hLqKPc1axQVvU57gBN
Xkkh3zha8BShbYEnXdF7m0+rklJIORbWuaeQTL1ncWXoGdVytFv6/YtOG/rKiK8QdcAtV9wsvVKi
C8TMTb+0Hic4knDFzpZEeyqSyGiqyMKlAuEpGkNNFXa2NPtnI+Mf2vs1ZdadRs0IzA3Sgs6VL/J6
AVbhy5W8zxOAh+jm10jPFrHeuN3Z6T03vS0WmmA7PYYJ+MOLZdrs+rq0tdv3t8G6qn/EFtIEAEeg
htcTZa4skcsLdDI9RcR0aRG4cz1Fxjwun7S5HSBrBClqc389Gq0YjxY672wSlzWh/wNXhN9jRWjw
VmKAsVT7pVj0JZrNYDxZZZH99/5gm74nUzMgRIAwp6fLoXs5AH8Mls/u5DT5Yu9h9XbUDumN0JbU
rCvV7tcryNYBBMNDBLE/gNWXc2oCR3kCeP0+LetF3k8GehOf5UhTGzl0X4grxZfta37t8fDywPh3
fcqjXbom1X9Ma9anZBRO5j5VnCMji+ol6HOeiKPweewR+eRRavEU3yKOPrW4pZrzOO2CURQ/tBXy
sqfTk+ShkOysaV/aS7+0u66KF5qodoPtnZtlbZOF/qTVpnF8/5ts4yC/noY+HEwaY1hH0P7e/PqJ
GrZnL+5TH7jlI22pIKOYaAdlSLHkfqnd8ps2LnG4CMQybpqqLp7LppFfGtvM+ivvj/XL/LH319/C
TyCfX/m99MY3e3+cdaeqKzt5rmKvN0LI+26UFMr4JrvE+5go5VF1DIoraJDNMWfUldOx6tS4a3dk
2xuBP02iIKfpyZeV+CXGpPwkNH9ZfmhV29e7YrLlfEUY4Y1VZ0zfRFYCYiiX0Ca0VCXoGkr0+tPM
twkge4PFPjd2XfllWInCxB3bKnP3KPq4rHukIN2i+YqciFx2iG7E3Z7qPM7dV6LB5g2xrgT4MXRE
sMwmeXc2mXOz2OgjTb160vNlP3gFSvZsjltpZraDFbxdnYSyiURUwSvrJgEIdc3VbAutJfrhdMO9
vIpzv7ylLrdj7g3pkMMkx4rCQBTSbKbUPWIOt2hfLCn0x2WoJEqd3dRNUZ/MffKPABBSniooCToK
2kleI/Uyp06JqzPh6FoP+6VJ/cce5QcSKCjv0kHmnc4PvfyBXd0JL9cHF9hBayzZCdZFgG1jCbN+
DmWil9qd3c2TuqXWHqxGN+PiGVHWIXvwpPsywB8BMACNJ8BUNldcZRXVR7Oy4v4spKpul5pb978O
VIidhq1G+R8Anyz7Q5nFUoTdOGYGNb9KmAI9ULsbPpaqxAbgIOcm9XdF02j+sDNX/UajnB15UMYc
lB9EUDU5utdxhr1a40/zk992LhURbUiGfYdAk9xnRexop1qkThehhSA/OdOQWnt0UMRoRkk5Z8MD
XXrTfmpyM6YJXWiZdB+rXs0OPPOWApiLHOt4gwqpftSWXNee+VXFFwpP9PYlH7SInEKmpMl6Ppen
sVUPoPXt8lHUldtfq4FtT9n6rQw4PzbJXkBJfvtcabQacJw9GE+yldNdFYiSosOM0GaVNUYZVQis
mLsccR55iInhO1PJltZ6srbV8OH89H6o3RRX+DVoJNB5IbNDlMjYEruGWtrxWNvtM5KyH2SvkpuA
8nMk0bxUHPr8P9+uxI0xifpKtHlzYIqTFMY44sSTyy2rSbsx86rpnlVgJzf0y8rQq0DW8bfLx8yf
tS9QRfmbHdauN+/PeZvRrZMmuL5404P9oAN9OXbSFOwFNSdw4L0k2PUt/gYUkYHJRjBs8shFks36
lE6GFy16kz5DG7U+F0F2jV78eg1AGPJjTBCNVNi2kH2NbmmHLtr4PHrsdFsYyGUg0HVXTjPKNHab
fsegKYmKwdX+fX8JNpcaK0Ap5AXERgEdkLN5uQJFY9JdLWvtyTeEyg6FMyXzXZphJrIDOzhDBh0m
I6ybOrgaTF9mdRmsmCsKcLAxrVV+c3PN6CnAvA4xoWe5dmuoWFttsb5eZt0oqM2ssMfaL7jrl0Bh
vZ0EdrV8VMrhuTWg+Z4lu1RTmbyTGiJPNzyGpHgyCXfqP7y8kjn7PUNWlPcz+BTamVkpk+MQm0Ed
qUCK4g4pzqQN0X8z59BtlIKKu3QGnWoo++daxnWJei2ncI+aiX5f+pk5R6WO0VJk0OUHkoZ2ZbMz
PTF192JJ7PxAyRYXIeoqWpaFos3H/hOJWf3oWvPyTRABxZNTt617VCA+KpjOELphROhZf+y91G6j
ZXBR+0UqWvd+LgMshigGlCRO6CIWBAcUn/h3rSRzH4Ufl3dVRvf1OJeB00e1qZkjS8WCDaduaHtv
11AxHXfeBFE/KnvT/T/Kzqy3baTbor+IAOfhldRkWx5kx46TFyJJp0kWZxaL06+/i7kvbSmw8D10
0EgDLYlD1alz9l4beQCzq/YFJbuQT1UMqeVuBP9vRSBofEaqtTPERhWlVZkxEp7KKd953eQ/YxLx
iMxK4+4rpK6JQ6gUy/TNcUvn+3qe99GdKfmE7qZy9yobSsgnFEV4ikZAf+hY9fHgl5U2vo1gbQ55
NgnEVK7VacdxpMQL/Wac060rmP2yTVUDWo4oMKDt/tONjFY3Q16bqGCSubXb7/6YeO7TalpanlA8
a8YNqkBHptEceMlWUhFZEVWctbSHdqz0e8EKLNrdMi6dvelKxfa2eDOv9FQ3Vv+tc8GxHrGBFjQ5
UAP+xnPmA6coxzeznic/JNF6qDZJVTfBxixRPuhDYRabpUiCA6IkDkmRXjKKjII0RbiAbcy/TdsM
YIcz+vX3OqgZCo/+Ir5yrCyCDRRYtDwuKS4taNUEtcMe2Z4u3mtLimDfLE0zR8xpEdZ1tS8DnCtO
GkfdPI5CbR27C4qb2ZoK/cY3quFnW5RJvgFhWTczi+bgv0oOntZRJbBbsZelWhvWIG298tASMbuS
o+3hzvBKz37pZxi7oT7TuCO1uwzc+ZEHoSh/SJMy5yGezHq80Yguc0KHQKhm7ylSGdEdjnl5R5eh
d77gQkmG49LqjgyHKTV/LXCCeLnGhnDe0Sx9J2dgC8Y0jNOhLLZTbTf70htt44uGpGZJdm6WyhtU
T1Vv7taihoqq9PTXibwxhouG28QYaWKn3omV0V0+lHU5NtrWSWnhRovI5Wmwa1E8mYuanVDlpRZf
EcBfLpK4W1AoUYTTxKOl93GRROiLFMTN+meUL+YGFZy/FU2qH2e9Tl9rRTZKw+Dif92QeenWcz0W
1rWFeg5JoEONhAMD13NeMG0pyyL74gu//hV4kk51zfts3NHOjh8BPXbXxIiXG5Lj4GXlxLEyPLxz
N1Pp6xLAquWceJgXA1yTPykSQlxeUJyfmWvv03guhwekgxi6NjLLs/R/35wBXhgIIuFYrn7Qs83Z
leUi3CnLnqtJpzSCPZ8/SoZTN3bZxi/WoNsHx5qzgwuE/DQF2Fe0PtOunEDPjl/sj7yUAExW5Tp7
c3DeZhLdVARGXT4XTmnkSZT32Zzseb8monfRsuo3jtG53pVW9t8+1cXDB5aaVvb/C+b+c2gvShq4
NuFeACr09FQbXvq7j6vlgMC+eNQlw5YrZ6u/FKMrKQ61N15YDrfW2UF7aPCNtRYYFcjJVXXQqimf
tmi+7LBr69rbGCr1/Ye5Hd+Ar4s9w2WJMpZq7r7DzPP0eVFy+fSRPOLi9EJ/btKUWd/H//z8JkXz
2BhG8zx2dfFd9k1L3mzsRCMz9bucKc4UlQmrwjhp6spb95dXfYVqQVlZ2dTeRT3ksUsXU1s/W0qK
h0FZ+mYaHfVjorkczgWkl1L04vnz33t5ux0KIC49XS6DiJezQqgwWq2r50Y8DwoxZgOQaw41UJV5
OGXNjnkRMsPPP/HP7zirvSxgdgaeWJaXixd8dDuqBVnbpzxb0LhWWm3RzXD9dDgk7KwGFmin2C0Q
tK1d39oVwRdxnAb9V1YDjeh1v1334z6p21tlF5Z4oEfBphzH5vLCN0dBz+JSLilwpdkK/pm9UqHT
zWeCKCIjLmdLhirrqOU2n/+wi0cHxADqCBbpFaiMoPTjo4PPpEbMMIiX0oNwvgmkA5EH3ePeaAb9
4AVZLUOPFhHawcq7Bng/61DwsK49PVYtKgqGfOeJfLnoR6ucmuLFdtJxJzWdR4ZKCZNt0UZVN+SH
SsutRwtZ4i3YNeNar2/dhz7cVKYdtMr4k/k4hpv1OfvPewN11UCy3OnPvC2jFWmCLERK6MH5PQFQ
PtG3ssN20T25F61bfVHge4sQCLP3isqgZHxYOm+f346L14m1y2Pvoxuxuqjs8yebmXurFdiJRZ4V
zxbehQM45iVG2207B5EP8XFYumskhov3CaoPry4UX1zmJv3Pj9dhQU0e0wm3n1vyOPy7ebDKY9yW
KMrrNsgPI2rVX5//zrOuLneeWJ/18jJ/RAV0PuZMNWoCNSXzs5q08otstfqZGFGxTwuq688/6vKS
0utHf7/iX1EeXRBZkxQl8RgkL03adF/r0fw2Ep5xV3G8L0MVq3zrao34Xw/pVLG4VDmk4icHn3N2
HzuGfEjd2vg5k1Zyx5nNj4Co1ZR5sfPgtuSCthVlX8ibPVxpgF5eWj4Zxz7TXRpiPN1nN9Oc6ikv
VPpS05s54LdCEGsMXfIYdxjVruyDDHQu3iEGSngwIETxFvHsfvy4moeZM1TmPVN+tN0J9cTYUm0t
eTlitSxt+Vv3cO1/WbDXptgPjJK2IyW4CN1aTcid100WomHfG5g3zEb7x2/bPNvJLCufRj8o452F
GKQLF02QLWTQZUpvoW5KqwCR6fV+KFWfSsb1adxues8ZMrhMeDNuxtGo1RPVuKGgQvlB8ZA7fqtz
ysptY3okO8XHFaXhdD2oUVYZIxmvfWvKrHxtRQHMz88yd22VD8myTZTe/jJYEPJN7YouiWYhLZKM
WKUfZKdwt1BY6yiK0qr77UsbBO+sZNPfO73UvgmEzuoBFaR8S7tae/crJX8Vi2GBqp7k8uQ6cOqj
ZEid/qhbynm2p3L5hWqYw2fZVUaYD7SWI5w+dRFmpkmKYkHE0v1omeTXENowi9u+FPWzig3V31QV
9PtNzWQiaoIMWVvC8KkKVV8uemQHsJW3ujstycGbZz3SfKypb+1kaMFeJbL5dxR+zltR4FXdF74+
pi8VJ3ftd2cObf2EiltsKCtrQkMDUet3MW2WYyKIeQlp7Pb/8g/6dYrM8VfgDqO1tXuVVSFNm+FV
G+fWJKypqW47yb5wi1PL8rfZGCuxmVNDfbPY0+stNi6gADTw5IDmGYE32dNzRuHM37sbU3UOWmEz
r2v3YS6Shempzpzryee0NO18vZ67IzxMM3t1pCjbTcxpb4qkkVjFYZqo1cI0rQYvcuzaOZA7VRqI
7PEuhIoELnvvkC+i7onampzIXXpjePOcNo9vQUYN5rBdzDgjAonzVtB8L00EOaHTJtWbwsWWb+Zk
UPth9lPrZapXTYVlFjBFBaVoGlKfzlaYEnwRR/C1lmmT1bX/TvM+cH+1HTLZDYiR/rVN7ADGpCk8
cQf4uao3c2/M9rH0MQHeIMbPfhC6pLm7Osk0jvKDpYZ6MzSj+JWwTX1N0O59L4uq7EJNb6odSqzA
eRBZ4t/3HW6PbRuPsfdO+7tuNrTuZi9czAabGsliWRpmOKsyLGTK+YfFv5cn5YzTg9JQiG6QGjM0
UCxuKizdnqlYVlvGe4H3TX/K+8WFTOtlrvvsxzT9EZyVdJw6skkOHAZZRegJ5GOrQtGn7byVMNWz
R7uzyKAN+jTxXuthAngaEjqZjiFfdSYl0C0ZIUVOqlXWbhrGog5jiTrq0GQ8bLw3eTltPU/yjRCI
WM49oSf9e1eN6teqfPunMHi4I9iK9nSUQyC/V4CwsmMVD6K+meaqAf4wu25oZ2LybnJZOuWNPsXa
irqssndHVbL8J+783qYloEw3MpUwf7VYWuND3kCCD4uSynszNjOyDiNlLniDFJu8M70YS/uEJL9x
o5wktf4XgQZDfjv0bbK8COUUxqFqZ8hVzLO0fN/mU+mEZt9gp+B5xAThs1scgFxNjBfrLoeUkQ45
HKMsayIdmfywQT9lTawNHmxFffBj+0ZLlUhuPS+ubK6gKYgDFaUZ08ErMmPTx5394C2TN4uNqJ0s
21GuujQK7aJ5xy6cjaFyYoylIaYAawGsZVvzVhNmuqsoIJzX3oqVuh9i2mlRafhVh7DSVXVoJ6b7
NsYtTrDY7rp7xVVVzqadkf/fQfM0lp050KQIbY3os93kOM1WSJMxQk4ebx8hdBfuc+AijyjW4Brb
jUidgztl1Lkmwwq/35b/gdnuXYywv9f04t+EaFevlmFIdRgCbtBD3M/ehI9CXyTEnJoIpMpz5I9m
QOX6gP/FG6ilusKMZqux0tu51zUYOmlfTN4GF1ht7jVcZP4pbabu33oMhBYCBtZ+a7j1B5wMgdNu
Wyv2rgFwzmXKlERkXCCPpgBcbezneS1e0/QIZob2xU9Swg7lWPk3aQtjYJNDJumL0Gmk+2+SB9kj
zS5Nw4fI22hUesf4SaEB3OLsz52oyHiSiOqzy9+G15GBQn5R00dO0CPXElk3Hr05K4P/ucrCvbGW
jxQ7SB3OZXqJ66ESMtLupQQ01rBfqWA7FYYfaq4+aFvbTYdNViRdcaUAuTxCULAiKacpz5DxYigU
dLrGheubFwtrIVt70NXlvlc+Svpl6lNW3L4fzSgb5vF9zFU7huOSJ9OVb3FZQFM6m6uQDqMfEwLr
YxHU0ogtxtqoXxZMIT9bPhf1UzriUYMxG+Gt0m/+16IWVzWnfToXzLupoT9+oG2NNldztp5RAyRH
8sxFs9GJcnqanFk+DygTcTjX6hqt+/J38rHIZ1xabXh/9fW//+fAtHSyNGUyWsRwBZRuRArt2FL8
h7xYygfXrV/+91/JWYiWMCCqy0M3Gte5skxpPSOGlN+nWTihLhIVTYiH5kg5lTy0rX4tWejySAy4
FmY+jbQVdnbOpasbZEtiSIsXR3EcCZOghRxSl8MjJt0eB/3caGHPdA3zoPSvIXsun2dUbCjH0GjR
ariQn2SlXtE5G/xnNTZYqZCyotM2gyzqLCeVG5Xb2UEuNBejBjvS13GMzWu9rb98BaSQYCE4FK5I
jfMWHtOEaVB59dJPuRbOYw5ncTQqywuTNmgYkS9VmOij914FWjBAEXCGK0iFy8dsjfv5AzsgUdc+
Pz3RydWHvPXkC8cca89QceyhNRn2rZ2I6lmaXfX6+YN28YHBKjz1uOk2Gxhr6sfnutWl0NB0my8G
gZD37YhNccxs55bJTnuLRWS40nW5HKTSOERbDpt4fYlRW378QK+G7YoJM35x6qprmSC5PRtVgHAk
VJqW1LuxztzXcfG9L7ar0Lub1lg/aggKr9FTzoWKVJZ8FX43iwjvNT6Fs6/iYHZsxRC/2JUaQeTY
1YPvtw1IggovjlFU2c40Km0zJnr8rTBjgtUNeP3prIznxl9gSnx+L/7yhcilZi9Zs2jWafPZiXK2
GAP5rG9fDDAJR51RyDdVAB2MMlI1ibjFLL9pUTLRHjOX+TZJDA4kecDb4JiN/rMfmmussos3AjaS
swJq/9wrJrAfL1EeB0HbGWnBBEbvplB6mv+jJ9bhu50uzpHF4n12pHXAs6/f5FntNFcuyfnjCY0Q
wSyj9/VRwUR3douC2YydQhXdSWuzJr3F19IVT15T+fKA2QtwLcBCbIGf34fzvgkfyluBb8/CORIQ
ufTxR1dJlZWi8P2nHMrGP33PqXkv+Vtzb+rsAVt3Kju1s8ay7a4s++cLMOsfbCs0Y2h66dCfL0C6
6pCsaTTykbEEP+O+dO+bejHsrTCDMdg6i9C+FXAe7Ei6ck5vPv/dF639VaiJtgEqDv+yijs+/nAU
e12HzTo51VU7/ZhMDT8u5OkmsmSRf8OK1e8DO9FOQQ3sdgL28dqoYQl9CvBrvauLdYLvsoIvIW2i
m15b3R+/i9bGtkTrUJyMMptvV2IesZOmOMSQpe4sI+ncUAVBEsMkkeU+9pf8beiW2DpcuSbr5/y3
U8rH06QNwCyxLWGmO9sTRGZYisBh9zQPenXTzXP5YHeTxzkQidKvDqDdD88mlZjcU+03DcoE07Fz
ZZG+fCxc+looiVkzac6d69mCHKu/KAbnpAZGnJFbKVFjjrD1107vV0i/rSoVkbVYkQZsesrcfn4R
Ll8INkMcnrAU8AQg6v14LxR4U1Kw9ekEg6M85cZU7oiWDiIyKOo9Kc3aDZfoWl29XtiPFx4FJWxK
dGoEy+vn/flYc6yhKRN1kv2igtCNq6AJx8LRbujsiP3nv/BineFjuLYUPzqQE8gqH39hhmqgIyLT
OPl6oZJwTUEj2FXG/2aTHu8SMn6vnBrOF9b1d9lIOlCMrWln5tkHynKSo8Cfe7KXJThMw1Ldu+mU
zQ/ILgbCLaz8jUm2s6WH6/GGLUXqX7mpf/vJrOoUOqjVcdycvWB2PRt1p7f6aYF9Fe/oeQ3zQ6LA
nscVGQY3BSO84sp4/OJB5lcj4OfqAfEwOfKdXWb0JaXMZ/3kJCoDz9KTYkdrRdmR7g+edaSLVL7T
EYzLyK7j9J/Pb/Jfrvm6l7Ck02yhsD77xW7f8s5UnXViTyOtEM9d97VZcb55D2nowO4l9lVKlwrL
gBfFON1uPv8CF4/0mrbF4A4MJ28xWuuPP59hA9FQmmmeFuY//cbOGs2+IdlAC7sgTrIrj9i5vWet
5jiTsXCZ/OzVU/fx42RawZ/CpXmqBOi/TdsOBJhvCPIej0gR+nqvJKHaYRmnvYUl0kWWWTv5pP1E
TGJZdKyHwTqoCp1ZkgUZbNpgKAorHOwU8VLU2o0s73o5640HKtRJd8zKBIGRwuGU1HjKDxtTplts
3SBtwsVF0VpEHFVR4w4ypSWeNc0AgGPyM2czOWvR3wd2/5gNE1FQn1/5Cz3uei08skR50tdZ3zlV
Ug5ZXzNNck/FPNFyGuqTgEJl4+sBzkW+EOV8mhG8pLKm3hJmMe7txq1+KD+d3yHIDHu0o/q1L3Wx
t+CTWZUb69NI9OD5zCu1zcFJQdecjIpm9z7Tki44kj5QKiMq/Erbc8EbuozgJ4Jt05ultk9YxbJn
YTTVNeTDxSLPlwGFhx6YA0Fgnqsr0b6l3TLVy8k0q7QAkpLGm2ye5iHyjMbZ4nUeQ0LYrSsHgr99
LHbnNSGAmsc/rzkwSXlAX2rj5EFbcW40t3PRqtcpXeu2bQbtKJFF7WTb91cGVX95GdnPWAXWHY0T
5/rf/3OinzqMnOj69BNitPxft/OXTdpp5oB4KNCvhSOemznXdxH1Ih/I+ZbK/nw3o29UBcsy6KcY
z8i3BI2QihTnsopGX5FuUAos4g75/rhJVeOZ2zYZGVgYlehuDDTGR7/z5uEJSI77Ppi5ZYattrhe
OCWdvuncXszbsWEa8aIQaKcRiJrM2wA0ag8ZluYhrPOmCjb2mBWYR7ph1b4bc5+F4DoDkkU+f9ku
LOxsKLRonFUmwgGLuunjpTVFnrSj1fR31QiT8j6JJZ3xhWDGbocxI4ufmtymrcl8vCyjuFjcXw0O
rfEICDh9CLQFllU10lPbKUcU+q0+BYW2x2iEsprAnnm8a6xi+C5IJiq22axpu3jOrerKKeC8GkZs
TTMS9ADJj5i5OAJ9/BW5KOrFRISOSbTI5Zc+aI1HUbgt0xkmSyLMY7FktzSPh8eukqo6WfTbVGjQ
dk7fMI9XV1wlZ9sXOzWVOeajP0JYJqzrm/SfB5bCO0hbJpzHnGvb5dh/l3yJ9NyQ1sb1mP+RqZd4
9ZuZudW4GWecgKHQltK6solf3l4O7+tZDMsHZxXWjI9fRDpdsEyOK44itqdWRVU9yvG9dlBeRsyW
cpiFs9cxMsgkk+mwkoPrbZbK6I8zyvH+bvS73knRNUL8MdhHaoquUFOB0RlRbZW6/9vOkgk0F8qd
o9d0cwFzJqmryI1ROV8pCs7WHx0BiI9PB1E3xwy2y7OrmkKbG/skNo+0tJT8qtfEdzOLHY0NLelG
qAg/ROzslg7Hxuvn78kfhvJ/Stw/n71m2iBd433hC3y8kPoQAJJU0r6DQWdPyPkRkcYwwTI88PAL
y7H8IhovTfkusMFwzsm8IN66iMdOypA4+X6KdEPEQF97N3nH241rVQ6J7+wytL9s4U6f35VKR5lr
AuxDfYouXKenVZTaHTqx9pvpKyKceriLm7wM+u6oxaQbMWUy5zIO7S5nlpf1pQxTNU1tZASV9dhP
PuznQok5OQIf6m79FObbFh4kUdDWgFCUkRRP4Xsp1VztysKf7mFbclbo86FNdolhNNMr1o7srR/Q
0W56uH2/NA+9ybGWdorNRNb+Lz8rQZeUZTf8U8bMLEIqHckBhwez3NckFk9719Oau6J2QHb2pckp
PccyfQCmhh+CNGTUySEgvsw/NnTpcTBLOso74vTm4I5Wk9bux9YzbvImqDN+oD3M2yt3mBv48QbT
5GIvZXb0h/9zdqAuR5qdplrSI8ybZtwwCFEHW2e8swcjvhz6fDK+fv6Jly8nijQ+kObx6r28eJ6Z
e3rstCI9tnVmq3+CYTS/g133h30RmElDxtBisEG0cWV6xJ8mXgQ7CYwjLlzhMHZ0K5BgKWjhhem6
oSe3eZ4Z835Jamfa2KI2XYhcQfY2a82YPTiJX3sHhZTIurLaWesm8fHa4UFEukLZxtJ1EQRQ6rMD
CVhLj2bX9OJm7EXVGKAnYFqHgWzETWqOcXYbtKoO0IWLOjXLqOu8aTcSbIBpfcjjI3t/b25rv6+F
hC9p6l8dQi0fHbrc8L5ts0DmMJroRR9gUM9f2gbazLYL7GIXWKzytxBd85d8yYxqzyuj4193XEI6
N5PMpzmcNAGuMTIy8trDVNrFn23V83v6cwEhlFf21bPTE8sFtgsatZwgGDSxdH5cLpQxzW3SB8Gd
h+T8d+N7DvLSDOqdYcdPusbdCgfGI7Rm0iq4djusi9tBEgcwKzZDwGPUrB8/PPDmZAHM7N+NHM/Y
iHsx4iWQrqh+emktklcOUoUHjCwwftAocrJXCUHA/en4Y0aCBACmIXI10/gB+aXvu7AyvPnRQqA/
GLeGyGfxSgMQkUpY+MWgpih1Gu2Nl3QB0+TEZfIQt6mebWBQ+nLcLDi9dvgg8uAtMdLg0Y8XS/JU
s8h1tApAG1HJBfUDvNk6P8ipa39OxoRo4soZ6881//iUriMhXjdcfswvzi/L4gjexkZ37ibVlDVk
A6CIwYPhtGqLkKWVO4vz/N4pRZXvU0cr322NtZKJse+0SwN5CiH/77ZL3exWZ3aWhVWv0eQLuhYr
gKD1Ve1IWXKZFCcck22aPEPMxLrz217b1kw9qUAqnGcY9MqCzdbxhd3uUf4n5QYfXuB+d0qO8y9G
O/n1vZ9nidx4UkjuoOPPcDonkdk3nYVH9IURZ2U95TCfh2OP1RZxRzotTTQa2exsbfQXHAHKxjSQ
ofhLte8qPR5f4GVyWfle3qkrwUY8BF4unis0k4gSJnfuGvgITRt/rQUjLDYs+grzFoqjLd7d2IJz
IXlztFe0ozT2+moS8JxbHBOxjSYHUlgwAyystKb7N8tyH6Zhw0Hp7fNl889Z+Pw+eowlMOwSGoGs
+ePjnRW6AzdFGXdFs05T3bzzf1CkJsWvRZpV8cvwRZWGvREvW7DQc7ad09XcOni8ABvlGWnShV08
S/Oe8jo3Hrs/emzR9dZrAoZ/hdCVAPO+15kzeC9JmrPVOvrYWuzqSzq8N7Lw0l9tOnTbCn9SHGyD
VtoB2buC3d9PlukloEGV4ZBAQEB8JITGzy/BX1YXvpPNAAwtvQ+84OMVwD3kF34ZzHcuSkiJkShQ
T5ZmW+qed87U7+xuwEIQDCqT96LXl2y88gUuKzGLlNt1jE4byLnwTjDymRh0D8adcmmz3+dEZt53
tuqBBxSxTiNBlFCxwCkv3e7zn75W8h9vPgUYzglKQYafqNo//vS0qGnGq1ocIVWOObZ+rTpNZkFi
ne403pWV9NxnzzJOWxtUATY2m+ftvAnWO3pn9Zjq74ykHDoOQH5iJYe4yEEgs35X9btqyUGIRmts
8giGlOawEGqasSv13vTlplCzHO/aWUx7n4AvO9SXRAynqqkK84bHdSwL+L5Vn1y5TJc3iKdiJcwz
Ciff4RwQoBu5L9Js0O7wQvrGHpihjgNzafzyucbbwGbgDG+GYr288sF/uT+4WrhUkPv489xywGyo
nrReZEc/FWpCUEnH4FVXCXhuFEOTM1wbBF++C8zeYRFRReG1ZFn/+ECgLVJtKjJx7EVQ2ztKttHe
DJTQ8RPVtJ89+npsNEg3ZfpTESAkT58/kOu7dvZArgAzUAYrD4jm3cfP54TlCYgLwV2rKnE7xetR
n2VVPynGJvdmES/DldriTwPi40cSWLHyE6Ah8W6fp+MyHS6aUk88TruGB1tqYuBwwqDXyTtNr7v2
vUj6TEb51KFFTaHSIaypnNR/MpK5/OYmRhJDqh5gar/gRQXuaupz6V4bkf6lvHXgp6MUYmwNG+O8
h6tro9cEbpcc2yCmdgxnYqGXX8PYqwdthn8SdmWG+yVfh/Z5kTaPa+rTSmDuY+MxrRoSVHc4iLT+
6PaYA0LXLFPtIagKF6HBjInuoE2W81OLDa3LNop7UO0SrxySK92Fy3fJsdED4T5g2gZA4WzJqVTb
LJKp9rGeDONWJAJ90KBnqXYgTBsJdahZ7IpbPJpVc81Pbq/nyrN77bDPcerlIsJ6O3u8S8sReT4J
724sxuaJ3Mzh3fFR+lUhYn8Ex14zJiwhS6/7xP/0a+CubjKX5k+jFhvH40Q1oFCZX2a41h07uKrK
H4uNFvBVMFdd3ohTUEgctSyov7XtbB0cNx+SGO5quh7niQwHqhb4tG2iaSkrpMWe18qtHANtOrYG
FpBfXas1WfeYjqmU3TbVBlEl4dzkNZOmcXAr7zhZTH+/DMQe3ACLa+ydLAHohSzcq2ia1DAZAiat
fvCqKk4zmBPdKKG//X209GQqdnZTrPypz1/diy4N787a5V+tDMjCzxdJT3gNwr6WXoe76GOU+yYp
HJ2plV+TBBZnhEQKItTOaBAx3Wa1V/0QtWFr6sqo4S/PF7qhdYDGiIdZx9moIYc3vfYEkqPPillu
tEByOvDTRUdRLe1xv0jX3+SdAwX689//lw/GAMczjcgDadi5UApQJseRhNwLlAUqp4wnvaEb0pqv
oJFtTsdPHLHEXDsb/eEJnT3TFODM01gZbOsiy85LSyrZIV7uVk2350WdGNxuN4M8LcK68Iff+rSG
Nw9w44Pb2PaX+66vqn4by9HWULPbMJXHTPh3Qsz+dqDS89a2nhHvlgAuO67+oIT6rYPm/BrnORgw
KctZ3lO8Gv4hph0x36XBLNy7YXaG/kcxkzrwoHmQr56X1s5/DFNL10RrR2AwTgxQe9wyXYCwv5F2
HlfDBi7VNertn43q41VZwbwUtexjOJnNs8dgHRl4VqUHSKlrgf2ZGX63sfq8mp9bEDVvvLGUCSA5
gi+cDepvsM4Hf9pg/10kwmjGE9W+qoT2DwJagLWfPyp/+XYsQRaNTXDTq4nivJE4oDZIYx8PcKEW
XHrgLMb0xjYyzhnBkvvePjFqeT+myo1fzWYqKbLJC8laeETYDL8EuH+tDXirzP4xzE2X2f/zw0z/
l3IHkxYuMd6jj/tw79HdnXCuHgdnFLe6LzBadB09luTG7nlQ9uQ0k0trI7Cuuit14mUNsB4pXYR4
5gq8ONeCjHO/5AMYe6IopP8vUTQIOL0uOyA5UKiT3Cazr5RZlx1vEjdp6VKE+2tuwrmBxvREY4rY
LI/OhMP+ThVx5h6CePT3XVad8JQs/+aQ00LYwfMXtxsRNLdjUJ90uIHNlQXsXBX855LTy6NQxmV5
2WVGquo3ZiH7o1gGbc4i9M/6sKHd5k9wY5zJsJ8cqGaPCjSuFoGpd4qTWtqBaB1mjPgxwhHrbUpy
g4588aWtx8F2oR7EvfYqC82OT6xCWnojgYU1hxUBnT4tSNLca2Wze3EnWYRRioMRXr1RVLEfn6KC
LIPSajN5TCo/F9+FZaXVM7JgH9Q8k9lbG1lyDbGc9RKiKpBC7AxFNr51yZjvMlcjtYOtywA1otES
r+A40wCKWFO9bzHu/OoFrX31rDOsg0NRLPH3OB+8JGzxzxebuin918zjdBO2xsxyz9wz9vZGVeBb
ANfRZnaxAapvj7dOnWd4AdN4WkEFwje0ftOT/1QeYhWXPlwE00m+u4QqDRtby3Vny0i3BoITpxxv
F1MS1+M4lSofEqewAibNgf09HoWh3faT6cpnrZjctTZzMTngBvKRsxpmduidLmP6mSPOuFE8l21o
jHbfh43O3HlrLIxVblx4pvEhnQx4gU5hUtqBNfUIZe8Zq/1wc8btf5KGm6QJCW/HqVC4uY9STo5+
oX11QcODCEitDlTy56vYxYYH52k9xlE5I6dwzscyDuBxhziZ5Ki5laF+ps6A4y3G33lLYpIGHy2l
6lgFGNdWz4tKgw9maWdw4NFeZpH4+Fj1acM8xEcEPS+r4FpawXTsuSg9cFqn1b4TyJDJ26w1Gu/Q
Aeiuo5kF5aczVu63pWhz8pr0KQ/mb3qm68SAMhwwFzccs7pSN7lLrMFtYhvk04Y9zOufKRvJtTzE
c8UjLzmCYwZsf6TsTAvPJArmlC9WaVbiGGi0QfaGmL2NNTu4NKwuPjK3gc7uk2hDM6sYi31JKyWN
bGFYoZfnHsEYANWvtCEuV0G+EzUc5mqWHaBmZ4s+MAy974qyPPLk9zPBL7Yt0BzXnXeUCaajiIAW
dmtCRKydTNruZ+XFwTfMYcRxalY9qrfPH7DL5YM6bp1TM/9b8SpnR4Wk96hlEI4eKSUWPWzVXG76
FsIL6HNmt0peg1j88aB+qBr+gABXfDZyKOYXZ/tyQdlQ5KomfCD3mxRacEtuEckfeo4ekJzFiBZm
hoeztosuHaJZjVyGjQ9nDUVFmWjt8GTgxfg/ys6juW0kDcO/CFXI4QowS5ZEio4XlOWxkUMjA79+
H2gvJqgiy1tTM4eZdbMbHb7whvyBkDtAFBWTAAfhZp3CRe/aRTBl4Z3DMH+Ti19s02imKwllElIm
wfflWUBwlJ5d2xuP1oC6W5sU1qudNmPlqnAtX6GvQ3zLwBc/511o3emHXqdT9qzAMHcrCLGQHVks
Fx7nqHhDJX5k09h5spdqpfzS6HKBq05vB1iVNJYW0urPS/gn6tqI6tjw3WGssLWxYNbB5CQnhdlI
7012Q/xA3sLGHotPZdon1XGW/Rm3kBpT5DVwxFK9CnnkYy+6gYIz2uFa6NmS004JcjtJNL7KsqTb
vxKlSn7rSR7h9qRGXeIpmTaGnkpP/RzB1xrcEX05a+3rFhRE7IYa5yGXh0LF4qurHVhEgM4jAD26
Kox4xV0jKatRlvPgu9oW1WMfh6AU3BRsotZ6AZYPx0FT4Pve3v5X9TJuB24GBVENi94D+nKX35Yu
IKVZIeeHoeoKA1BRwylQJkvegopuT3BVsdcyZn8lUq+H0WizDQy/YieXuFZxaTfbUa+Ug66E9inO
e5TXTQzFXPzk7iUhy6eAEhX/mxMQ4jUC2sWNHCITHcMgrw5Q542dnabRfwXF7t0IaWldqnLxnCb/
KMvFFTjDVww6jKitMv5iTEoIRe/XUn9IBbIF0VB2ni+ruQfFv98pBCZupFndnS0/Xzl/Hzc6DgDp
AGUSn1Etthb1qTIuIWDbot3l+pSdDQspQTekedC4tUxF/84OWF6A76NxF+EIT1UYePzlBrAaR6Kj
J7e7EoNG6mB5JLstslXlalSGkA3qIFz1j5H/POZcIQHfwK7DN+RyzEDteiFwj9kBwDe+IsxUTavS
DpL8SQedhu2VVKXnrCHaujPwR0vLa0iqBuJkhoVdDoz8goPnvdLuiqauVlZvFNMGzndUuyAqrHvV
iqulpRhLa3V2aph7xUsdiMoEiJST9+4zfQhXQ2LGa4cwYIMH+FtVEurfPsvvZYeLjcN4MC4YEDDU
bIp6Obs2c3pIo5O5q1DOTvFdEmPQAl2eEfcvkMn03rPayZyezWgsD1UileZjinlJ+SKyipxbTErw
A9cUNUKfS5KQVms0wCMxNEBppZqx8d1WUvmn4EYb1uqI2tPK7Iv4nMcQ1dY8eI6zi+xcPaIihtpl
kqMZ8JhXjtnvnCjNws/OOKGhtckbH7r2mg2n+7+iIDOUnyFtYS4PtLabqfeE3Dbpr4oSFHx3ERhw
kLPYECHClQWlvDyP/MYTbdb+UtGUix5kBNzSDRYwVvA1IeVt9zWYrJXAMy3YY0XXCU/TR4P7nFtW
feyJhde5DXbLq4QGSlLtra4QgB80hSQoDyGQ52OQg1W2uq46W7GTFL9vf6wP9gblQYfykUOMKS/d
ZCVFJx1CDmA/FoEyndUwVsCRZfLvfqim9ikdE/XOQb/a+7S1Z90IajjEM8ZSBN+JOmI9I432SaWk
TyBIlWoDVlH+IUVNVKxvT28ZMmCw8v82hoZYN2HD4oRnRdFQQxhB+2DTqVFXoHSIRP6wsn3MTYFi
luu8Rt3KdaTsHq3lg4kCNpolPdEeIc9ehCtG1Nt+BgeaQz74oDBU+RAopfZJn9Tu1+1pLmu9THPm
ZtrArolPkI28PHEp5nLka5W54x3pXaEWMZYkOJvFd77dB+PYoJpp3YHlBGO7mJLi1Kg7F5G9CxBM
0L92ctcbh6zS5fbeDXn1yqJmgtoGND1MC7hKFjdkFKkYXGDbswNC7j/Ti+1PcmCjpJHl5YR5bUrv
zOm79E5PZrFf3hGcbE2qQegck8wvhlVI29uqG7RjGTvBOk1w9jQ1gZFppWnlDuJ8mrskM9YfKQ/1
3e2PuIzI3wenKjpDR2EmYch6+RV11ACTuvbVo+KgpwUX3El84dX21FX7EflX7bXu4n47WKWGBZdk
5J8ceLkpJsOG/BCEkz2uA6PpDeroWCh+iuuuf06S3FZXt3/o4s54/50ObSQSUiCC1K0uf6cSYOaD
6btyrEZL/qLmfhx7ST20Hpd1mq8qu4peb494/VmocNMKmh/pWadqMSKlOBnkQ6UesSqbguc2H+vP
oSql42qwOqWBMiYr31EQDoO9ZtX6l9ujL3Jw5gtZlP4gf5+L7MuK2dh0Wkk7QD22swB6PSjGL8s3
Ok/K0ZyTsPJcwVh1NnVK076WzOnOvrhebmq61JdJo2cRq3fr7L8gocxSBzI+acegxI6mK0qsMY1M
/eygBax4pa03051bc3FzvU+YvyFdRO6O+s1iIyIL2TqYzutHH5uewUssvfssFTH1Bz0S6svt1V2c
9P8PRhcW3hWLTF53uZuw8JPVusyNYzNSJn4arEb6g0IEAsemJg+f8JcLicGaf6dpII1tK/xlQYKz
l3NkSWMpY68daVkkb5IEKsKjnmMddFQq/zFneJ8jyN5ZoElxZhGqyzmqCFD0DTC4I20jott4kKSj
2fnyM7qawPVCCF6rom6HO/3Ha34de3Ym7s9If5PQevH8qWFkVmrh68cymBy8EnSk+6u2tUrPiLRh
ledZ/V+NtAy8cwlX2skI1lC+1O+3v/DHPwOXrln0i/tcWXxiqUD+aJAs/dhpkoL8mZZsTISekRgL
culBaULzYMZj+WsMI/sJ1JIP1zS6x0FYlnzmjwAWg9dR4ZiatJYvPwIe6U0heEn5CHUr9sqIxs8W
4YwAGE4QIaLZgdB6mZLBzKG6JMizOH0/zRdKmO6gJovxzmPzwcFGH473miYxWqJLJr5e6XmaVIl+
FFkCMqyKwg262+o6tpzksfHL6s69fX2sUYEjCkK/nFFpx1wuQBhD4sF913+ZBHQDjHay8qucAnLP
qVFUd+6Q60uTSITzpaM+T1yyfEkdPwmlUi2TozKUefvcVPGkbYe671aaKYWYYNpRZ63yUIjvJtZB
3xy5Q9vqTipyfbfQGyIb4fKmzHfFQ2+oMkqFMRbHoq2zN35P68V9r1VeUmT2tPX9QH1IfMx9bm/4
qw/LPc1un9UzKRlBPL9caIVHqQt6hB0AUgz5hrasC50aadCmrDclfe8707weD/0IALQzvhx867LA
WqDjP4IR9Y9FMoT+vtHa/KyXoM0QRgrqZp3ow/RvjSvQ7AzJgs41EG7QZWCdo/yPGpPtHGujKdt9
4RjRVqQWrsGlkQ/9Vp5MPbmzrMtC8vugM3GaXJaddcWvCU36JmmRBadUUQMMfrAzq76hyWRP56Ee
9HhV1YSoB1U46ScKCLCJRwe72VmmOxv2ohGVWHe9GUp3DtbVXke9CBsIkihAs0BNFuGJE45GCaXM
OWZW035OKgyzkHeyURgipdefO5GQrdLgTI95l+Uk31Z0h2X2wQ6AxQ5yS4ZDTIdi8Qs6JROFNo7B
qcOB66AGkfrdL9DWtJsqSLxESYN7XdP5T/wryZ+/BY1ENjiWLITpS5zy4OMHgNSHc0ROfZIeCi3N
9mlp25zmAcPvxJ5KfRVGeDN7lAnoNd0+Yld3mQ45BVEHch0obXRuL49YqnTg6tHWOoWAfuJNn1jp
ti6TINwa9JDunK/rueKAO89zxvEYNNsvB+u0Jsr9XiSnWJKafQkG+zwZQvsBT++bg0rcBmFNAOvI
DqHLc3ue12/n/E3RDiUOA0KkL8fWChR4LXRCTzEyOF9Q/dW3WH7J+6aXqu9maBSo14FcaHwJiE6f
R38GdKruHPYPDt4sB0y1DFr4LKG5CAhzEzcfdNito1bjL1rRG26a12gIJOOZhgDqAGimE71EsOhn
y9hB8ne6lCeDq4g+zvFoCtXHqlen6c62f8+hL3chmh7gC+BDvFfnF9sgbwo17+zEIYrjaV9ju22I
Ffp7VuemlTxicI7/sI9/dCC3D7ZZR8LDQKdeh6DLgp2NVQvqXnHvxx5aHTF6c8WQfcXazNYOUHok
ner4iChuTEtg01rO8IdCdPfSICo/nXAILHuP3pQo1yHshbc7X36ury7nhkyMo3C/qjxji0WP42RS
rKbjhJm2VGG2p1meiTwvlSSrgSUfBaj/KzrCDWjMPKSjCoHDqpJHS+7uGVJcvaO6OZcPQQ6aOoIN
y5p3y7NjmXClj2C5DDrFqRZ8CUylsta13Aedm9k2uK3ArOLX24vwwcA8alSooMKRiywLDibS+IXP
FXR0jErBpgUWxzdaAUm3RSUct7Vk6s5hEErTnWN3fb0Qkcn0mmj74mK/LFJxEeCgmw7BqWkMJUMS
XxEeiGmh4Mw6xHcK7deR6Wy6gXQrZQ6SPHmZ4dklKKUOOfFTm6bBb+A5dbJtulhrnnupd4z1iDrQ
7ANjgmjMgKMWr2ipSeVKUxKhrWpZSHfO1Ue3DunK/Jy9oxmWiYMUBI0uOjM8RX1ufS55zZ/aQoaX
pWionKJ6Lly6h8M+y3QfvozUDUDvwmZ7++u/C4stjsC7KMZMrKVAtsQEg8/F4akJnGMvtXm51yNp
sl1cGVR8geAtTussKjrE9KKkQj+xs4xvgVGjd1jqadzuhkLK/c++Nja+K+kpzsSgrUPg1MJ6VnHO
eoEkFWZuShlLeP445K8jlgqGhzO70TwhyjVGbqtnwacpCNPfVkvgQbE71x4rB2nXTZBocfRqy1Eb
esA3bJQaDdSz6CAkqEqjfuybB0Wp0rXRgoTchKUUjZ4vgFxsjaKRtm1qI5pu+IjuQ9eVfWeF7k0R
/YqVUFA6bzHaSeJRi726Y9/jL1LXeFEaSh26M6gS6I7Tx7JLfJu/gBPvxscG1ly/agspFAdZmWTt
p2ak+nioG10d1wPGXHhnhHYBSDAS0zPGn9qP0skVqDtJHH2+/fHes7rlx0P+mpcDBTcIB4souGuL
1FCF6R8bPR//G/NeTNvQlkwTbFob6V6BcQPkkRG+oJvVdta+qTxlAVbpTpZukrqpOrfqRPOko88a
uJ1dtL+QoRSRl/hFXd4JKN57LoufO+MAFHJ+8gV+8uUjH+UDlI7AkY7hlGfdCtImZKMi8EeZsY0w
fOjULhXPQVPL9lYCXVXhzNOTydSZ3+luiTAqSVXVa51wpaGV9TVbu6W1VMeBO/Wa8jb5MvtAS+Xy
p9LHyauVybG+RuRTHlZKg/DYGi5y9myUeLqvJdAuDFxncNrQDFUFu7xLdP6BMss+FayXW4bdKNYN
CIZ753+OaJaLAQGYHBG05fz2Xy6GTEEGgyPHP9LK1uSfPHS4jbjwG8OAFtVY6t9ymmPYBfdjLj/B
A3YOTiRLxQE+lNwbnt/hlVpQ9bmXw14HusA2MMkCqMfVTCZw+cPMxtILc9TyU0IHvXrWqnD6HsNa
iZ6AHBs7aD31nXf4ekSqsZTdCOxpwEJOuBwxHLSmLBInO8GqUmV8fOi7jpnVVW5Qj7SYinvg2o8G
RAiI647uJLXo+d//Ve8DNEWx36/LU2b29o4XEE+WsaXNXIJ5UrZy7Zf17vZZvX5mKaWDp+Ud/6jy
nAZS5kxKW56QEq8NV8cavU61SfHaLI89rc3QW6xobt0Z9jpvIr6Z205U/ZAwX4YVGYQP24is/NQ7
wreeIhSYCy92BvEfzkRwkmnBTw7qyXPnd8Ih2QQWprZVe+ex/2DBOfFkb7RgkMdzFnuqs7pIrYhg
TiiB4U5Tg3njPgy/mzqk60IU5Z1w+oPx4LzSqkHak97bMndphqCXEHOqTgU+Qdus8H84OQgvyEn1
FrPC8HT7437wmDM1WrFsG8QGr1wzc3SH+nHUxMnHkkDZxGMIpcZGkNwnSNbGTUW8Ea6JcRT1oaOe
zKPUFWl0gifVJHdS5Y/mDr+H6/Ed77T0O5VRQsEsoqtOge/320CdykctUbQJPmfxjHUuoODbs3/v
bl9eZTPTjxiSU4y41lKUg46VjpJBCxgz0nHI9EPZeKNANji7qbSopcdVW9kYMwQMLWMmBNoQPumz
jFJg7hLv9o2nxsJGKlvOJQ1Zd8WCmI5opYsQeEKKLTQdd90gl3NPbifgES3XSAjjq9W+a12RdJuw
kuEV9jay06Awi9p4cQbrnt/5B2d4Rk7QcAdGzHGaQ9q/rg1HjyVtMJv0JKo2Pctham5gM8MKiLX+
UJZTsufd299e3A8SQ9ohM8WEUNGE7LZ4NDO41XnlT9ZJR9nzxOcEzaAO2g/RV+rWlOr4Kx3lZhM6
LSsdBGZ5EIoiqZ4PkinDvFAZ//ls0SVScejhzZrlM+dV+msVRqeJrBoVyFMQKQkOzCPmxBnuWwMQ
U1t9LBO07O5EDtdbei4nQ7WhgQG0ekm0QcihT+IusU4p7BUJjXUkXFmE8XMUo9sBubMa7oRW19kJ
I2rYI84Fv1ki93KSPa4pAN8YMfGn6XsYNbqXTlNkupXIu/XtTwyvgj/t4gCh3YyE0fz+cW0xz8vR
fCMRBHmhwy1tTe3PUG/Q+oCLD7b4jTJMPdSbAHZrh2plE6kY9vUJstRB2Ab6Z0526nxDUU6qZZcT
JcYHlEcljBT8Ok53RmGm8m/OW20iexN39qpIANP9bFQf60/Dn0Cmxdj6VjvY7sFhkHEiBDDaEG+h
qD7s5QH1hXPQaIH+NCsxJ25pQGFjIZS41X5SoIIScRjUciTO7yjfpSsAVtJ4wKBD/aQGWW20HqJN
MgL8utGqZJSjo36WyNF4CMpwOJPjdhM+iDoWnEam+RuMcbCDht7ZJq4U+9ZXq9O6pzmgT3YV2JSN
0Q9hsxIxld9Vz3lMEf8BGekGkjyEo9djWyh/hvzZyG5CyOl7ZV9NR1sSjrVODad7C3X8LVe2UcjP
WdPLr8pgKKPpGrne+fs4Lkr/0QwDG8xspBjHzPbrHEHAVPlq5Ek9gghX/Je4GCAzZvDlq1WhNepv
4lFD+5JzDIuHIjCwa4VSJ94mTEN+Vi3ls20rK/UD51lCUAYNiclNkmKMzlVBw1XDWv0bxpDiGOmB
GD36SP4pSyhIWUaZJF7WUaZbFSKtH1BVLWIvEoN1MtHw/+IHfXdOrMT/1SWOkrpU3/Ns36lB8K0E
nfeb0qTir5GxFsErvPpJ87KEPMBNEXPQPEx7mvQp1zq/f4rlvnhDAocsalRiyr9Cc0IMAFLsRxD2
UDHiGqkXlqvIqeUGrfm8fpsgjNgPoRLGAss6Gx8iLMSccEOSGOif7MlvnCM4BDwBJDkzH2x17D9T
7iziDbzs/IEwzXa8ysSzg1chRJZljEZxNKe8adbQlILGjWOzxNee2Nw6WbiOWa6Mys0Pw7KKn22p
9skTkwpX09jZ7XoCRX8A5Jyprt7Lbf862lDmVtOEa/268hPxu/SRxCTck/vJK3yrTT+3dA9VHBMK
VPD1rlasM1bd/luvk96+Qs4dugdbTiThWWXrh9sww7iWgszYVStfFOPklVA+9QZ2gdGwzem2/awa
2iFgyRU5W8f4RM7HK8AROIoaZVi1tNtx1xtChVzMKRHCjmaAohfLAsFxU+2Ub12O7cF3pRS6+hwg
XN2+aiz/Nyo4RfemhxaGmi5GBGqxD4O0f5Q7pSp+BD0w3SOt2Amtqr7CORGj8dr61dZB3P+pw0g3
n2pkMKdNhtTB6Jam3RwKOXIGd2ZvaHwiBEuNpHaeS92vjIckqOQBAksH426s8N72+rEna1r52IY8
oXhoZAf+w3Td4LQxmB4Ci5QnU2KlWfeZWGFn+2ScXzIjCXEOlMtmn06iJ9ZsmnFyU9CPsmsE2WSt
xkkX1gkpvaDg+ya1vZIyue68phL9czVNk7In/ZG2ZhcbzhYKKpi0JjAxcYnaMeo2udNgkaiKdESD
GHGLYG9OoNDOnV461RPz9YvPcRwPZJNphTyeIlTzBXpEoKz1rMl+NxIuMneeyquAgVcbGMcMaqDt
ThP88l7XKJeU2FGPAGtU4+ijP5pAFfERhOtgNhz0CY7W1k/95B6g4er5olEF3hfZMMJtAL/zv//r
jQaEFtgdCd7JTHPpv6QIzg0li2il4gRW3wn/rh5nA41z0kS6f3P+trRNlHVsmOCp2GhVdMWmKKfs
LSS1Ea4/GsZJbarxToB7HW3TkDBouTMz2POAKC5nN1FZQj9MxVUGoec1+qDyUzQU+X9QRJQnpaqH
g2zW2laZjG70kKPyhTt0+rfbr/Yys6LJDWSF2iW3OqXxKzg1Xc4M6lD2qo5aobpaSRdMaYvoTSrS
eFPJManUhH3dgF9Kj4hjlbX/3JKCzIClELVrSGbOFa0uKwB/YiaWvkLMFf5GjtXht5S2dCmSiof3
gBWpeiefvC6kGsgLEpAyYxJa8p3LtceKDqEtbolTrUWFmxo4vsSWCD6JWhAbYCJYPvVYi9ursU7r
t7KAGEy5ewRVplPs/de4kPM1K66T6xCMwra7/DHoplExVPPhZPcoZo6x0ngIHDQoORiNdXQa6R7d
/INzRQ+Q/A6sEKiCJc4XxLQ1pa02nowyhQotQmOXaUn/ZWwK/x5Hf3l5zBuMBj/lkFlMEpL+5eTM
2Jb8wA6K19ao1GDlaI2DhKTAk9Ox4uYxbKvqhQZk9vv2vrb5Y/+ORRlWRyqYdj5kKLoii/A+7EvE
4Sq1fLXhi/nPfp6znziI9ddJC4NtGXRFsMpy8q1PGl5CX2+PvlzgefTZj4KDDfyNnu9y0obflSgw
vlIEQig+ywvriApZtzfrDqea24Mtby5s+yhxAR0lIkclXlsE+daUxJoJ/+lV7Rt5wMvJCV1wixiN
0kdT3/SgDMM7Q16102jlk5bjGQgTFq38ZQ0UlGVfAIEW50zS0H12Z30uDRuk3IoJy0QW7EBH9sqX
Qh6I1YnnJ2cFYEZ7KwKV1mdlB8roIZtlIaATwjdzgyG24w1YW/XR0HyTB1YLpNoLM9TiyLA7Z4MM
Fmr8SHelwSsPkjy6nY8itJsiRWe+3l7S603L9NC9IXWakcdLRkMb+1FPNtOcm2DITjNa8bEiQzgn
zTB60lCbD0OUhH9uD3oF62RAekgzbZ16D+oU857+67nL2sAuJzsvztiPo5OUVQhdea0VBQ+B0VrG
PsTMe4VHZQZHe6wM62ArJd5PtVRpW2S3uxIecDuWWxLaYeeMxDk7dZSa4XT7d87P/eXRmgVSuaqI
b1FJXJbrIwNITCJq9XWs8hK5ZKolzVaDJnbnWrw+RIzjsKxk4RQbl3q4SlMEVJw19bUTdTxu8sn6
zwBzFnlKJ9Pm+PdJcR0yH5JYju/yxGZJqdeIrL1KuYR1VRLk4d7CNGu88/J8NKm/x1nkyIDY47SX
cdggGxA2ZBWQCC5CKaO/ou8DlOz2tD4aDoFrWQNUCDdn2Z7Du8kqB3vSXiP63wRtZfRgGFH6Sw6T
/F519HpfUPoGWz7fvAy5BCBEcd5YYaSSa/hJ/72XSt90O+qan/91StT1ZxrOfD5hIyweFCFklF7p
Ip+DQSiYwrbNxMNJt82L4kp9uz3Y1TMyK7LMsj+0dmWClMXdaqJQqtjYMJ61ImmrVZjlzhupH7Lk
dquPj+DEorMRxeWfCTpWf+cAXN1C8+BAEKET0/flxb68D4ALaFNCReJM3oRxoAOlWoPhZztu7Aep
v23KJN8rvjnt/33SaAwQAwOHmzmvl+PCiIGTCM30HDaVTzMH4591brXBecJH+Vwg50t1opXNyNUN
Yf7zcwaEgUIKmDFU70DdLka3sLqTtFLAp4opl2p9AnttyKWfei3KfRvW96pyV0dkHo/gmk0LvBfB
o8vZgu70wwxg4Rl9ZVs6hL2SlZuh9VPwMyhjOKvbi3t1StAWm8FXs4QV9hpLvS/VRJGT4Asj0Cpo
Mmonmf6fM5X3nLiuJKZpx894uzm0hCWpLYNKXQ9TXtpsPNsRBZIfOINryO4KO8DsruraT2ZKLW2n
tqbjrzVaV1RZe1MIsc0NZzykVmSkbmr29bTzI6NBldUoUULBeLfuQ/LesZoOwhRpdbbtsNwVslwp
eIxJbeYl3YTVKiI35PVuk5PTN1so+ogJ4FFn4ntfxT/DqEam4fbKXn1IRFV5MSxi+hkmseyWVMRy
VoP4wHkyJQs8xmB9U7Cf3AqzvafGcT0UzH4KqngXwfFHy/tyz/STGkDFC6sz8trNOQwTR/X6qD5h
8Ge0m9vTuo613lXqoSVhf0J29C4o8VdYAOI2InlUq3M7k9G2/lCnO6vXHc1D6qSp/jhyE9czwmUy
tqHWlq9g/icq59NAuUPx6wyxh3yawnwl15Z0HOVMqJ4l6gHYQBfoeA/qwfQrDmx6EbhJqn8M4rUd
3YOx3EgN+kDoRoe1eBYwbLI7iJar+3X2vEANZ6ZMECgvJVU44lUSmVl7Vqy6Q9oPxxRE7cv2ZVCr
4uuoWuVaxxp7G1N3vrNdrsLm+evBI+YkUiO/itEVJxOBjyfjuQyp5qEqWNI6x29Wb70qkkW9zcJg
uufCcHWlz6eR9iHUIQ4oUKnLjdMKm0cSzvJZEUo7bCV6mqBSyhjLBcK1/inHYWaT1sk/PyWMSwMR
ZQWiAeg4iw1bVUYQRVrVnVUNY3GXryofQm3a2zB0vndkyHgjm+q9msrVMZmjQ/hfNGxliwhuEex0
4VDFDepG57ylqomvF0AO1+mkNNv4vZWW69sn5Sqrp2tpAR9BKY/Hg2t9MUvQRuDa8jH8PIJWf4gE
zWgl7ONHan2foqrYmnqkPM9yp0+U6oxdy5SfRNXX/7azeLpQuuL1otMF4Jma2eVHRislNIySJriV
EVZsrJE0deOo6CCkNT6znonibfFvceX7mDp9JYyaCFMAA1yOiTJhhvCxL2GEZccNZBiwrSCzqvBp
zNoft9d58VkZCwAAliUmUPL33PNyLEsYIsXq1kGFWa5/9UPmr1sU0fHIsUb55V/HwsyShZzJCIy4
TG6zIJXswOrDg+0baP92g4GoOELL1aopbRBdt0db3AnMDBoooQ9ca84JUMXLmc1KiiZS6f6+TB19
lzpj/SLHo1hhOWSvVDWr77hOfDAejxawZCoP77nf5Xi5xGUc66G5R4euc23467tOLhCtaUTlbGO8
v+/FBR+PSHefvAqwirGYoaJC7Z7aydjnwvgS2UJ54eGuDzBPe68y+m57e0Hnrf5XrjgvKLVNEMkI
DMzcjsVwSRO0iJvh5JGAClmhW6S7kiEXa61NFNeXpXEXZc0EhspJt76jZZvbwy9vhPfxudxZXngz
VNgWwWRmItwmNam9x443/B7aIn0I8kH+Tkkh+253UkNn0VETTzNy+zHT5XHrAzA9ZJMu3/kpi5fu
/7+ELiz1KHMW1FwkmIZGc3mglr3PkWteGe00/kJVw9pUaCM+U/JLQGmhMLxLkHn9fXsVrs8rRFyU
03l4HKBQS2G1ifZETThn7iWI4QewfxiNh1n0ahXiHr94/p7L782ryleX589uL66hDDYP6RFDlble
bvo2KlY8ebjfYuixNUfw/rentnhP31cVnhzrCnaQZGGe+l+xERpslZGMCttZGXWNUmZcP9g4l3pK
LVeraqQ77LGq1Z1hr6dJ9xdzPuoPM75sydsBkoPwiT/oeysKw280rTLXnNphM2i17KGdqdxJGq6n
iSwDkS1ECmJbKs2X03QmWl5S0Gv7LtWxuO4jdeXoYXPy/dw3XEE2+CK1Km2m26t7vXEYlpSe3gAz
BTt/OWyQ+/J86+pch120VQJh7O2aeBDzQ/N4e6iPZgjax6awxOtlLo8HCa5fd02m70dRyX9qOpdf
/ZjCEH735jS4lOimT5iQFsO/rixFEdJslCkJxmbPo8spIrgofAwBnL0JnuqTUNEO8nLJMR6bbFQe
JaCwXmWb0Z3X+mr/zKOSms2QNkhvy9laoIfqrO1s6FC69RJYDUpJKjSpn7qOkpSbJbp9Z8SrT4kW
hMxmZVzuHy7+y3kOuBP79qAa+9gaVaxT8izcRaPsu2FayveCEeId/rjLewCpxL8+5yLyo6ejYgNT
o6Jpav0pMyCG7MvKRAwGAlLvuEPlJI4LJLwynoD3lvIb4lU1zCvNavZy3g0+4u+RgThBp/YIfYC2
MCtPnaidoqFPAu3WeZyN68JEgmKtgWd6CeIZ06zJo3zm8R5qT0WLWIIBHfT0XAOjaF9kLfOz9dT5
mfiq1mY/PvaZVNkvXYHC7doKndLY6aPIq9Wo+776DWB/1Hm6zb48TGphpRuta+Vi1VXl1H0B/qdq
rzxuCu4rGaYQrgyKKHPzJPU/F4DCcAjNsf9ZF4oSfMkLRQpWaha1T6WW52RmTPYJj4MsfBB9L05S
PAx0gSMztdZRp4vXlODrp6Vm1muj+xP+eJoj7foq0P6oOKK8yUZXSx5svrwAtC5FsVumiFC6DX7u
e36mDpqqbBOxRlE2ag9BW4cv/ZSp5pNtZigzVNDgn61IDk7QWJLvOcEiciksn2thGHCIfaMJPQ2f
x8JDqdDOPitKDgC7T3r9G8qhFWVLRZnEOhj9RtvabU6HPRukX5XQU3XdS8JQVpOGzIDL/699QBfc
RrszqxwXrFtaPkTW6PipGyZa98nqHIATMZKB5ifbpyfuUSiVcIYyQ9X8FMY9yzoh+v/aiirwt1mX
hJ8qDJkrV7bL/lcSGNjPAntpUUkJpF+xpWDhAv4r/R6kMcpLoAgqIR+ltERj2UizNH0hLdSlt0QT
06HOAtt5650kizdDqIps1XUSANNelINzkMpafqQ6CFKhHkcBGK0ZBoRxDKgez7mFx4ybqWWqbxSz
4HWtZKXYGiHAs2do+KABO9GBRAf3FCTbHvniwYvsIJJ/lUoXl59kC2X/taCzY/6pnSgIPQNrrPa5
yBptWgdaZvxBBRWxO+6M6tGqEaWlz9LUivHsGwNYOducimRjIQ22QqHFb7/IaTWMiqc3mv7YWLSQ
W5fauujxaxkH6XcmnOmo47k0/aSnUIz5OvPb7A2liLj5ro6+9LPsG06PgEcDdLn0xyLFgaeZ0LHB
dZcqclBUbdHgzRTKwasINStfJdLYpQ/WmBdYyiemPCbc2FEiew2Ildql2pxIr5xG4JypWnSHHnIL
yu1hXVm/kkaVLKr7nVVtMItqRsfl8Q6/JrFEaTwBqDe3sxrjl4zJt9ilTY/YGMZfYPYgsL02Zjdp
uwEV1BcAmop1MGupFF4RjenvSkRCp2NSCmmNI6vo+G112nxF57BvDvgnZzsraUIUwkajsB+CoujF
Lp8UGPA8hn3plqhejw9pK/T6PypiUf1fJ+n/o+zMdutWkiz6RQQ4D68kzyxZkm1Jtl4IDzLnMUlm
kl9fi36yjy4sVFc30Ki6KOpwyIyM2HvtrrvPyo5hTEQEwtwd/dFpnciup+HUEO1AB22Z5RLCcQaI
rwVSh5Y2ak53Q2fAru5KqSo81Za1/ARkG6i4ylmyIVMuuYaMH2L0jjtrinvGwrYfg84znodBNve5
o7n+Ph181YaL2To5kXFlwYch1ulT4xLIChWzDYYw68SU3ootlwkg0AhP0UD+bjJUp9WBGEb3bhnI
Ill25zYPTgWogccGDjW0Ry/lHwgsKcLJc1O0aC2vyh6Ud3UebAL4MDi45qXWtjSEuhkrxEGMn8pd
lUyqiJex15+CetWGWJK0BHssVxNtRC+vT741kCI5EqNGl2VdYTITGGnah57EAPum71P3pamVfwci
hgmpsKcJ7U1lz8XOm7kP3wdZqJQJxpTOkZpbBQIWXiUsd1clVjjQz0r3nTNMKZGTQw4NEWETuXgc
/181xuC/ZJUG3xXyxM/uYPVOtJ1vW1ROgfo5TwWrjwX88lKMafZxdVtY8nMgWTiqLAueNG22qpOZ
6UV/gOu0ngpeU6ZtSZs8q7Tq0UH7U/6iSk+/9XpMKLG2dtNtZpZ+GmXrMs07f9LUKQhE+6XSECCH
cjE7D221NuKPC6xfg2YKL2pd0fe7pO5oQk3Ky38SOtLQS229NtiiNisWIej0WgaOwF73KyKt4EAs
MnyTcZg1I8JOwkNaxVjeZRlRmkBpzOXBJGQlQyvmTNVdkJXqCR1k9VDkSb7utcDt2zu76DX7wbI1
xoYhBXMiTgrC+q9x2WKwBqvsy4dKrc5lGSUJtJq2NC9dMqqvetY75R57dWDu4dQON9k2ziOZd7Q/
iKV0jVBOLm64eWtBHXpjdW+8BmFv6CF1+VzRBX6Fzmf0J7V6EpBWL3gqNix8Dt6GX0UTzIc6sgic
qvZ9m3JKTsauQcCVAPM+WjM3NywhRN8C1rJtNhy7vp0d6T7KpNOxmPZOcGY4njqxK+yiPg1JL8XJ
4uQ37ohZnPTd0AYaSU3FhDyxKkR/Y+VzhfHfzTMR5y0xipEjmFOGbj468tYhceVOcurt40JvhE5T
td5Ec5ab31RBGqi93zaudWPjR/xZDAlKxgywN9kCsh6LEFyF+OjXtocK1s+rYsfBf3qd/Lr7Olrw
v3b0bscjJ1qdgQ9ofjdMMqd8qPOkmxCZ69UcGlo54W8IeFgHLA/TR5RwZE1R/hl3S9t51FjkFH8N
StNb75rK9lGhFgTxhQZnliZUghKGHadpQcCS4qOFdmmMHstQYPzw7LyRQPjleDtq/vBNS3VZ3li6
FK9GTT8pXFuSAT7pdYVXaR4a/9lyRC8iQ9bza6EZqjxNJCM2R9PokvTCP2EFUaeJzAuFmU13PnPz
4uJnQv705hSvZOb2zvhktGPZ7VIx6DRfq9oyjvhXt/CmdYF7mdvGaB7y1R8/OtlU5PxAzoSxsBLf
J/cwGRL6J2b3YZk6dOPZUBpFOFIDW68QJcb84K9mUsZ95867oBVIfaga59eZ/WTct74CNS5ThcrT
KaULcDP10i+BLVAAMuAwi5j3eQ4iJ3VtPzSxAGYn1dZLcdB0f/HCYdL7/DIZS2PTQrWS5liVMtsh
W3eSQ+UJ6ynP+rXdjYQIkbQ2LdRlQbAun0BAq/6QK8rIHSGrLk0n6jSQcppyvGMdBOVHLdektU9R
Q/pRt3r+fZEa6CYapPG3XWC16VkYPRJqazHs8jiVqf+aBQ1eOeD6s7uvVVO0UZ1lSc/+6ptDXHYT
Tz1os2Y8453Cvebg7siee2RCA37JCddQg8AxdhcKPBT6aDuOFcgIKvbONerbBDZ0cui7hNzAvE3y
4lSCxuBDlHhAQrqOYJybJUc0ZhLW1n50bceQ54yXHhFz0yefvTXThtDUUmMCRh20P4lAKjGQOJSC
jsduc5YmWOhJVnwAZZnAyqtwfBCvSbMVe60+VTsRpPgrBMrhFbHzSklX9RDXQ5vAaEJFvYmXPnZz
NevbS13U9PbTdNfYfqbjRW894x4PUynwpNXYU/VgBI21OFl5KdWq/FitorxzW7MdLnVtjrEAqVUT
bdOOfL+iW9X42RmnQMQMvvgLvNWpH5uaGM7PemckMsJ0NvIBmNgT93LQWkKVLZEZJ072k1GGqu1G
dWfi7ClPprPUQSha6Acs4Fm3T8d5kGmIzh4ByAZ+pMr2TIDyIGYS8dz6gxrocvhzGhtzVbR7Iju8
YCf6SXsoaa9bL37Gf3PYYVRKIsybrhZ34PO0+7GzDUoDVq4u9oeOy/aTWbe3wHAFZUpdaR/7dpWf
/SGoEAn001iCkQXKqA0j67dPcQrgSRub9obpklmebHtGDW8ELU+uNeQyfYDx6AURMoBO3tqippyh
yVho91TWlF5O2jfeJyJntK/Yqa3kZZX98GGEID8eNAE67R1r4n91FJgu0YOigczp96p54ZT0YaYx
tU9oh8/rjBjLRCwbJZNm7/V6+bWZZQ//bmL8bohcH3th9Ac0yMGh4r34+5QtQaH0JO9ZJ2YUXnFj
4ce04poCHjh1oWS+Je+StmtkQ2+ek4xlKOzkbB5LRxvMPeFWcHldapJHVCFptktZwr2QXm7+kzkD
T8E10uxGHxDNxaA73M92MNnNDWh84wfNtWZvLtmS3XpOycMbmX1q8TRPQKqExmHzY+cVuXkxlawV
kAUo6bvFrmZuhiiLqNLb5s6XM4tiqBEYp17KDqtD2K6+/YtxS2KfjDrzH8GDJ8tN2yvn2R3BdYQN
W8gv3GgcAgM30fL9aK9axenLR2zCN9qTrZ4PPvzgUo7ErLQVLqoRdpJ/IKyxG8+5R/jdCaSTPu5p
Da2XxZVmszeIBjR22eKWj0vgT9ljpyWwrjkSAkm0JzzV7A5j8s684U3jAjgOviB0Dww3aJNcvTX0
04QEm5edtaCxP0phrTdlnZsMx9dK0aJOvR+oJIdDpqbP/3553nZocM2gQKIbhVIH0cnf707KyZ6g
s7Y4B6N79r06eQXmv8neZP6ehflN+wmMLb6nTWWGGMG+VlYRZ6R0PCDuSeUM/paRbw+o7BJ1Q41p
IKneuaf/0YXnenQuGYuh8kUP+vdPY1jfMQdInJPbBfnRzNfiXlslEdvV4C5P5kAkk8eLcjHziaDR
OfGoAae5s886Pv7Xf9/mNw8YRQ2ZFjxkOPmova4mApSFZjA2qOmIh5yPQzeZOBhITUNFijCxZtV/
EZP5vciSxHun1/hfl4aJwfOFCuGgN//7Nhhd2jIw1N2TlW51HceXPaXCsA+YkVCqJs30xeM2XbxS
m/f//tX/9QgYAUBLJokHsejvwJw/GuWWjfKj9hb3xDgEYl7TW17I0pBsFAJtiuiLEG4saa8YoTEC
2Q7hNILEHdk1P8A8rtQ7q/N/vIIAIfnXxmtknHj1tluW180p/JjTss7i0Mkm6GNNafp5UlWX00kr
1HsGtf+4/RuDEgAWWmua2ldjWREA7S9b6ZxggpsxMIb0IB1AwfhJsrNpLOogBtKkrNWuP/777v/H
VoQyDkEn37Zls17//eCFocgnUEwpgnH091WSFt/ous7krQfaaSKmdMvLWOv//3Vj9s7wffv0+Oi2
+/HnIzfrJN36Z2SaQFP4VlWBle1nE8OaND3ZxrRT0sjG0gWJeFmD9zQy/3W7t6kT/2MA772+/KKp
dfSAj56CEuNfA3/t4qtF3vdy9JpIZEPyI81bcWyo4ut3NuK3Y0dQUUg7kMWg2kMN9PdPb7D8VTQ4
mKtOdBrComdRijioE7UaCNkUYYHmO1ImJyY3n91bmNLV/z074UvGYMDIGsN4cL3mtdNsBYLojROY
QhO9bp+eEAzdlF6zvqOhefttb8An8g6gtwKiNa+picKT0CJX1pWJnu68txoYxuyQPo2zOrOr/mau
Kyw7A9ls3j7oy6J/COizZ3uU4/6NnI35vbHcm/xAciEDMi1x127KGhb9vx+AC/7WIIbSP2Vd7xzM
gSI+tKn6D24VrBeFpqkgcFmt917Vj9Vl0kkquNgNFotLDdoihmVNx6I08mGn1QIJ/f/5QTLg56Vk
+Wc9RDN/NaYMfMEW7E/Fuepm+rFugfWas0BspJ75utrtbgZVNrxz0TcfBBdlZIjfB4UG6tWr5X8V
tmD+UJZnpza0LBzc1PwweGV/ydK0Wk+iyo2JHspSZMdUxy34/y4HXJ7RD8wxg1RTwjH+fiSO3pvs
uTbBVRLf69ggHg8FQzfaS5XRHwt8lUhGMC7gtnPnT/++4W9/O97v38U4pBDUu1eFMU9emitT6FOS
DqTQmB2sJBMWWpSKVJ4xQranwR1lH/X6pP/697XfRkZ4TIdZDjZ8HNKn69XA4li0dPWSn3RCCh+J
9x6ag26MipNXwagaQWPQ3aimR18isnpMnqRJwkncTXNt0Uggyjm2x3Zu0mglqbH6ZviqMy/ESKX6
oawH6+hOpfry7z/6zf647RabboqZ3WYLuvqAukZq9P7sjpIJFy9Nii8L2St70xl+ziqw3wuBfFt8
cjmH+8Pphf+7Vk4Zs2I027vdqUoB3ds0Vn8R/1Pux8YQxTvD8ze74fbTmCRtpImN+3n10/SW8DnV
IuZNbSST5YRqC6uk5RIEaag830l/1j/n+TK/U3K8XSe5oyiJGLoiFGXFv9oVNtoCK+NsnIagntWZ
rqq5G61mvs0pvb72GcfWAeg+JumgqpOwaDXxOrQzDWd0Dek70p83dxzHHwoxeCZ0/YEkXt2FbtFo
tIy9dTLA1DzjgJV3tpVawakO7Ln5/xycOhg6pM28TNgbUate/3LCOaTTtMhwaG6hdSSXezCOOS+e
f9JM5ArEdQwYzBdsp9U7aOE3L7LPKguyGQsn/iT+gr+XnQ2lmzccck+rqyozNPl2bq2G2VRrzndu
593++7t5e1u5HHIFg2xijnDXdW5KMLCipzafBozfcTcuxT0mxuKgZPVeffXmPeaXMUpHtopKAhHX
VT3p2Pjc87WZT2auF4faNpNdAXAsqlNanUTzmB9qIx3/7ye5aRyZ5W/3E6Pq9kf9UdQhA/FGJMnz
KZga6cdZ41ZzNFc6kx4Gl3Z1TNe+fy36WlWnf9/ZN0s4enVWT/CGm4aU2ubvK3d0azwAiusJ+Vjy
bK+p+UC71nR2VjLr4rzkHlFtZHMB7YAHBd/h35d/e7d/a7g4HoPKBTF4tX1NdT1onE7sEyGIASZ7
3cvCyq7a8yhLc1eK+rU3IMz9+6Jv3yZ0jhsVhurZoYy7WjFyVWrFwl56avOuPFeGM1sRuXfeEGn0
l5Ljv6/25lMh7RyLDvztzXL2xpYpg4yBgOENl67vZA21oWOClaYZ80O3ka90drnD//clMf9u6jy0
s+hmr16nvCHnya/keEGeZzDplBWzt6qgQEDZrtJzl/bjO79yu2d/9cgCukVQdnAnbLby69KQaJIm
4UWaLjpR58YhG0HhnrqRgeHrv3/bm0BRmkWIpVjw8JNwwesqb2D07xYFzn+oPG13yjXhNlFO6zb/
mQrlfvIdoZYgWmnMAfHAWPNV5/2tb5mnFPdMaWX+o2086YYkjnvvKbLfPmxvW/s5nXEmJefe+vtz
gv8Aqy2d9EtX05wMTUzQoYmO4MEnFu1Yi+WdJsybzxeVPQqnjZtvIMy5ZlcRkQgkVwUMbyulvLPw
VvsDSW6/lGFkhzRxjemh6C39WMyyOPz7Qbz5igJva3tsCtDfQv/tP/9jzUKC7Yw1oWcX4i1ndwpr
y0Ki7KjErW/INMveqbPfvmDbT0VQS4MLUdf1aXsdLXLqkqa9WH472E+a1+rVvq4wsLzzJr+9pZys
LbKSmLVhXr9GBmCTYi7rat2loqLJlx34t3ljTU/lc+0svjppiK4GWM9aPf9wE7v9+u/7en19oiQ2
aAE2OMRkKJe3V+yP+zrnqT6wFWYX+Lr1V6s0bTIdHbDw5kbtSIa2+Ib3eT3Y2lyl8b+vfb0c/772
1l1g/9vshVcnqFL1GgEkXLtldw3zAZAkIxAmil63fhll3TypbFDP/77o9TezXZQ3mEMlUmKOEVc7
Lh974S/VkF/yhM8+zNE0fbRlTxLUqAj3LJivp+8skNeUBvbZDRRAWCs2Bjbea+QqckeTlJW1uBCj
mu1A/SQnAM/jveXlY+wqtzrCxO+iidBmIxpGxGoenqp37vZ/POmtl4AQnlBM3uyrxaJA19ILplUX
vOvWc8Cc7k4DQHzxZxuBmpMU6hx4mowdKCzvfE2/N9Y/1+vtBnAQQQhKsYNt5WrfFyh4DGBlxSVj
mki+ARNgTOYpw6ywId3ncajQczF7GwjiXbt1PeFY1JKoTDUG56OcCcwazGVPTmWxR7FvxaCY3GOH
WPvCKKH4NovsXQz371bq1R+N85+PgleTauX6rD01HDjdoVnPgwyKD64CjxtrEtlqCEkPIlI+NoCb
CTwsImQtlbovijT9JSZrCzkoSlC2AxvK58bsxSuyLvloqTytjlphulpoumwWNwGKxfwrjpZK7ZOg
zZOb2kpJuZ8ZNt+gt6nTp6y3s1eV62Ww8xpXPgHDnud9spjDcWGci+K7S7VfWZcoA/KElWQLk5qi
6+8YUEw3uBGHtQnp3jVFLMQ0ic8LM/pyr/q+A/kJu0E3D5gLbIMnoTv1t7rtjR2rqpa99Gu/iA+t
GUw9byVSmIhgWut+UtBNHtvRSUWoLcaUjrvaEo5+tK2mfc0AHd8Z2Tq9NMpwG5LMzPkxZfwE9WjN
1a9RGp2GmnMo+1PpWpwUA5a8ObTtMb9ofeLYu6ny5L5NHDpNKylMe9PK/OQcBAN5qaoyCHtAWDNX
n1tEL8XdYIy6PFqgIT7g0dlkCd4EjEI66wh+t2XSE4HH8rRdPvRlfTtUZXKyYQ6qMCjcfnpY3F4Z
kdEy0aYaRA4HYEyINO494t0BYdMPiHO9lo9yTOrmDvtP2kZtsxL4qPuze1kwsCaRM000hYN8HU9l
J9oxXFpYSSPprnMIF8l/wfxKvKxp9qqMCyaeU5wSU/sVAKeth4UcgWk5Xqa+T8DPpzBHOvbqS+gU
H+bSIuV+rEzzYzAtQ/qhIbZzue1YJ3Bjz33tReWq0KnUy2hd3AImagg8bxC7nBnBC95M8SCztdzC
jL1FHNY097KIGX4G5Giygr0nge4djMTmFUF2vwBo8kW5Z/wP+QwkrWlGJDP7+r631qE+yrrX0x2V
DUlxRtOPP+cl7X/oeucUu5mZfHVve0lX3qx+YhsHbXZ64zZIeou+zOT6T+vkrN0pmJG6OJ4jp4d8
rSzjhi5i9cNT2aSHACeYnByKuRO8axwIP/kpIZSvU6/S7tKNwYgmcLLqF+QdfvoL1UNWPjiy9tQv
h0lfuWtwCybwyDo3OVpp35EhPZUNAgW6UwfJyYNTqrKW+8kq6nxnW306npZApfCp0hWVaM030MXg
b4WIk0QR5SZaVsmTsmfa7KgOdOMjH65mfUpUhXzDmzOg+JUl7R+MY2UVp/OmeCrzxjbDdarG8REh
lPnsZyx790IW4060lW58zrMJrVliwCmOF4+V5UuxJJKjNCFMbkCywmr/NFxuEonFtj5EXrnWDxt7
77Gu0qyMp0x3HmnFqfIRXLBePTa2p0RY0fkUpzbNwW3OqVYNGpTpVhq4ZdDCzXEp16D5xnItvjEn
XF8ao9B/6gQK5ESAI715GUUJblcfhH+AAxwYcWkl/XxIDJlMSBOIhY2Vg/oaw8LMP2gHYzqcDUEv
JgSqpH8E1r21B9Xo3Ei9xrhGXheofDJgkubSD4QOR/acku+7CsuICk/H14u/c7pToqe13evDWn/V
mKQgBCXNkO/Dmfsx4nsYuhtmqMm003tSsSJdufTezDHLzmTqsZtYbAzfcPh2aYgC3x1D6GLBxZhs
NezWVnrOPmk6p0V2LEu1a4s1+SLyRQ4RjU3RMrYK2i8zptU+Ak47fFmCjo824Tz7bOVp8LWYQEnd
emYaxHoGw++sDUlyCFpb06M5FVN9pGME9CisaOKeu9XMywMKU6qbuiMQRkUF6QJIPiGqfzSyZrHP
Lcmn2ckEvHvqnXVqHzpG2J0Zwq3LjBgpZX4b2OW0nCc29rNGt92IgWA27m7Twz8FFXrMmFINkFgi
DKmxIrfW16yGjnPoAtTQB05shRf7iFP0KFNbRIhrCHg64YKmA4h0MDftp6Bme3u288ps7rtJeOJM
sBoyoaIzuxrX7jJoxzbr0tdEOAbGYNbt2d6NtWGrGGgp8uMFKSSBmczh/S9BagbPJNTma6Qvde2R
nw4uI0aG65InnyKgPyFn9+Uxz2ySoZBpj+inionez90yjkn7QRTuLC+0vlY01DXKDORYbd6I8avU
sy4/SUAGN5UflOVNPQ/qXIMg1T/OgbLPnJcg+hEdpk3x4o6dQTU99yfLAPAec74361M3z2MRSWJK
g9jh3PJJkXn2aIN3tI9Du3jZc0JJKu83MdlXFpD2+2hl2u2K/bU6Zws+6i8OXQ65yyAG6rD6tdqI
fQB15WfUW0Z/nnzgeD3pcflOL5zU+MbRQQMKavbtzeaIOeFxJ3WzrtwWcp4rOtNBA4TzVOB/zNfu
oKZu7fiSlV2ONyu4O+/DOjZyeJ3czHvNqrZt93TB7PGow4/7CVAWPTBoDheVQWIXjIINBsBtvOko
EDVxsjisTj0M3+mUyi52/cp+DVr+lChYYO/t0Ygbdqzc1DF+dJlrNDfBCiYZ3T2i7OoZtl9XnMiS
NLJfyZSYNjTJpHlWFZa3Y5qDIYj8qp6PgDBt/2RpufNUGfQmp1296PQE6ABnF89ZlLMbmkGzjovm
9TZ2d9usLmTdy2+5lxMYXziarl2yHrDAxZ68Ko0Iy7K9m2T29QPQCg5hbQO491FXenBYGOsA3tKJ
JNrD+mib7ynrRBo1bU/cl+dBZYgUmhL3ULGfGvvtcboQg5IgD8UIFL+1kcnhtaDr9YEVKs1jPU3b
XTaTkHDaYo5KkMyZgFzQGZre4Sr36yfNKlBldtpkJ/u6sdjw+x7MGaoaU8Zm3pjZwVvBFO6pEWcE
iWAOi3A2QB7eNgta6UiT6TDtjLRKp9gdR+dZBXJJo44/soUl2nvFTrZB9b1f+s3IHcwIF8e88va+
nc2UMX6bUKEFPapdSwsezXTxxHevaHOtpKbWp19e6yEVa8cCa+Ks5/QP58z0i9vBXg1zDN16LW7L
pquc0+L5eVwlde7stFVZ8C2txl1CQ3rCiZqus5IdJfCC+s0rXRvlqeblL6RzV9S6mVR3JS1UshCQ
RU5x3viz/4F+jMjuaq8B07jASjzUJLZT0jHRCg7aKLwG6WSbLkjnesImced0QQlgKETJ6d3j5Sm7
2yGnY/KRDlLxBD5tbY4qGACYUmGYfSzBy33R2hmNO9DGqjajmZF5d4T5SsTXkFeOtsOLhnq/d5Cp
zY2j5kgCPVB4Y5GVNWHVZ5r8YeZtKkOvay17x8uNSM0364XGJL3siAWndl/K0i6HHSEKsmSlorUX
K9MDeNHnBNGnoybSqJeWuM0tV7gfvA7/WRDqyIW7S0tsNkx+DV1wlFGXkWauFQZq68oGP61LP2hu
UZp3A43XROuLqKU4rm8kwPmCd7bSEFkgtd4qbpr8D0RTTA7Fo91r3qb5BZ5SuHW9IKIexGc1NE4Z
Gy1Am13uuWR4WIoUNHcttOWHXKHwxdhS5KnXywG1HRiP4DZNqhXTusVOYN53gRQPq55O5Q32imDA
WiCCIW1wEgHluFlrI3txNScbTskULKxbdEbMj5o/loBbra32xIUq0p0ACJPB4fIrzQuDFqwks6A1
s/bsqBOU2YKZSDyKqknjJpUVuHkwVrcZYWzfEeJ3jNfHwMsOWlnNx9wKVAcvuyzLcESGo9/IVWpW
hNY/H2KD5lS9r3PqtYgUsuQzlyY+deyXtT3n/eDKAy9R72BfKpQeJSKwyrulEqt2cIRR0zHssj4y
AakFH+Ypp1yys6wxnup104xWS5OV5ywZwACochJih8C2O7pples7wFgc8AxUwaRKlIgvY6dtdSbN
jIK0JA+dPuhbVrI+aKJZKzzwYs1Yyu++RkESVqPvqF0aBJUeYy5zutDBtLacqEfM8bhuZuq1D9wB
VKDmJShgmSWStLQR77YjI4mgOcYDpzRK/7YJUnvdcZfxJmck+s3h2K3u59o1qT43H0p6EUstetxG
Lt6maVTYfqpa5SxWbbqTlb9mn6G8JvuAKj9t4kkGw5OXmHNx7u02/2zki7fsqgVf7BiOBZb30Oym
ot2pvAGAOg/TUB3F3PPvb31h/0KjSaspdgZk/YhrJwcyuSpRv9e563xN1gWdZ2Kumr9DG0rlTJpI
p4Alj+sIOZt9w4iykjWiDXPCRMoblbueuNVcs731TVWbx1QQEseXjJ+T+HKQuDKUmdJ5bvVSRvM8
JF9cH/lP6OI/i2HkONxJ1CV91EnVeOcUUJy3A4U8vyyTPfIbLFOJHRVIwt1HcO0+keLdoY915Vye
2dL9HaTztYlBiQWvAytImaCCcMfhx1i2xdce3K16qqsWS56e4C9sZG79wAfSL7eeQM16kEaTvsDJ
mJezTnTRQoBNW44PIhnGc20PRhtnsrbksRxNc290EDhQC2d9fq5bLyU9ZSnXpjjMa5A5cUq8IBuZ
lU9oIegGav5n0lDm4Sw5f33r19T41eUQdcLKJ/DxYE08W8VGVu8C5ehr3EwWwQZhZ+V9n4XdKrAB
UZ8jgzQFPr8wRe79YJiq1PcIQqv13NBhHvfe2nYq5lDjyAgtSPu41D2iUbQVbrDs6r5kJdWd1X72
iGBXu2VOjG5nIDw34t7KzWhiIF8/A6dfg31NlK77yUS7LB57bezdOF8J9onT1cns/eLlvhfaubP6
EVRzY31JhKvUBzZhOcas3LVzmmlOc/J1dBRmPfRvxYJZeCZ6nLUqz/bIn49XhFUsjdKCXvGBWGJX
wE5G2x2u6EwyOyQEs27Ac6aGpEh013HHQUdvQwpBW95O5SAe8ImI4uC6jekcNp/BWboIrkKjqrHt
OMVq9IfVAIOJ6oP4ktuSj+fbkLNQxFaQFP6+6OdiwUTQ52W+S6ysVh8Ctx+9JzZaw3sEGU+5HyIo
Gr4ZiSOK+x6jsHHjC3quEWnU/XqL8clA/70smz/V64PvrKzsY02rso7gbarJUO8XpNqDwBWzqyat
z/eqSPVngWRTj4YpQ0CdkAWP2nWR6aubFqPOOc7VxjS0jTzRmne6jG97upZjQ+pkTuDz//hbF/KP
fvJgrCXvmD5cDNBR813hGimLpV+h6cdP2R0Gj37Ex5o39/+MFaHJisoBnK+DLBr90rWf3rUK4Rdl
W12sVm/2wOlZiDQND2jo5cV4EADD5zOsINd6r727jZ//bhQywYV4gCSAIV9gXHU3RzjNVWpyZVQh
lHCctCuNvldnMhNPUx1Hlld/T1WJgcOE4BC6g+lGE02Wn8ac1u8Mr98oFBj+WQwBkc2hjGSMezUp
EZ5ypO1o5aX2kV+w3a/rmZZh1dIF6brHHv3xeFnKgaEVzo+XwstoCSBfwUZn4ML4d7f9TdOZxYP/
pTKn5nLAD/z9OmhqqbLAHNObfHaqJ7Nai5MwgCywilWYf8oOvOToYayAG7/796XfNPotNFKoNJlM
Qt7zr+mtPR/oZKNCOXvkr34xpyHZa7aF88O25gvmy/fi6t/8VF58IHvoUcjFwKp1Nc0gRytdG2sp
zzLr2yiT0rlzwOPfrvyNvAJbL0qOz3yM2XtPfBtZ/PX+ceWNxbJl9+HxveaxKJeD8WAH1VkoFO27
cvGH4sFypkXhwPwtY5hS0vwWNDGRn6mGULWFCmfvNRBTFn3AH+Qu0xLshnJugudCU/p6KFmd7L3j
VkVGeBjBhKfKh2UH7twkfe/fj+p6QMLgmIfkUSMwlkFe8vs//2PVaFRdIzspi0eRinVn42atQzsT
LPM4s9jvO2y+N3RlOhQ1XanIJyARi0XeFcE7b83V+vX7L2F+vrlH0Lvw1/z9wm6nY9IRVPFoAScs
4wyG30Hma3YwunX4EsyLtYNV+p7O9fcS8ccj5LLIMcChEV/G1+JdCyPEOKxzrrzqsWzy7g5ERYkV
X6+t0yDbtQiTzZwfZtncd6HNnnkYfFQvPilxdHI77J4Aq8iSeeepXH1B2x9Fwxy6OOsp2Jfr+VyR
BIbUU9aMrm6yMcQ1PMWesCZ8eAIcTJj1k0ddiMEnjbtmGXoax4WJkbdqtc++6oufPev8jxrDTxNa
GRrKyKyy6SBkJd9RCF3P6flbvQ09zg2kg2a6v/V7f7xBlCCOWPts+cRH0jcUhaC1CDHDhhkSGCbk
/zg7j+W2kXYNXxGqkMOWUSJly7Yk0vYG5TTIQCOHqz9P+2xMkEWU/qmZxYSaZgd0f+ENKzqdaNgB
A9UwWiMfVNaYHab/mZ2SfWVv6vE4iqI4tbGmv9cmRv42nEMBiXI1u5opm80Xvw1ontF6wwshb30E
pu190WsrUldlLrJHixVdgsdd7xwjGvIN5jay+eNyxNz06i5X2uEljXxYWkkb+k8e+Q0yA1TRopUY
jPSdqlB/d4DpmRIlBhht7grcJl2md84wvETUQL84tjt+TWBxnbUxiTd89OZ/94/n7L79Ox6AQvab
5rnNu385R+l21bCPw4s5WfDw87oAhJuOb7pwlBKNcIWQz/fqTySDYgEtfWtokA6yO4iiGPLVl0Pb
A9oXhIjjC/Lu9UPrKpaUpbJ+FUKtd0lrmY9qF7hvWW42b/cnLSd1eU9IzU8TO2J6MhLfMxs500C6
14zMs558Rl6grLAdoraqBLqxABO7MRateehmCMqbQCxnb3cgSm/MzHF6SVqt/qoNbnOUQlgtGhEI
9y60iG+cWAYDXUvbAV2kud4dnbwuAXQ8vuDYhUVAQxisYfjZtgCM1RaljqRETe3+Yt4cE1qBB1rK
4a/ZV9I3neIN5J4vXB6/UNTqxdqtTU/ZFUlloo7U1KJZCI9vramF+hewdgMxJHu2phqVIwOJYaaJ
6uaL0IvnvE6MUzqOP+/P7fod46v4ZyB5hP+5c2BgSkzwNL5wPUsGf4zpcIVqT9VmzpuP7dEDtErr
1/1BrxYUpAiRP6hJ+BoSYXc5qFWmk5tGzvBqVRGJtxf2FFP8xLPKXVSA0kEzCNLmwi7+ZZr9+02g
ogWwTl79moRDzYENdSkmLXUc8QYi2ED2bkLufDt4KdFDJOLsU1GiCP8Y6LH+UIa0PnbuVGrqY67r
rbcPQqMuD5N2dmxRnYNwcj6ZZV7v4J5PT2Wvr8vGWqdOB73Xt52wXWeDPar7sTQShUzeQuiburGH
2AyGSeFLYPrDQ+MHZbW2wzq3V4GI0WMBfWN8MoKQlgcmn9Wpi1DDwLB97L/GXmj4vyliBNOPPB7E
76Ib3adB7yC9Y4MZ1jCldTdZWLR5lkBqRqICkwgoFzco4LHLrTJF5/gjYO23ilQB8k4QQ+bSm3Hw
91oFqQtYgUUDJaZu8ZNmHmXv1OodlHYsylTVmGMT+b6zw7VG6cWWsukm+PErE1Ahwtpx/eZNy3vP
BFxR4D/r5wrmKWQwySarq37hY7yKuuSYQIFkxgQWCGjK5SIEFN7Lvii6tz7X2n4VkWi36xiJjJxy
0dSbW0dLut8e5szuunRr9UPg9f2AZEZnYvirTUUFVgnP1GxhLea3hPxdFrh2PiKueoCHl79rELAr
DL8Xb07TZR+CqfUfABYFk3zQKCm8e+HhqHq8ohjKQe6bPWbUCGxMPqnGmFZo/PT91v1lBkYfbGiR
9EgJOG6fLZy++eXE/IDxSSgQOSGCBvrl/GqjAaDglO2bktEKrry8PAHHU3d1nfa/Km7E4piiK9Mv
gPflnXdxUQCwkwkxo9t/TYEuh80QMKTfZiqvBkqn9V5vbOfZaN36m+bEiKdlXPpcV7lTHOMpLpY2
9W/ifTk8BxvUJBU8YNfOHFNY+YgdUD13XlFXov1hDW46fJviYLQ2VmU7zVtt4ALmZr3FkSv8N1cz
FOthHEM0kHSzSX5kgRF5+97klt3Tzq1f3DFGtSXRa63eTmaHV2wz9ma+odmix9hhVLlNkt+61YPp
l4PSkztAXRv2GFFHgK6xdkUgR0u0vt0MgvoGsgeq9+aOEos++XkFrSfQ4q1idmGyTwpOAiD/tmy3
feDrGN2nkdJ8GIbQ65/pKnh/SONc8aePx9F8GTHmEJ8thA8Yt6tGCMIrFd336oPtq577+52HmPML
TssGAwu4jwDicmsjtXVKdwq8V5Qo0KVwkJ95xRMvOwo9EvYWK4xiSef16hBjzwv0mONE2kpWMXvK
AQwUiFdQDB3yqATtEIfmczPmKT3PwA6ksg+dkS9aoBX+7v5kb47Mt0p9gzKXPucAIwoyUa/u8jde
vZ4vhaqk2ujts5NrKurPI4YGqb+MYpQXwb/n14LzAU4dqRLg3mjqzy4KJ6l5iHn9ZEsESeKq1qwz
IhiOdyjxnnB2lOX6DofSCVvGWFGPGJEoxbpFBiU8YBplRwfPLaidql3U/MjoTi8FV/N1oeD1l47N
5WIY/NrZm+aHsVoYGNW9tYldmSsANeIHopBVsfVHc/gxWKP/UqIDoGzu78f8uv47LqR7yWwge5/T
U8KqA7wy5MFJsXwBHqdAr6Hq3M9RFxbb+0NdVUr+fyxA6TxaENDnfs1jr4Ez0BTlrRpEfWzqRvzo
fJz1lEjX1kIrI2ObuZlnrWuc5uNHcgP7sbGc2luI1+d3qfwdkv9s6FCCeLNnpz8x6eBjnuy/jd3g
Gg8T3olf0zrL6aX2qN6YEgy0zoN20p+yiKfynY8Wb5XO/P/6BkFc1WdbPWluIhwIoKfBV9UYPgWi
P13h9+eY1jUEXTpxCyt/PWE5Ihc3zzGVmnk5MdC5exSEr06IP7UHM7HEps/6/mOWwn1fVQavsxrY
YwEr0q7393ddzubiy2O2IDA1HdYjjOR5gTkCQoPsRZOcyiBV92rdq09F2voAAprYAqfVd9smNqxn
HBGrLbXxfGGzrw/4X56QSYhNMggI//J2TcLRd8F/JqegG/ujohXO3gK4vk1aU1l6Jm+tM2dbJkdE
gag9XI5VO7RLfC1KT8Mk8l0XWtm32jH7lQK7bA/xbvpG6RXH+iZNlnLQ6/tDStvbUCWlcgdcncuh
27JXaEN7ycmdbND+lRe/qGFbbkvQMYep9sqzr9CPub+385yJk0z5FnSNg72OpE1eDjoMGW2bmuI4
ClqwaUEwIQQcaWgtrKMoToYVECttid5wY6YysadJjp4DUeasyqloaExVUZGdwPzZh6admldO1kQ0
i5MCKY9hf20mJXj/MUJMx2Nhqdbgfzv7aOPG86fWmPITSIsDjb7AWPdUV7Z676N2dX9Zb3wylGeQ
rKa0JoUL5kd24mNFNTc7Fb7ffc/8wdtqJlo2uCeLRzS89aOgLvUNtyztAwTupV29PTygo79sberI
l7vK4gfI5djsajtkw3FoKzdfQSWhipu1hfOlHOHLh5pPtzAkYd2U+G/YC3fkrU2mrIGotQrdDuj9
5W9oooFqtZ/kJx8u4Yn/ot4kDtKpzaCibOrFY7AalKJ+Z21MnmdEiwhybezfOWKXo4os8qpeRPlp
Gu3gwfYG1d4idV3vC1HbwXoomnKt5h6MnZIE6/6m3/qWSJ3+GnAB0ZkfazLWOOFjzU/OCF5r3QO3
BWlSD398pKfSbTGhy7twpq8SaeqQ9H0cPl2KEJJRcjnfsANi7kRGfBaKPraUliuYolHfhNvGQhAH
1GIKkDDQlI9DR6SwJ4C2Dk4FqwyUkRqnCznOdYAgfw/saNJGRFFgI1/+Ht0KMeNtwug8+oEB1LHo
O38f8alwt5gCRGZIHjRsvUREzlYdmlhsKlx123VENcxd2JCrz4BbFE11Gajosp8yW5xRjXy3042A
ODFufo0gGp7CHtfXfRsPaKU0tYpHSg4Mylq3th7Hj7kDNuT+obj5G6gGqyQ9GHvMN8gYcUqnaR+d
q9qaNj08jwdFROmPJOl+9OrkvEVGhgJq7ofTOiiTcOF+v/oKWQI6WjzbfBN0QGfvWdGLvrBQOjzn
auBs+V7KmN6wX226pvG+abTsn5BQixZC0qvSBqQuekkyZkAilrbk7AIqsCCd6rhSTmjwJZsCZ3p1
HQnSuFT3orfMHBxkjstRAmKaJxPIwUMzJriHBmr/3HMwF2rJtzaB9rgs1fOLeHEuT+VAQgKTxgnO
xoBUyCrMIVUMYzGpKI3E6srIRucp8JPqoRjdYsN3Oy2cgquwgvWQvQnZJiI/nCffmiVpuPaEJLAd
Ba+geLyTVOd6Sh0zfbMV00bNJyrTX8OU9Kf7B/DqVmJozGltPktSILqcl3MHvYsVtMUJ0Ia6eEAN
qWYnSopJZTQerE64+/vj3ThxpKP0rKiJujS+5e/5p/RrTJHWgfCIzkRY/Uurpg2pmK6u7chSN5Pl
m5/CgNNwf9Abk+Rsm0AQyQ6pbcj1/2fQxE1QtO71+Owh+vsM85trpdRspM1rLKuVJXbWrTligYQk
AGvLMyP//T/DjaQGNqyyhGZ14KItqkxrnaoDvNAQnU07ABFs6Km3cLla/F8v4nCYkrzlstOOKdrV
q66IHlb64Cbn3MDfTc1DpNXaSYU7k1Bvub+gt2boOTIQBcGgESFeztBsa65UWAOnzsFifaBY/SK0
ESnwKXbA3FkJSa0afr4/6I2vRNfR1aA3gBoBTfDLQafQVgy1y5ST0iqeWAVenJyNPnc2QWp1G6J1
o1vnYD+PTmw7C1/ojZeUWJQqrA1YhOL0vKGHwIOqx5btn4ICw76VDuWmgvdU6SEyz5oPAtXGPTFF
eh2lXD9v1gITUcqw8K9XSZP2+/trcbXZlMjpyZPfsgkyQr9ci5DAcRTg/k+IgauP9miB+ozqTnU3
aQPwYGG7r74fORrnigREnuu5h0Sl60FSt2p4cpXI2/pdpu5LPzm0OWoxiHGP3sv92S2NN3uZfb0c
mgHa5KkNkujP5Ph1uHLKrs/Q87V/RmnQ6P/DDNFMI5MEH0NkMjtbmBQJdHvM8BSV4kegtHCTGid5
rYGrMcE8+vr+CcrengUejPL+vNNGUziOKTfGJ7Wpoy+gQbND5gTVTvHpmq8JCN348f6I1weG9FGj
MCZNRfGcnd3zkR30lOFEfLLVFrsJr9PAJKqUPjqRqUureXU9wBYncWQ54fJq6rwG6CLrqFFzjU9u
zF2nAPX3D3nnNGIzVNk4bVzHNx61ELD17v4srw8OA8vmOzUJroq5OIo26olV21Z0CgdQZetReKmy
Ucwo0bZg8us3aGbw++6PeXUtycnSTsRonQ8EuO7lpwiFAQVRv01OTdMUb34EOQbosOd9dJTBffWn
dPztG1WGYUEaJkv2U9cRNVUuOrYUWuEfETvM9rVooshUEiM5Edz437PKRUo7C41gr2S+9RM9wAhx
jXLQoXOH5O71WA9bSATlu+8jfoaNaLcM7MFLzAJJH1fKDGZWfKIxNXXbKraSYKsm/UiTTnFe76/4
Vbwm50y8KiNIdMbmxwuy9Vh7Qklgu6hoD3v5UP+sRuq2Lu/lLvIoGayA7InveR6AeYe1kZzu/4Ib
54zc+W/ALvVM5wXGLAonN5moOaFE0OqfxSTCfRLQGlrjjBDs1ClNtfcGqbKcyRNEY5zv6qrtptHU
GBTDSk5T2Vb1pgw86te2K4oXBYLaA5Ra7xdkm6bdx60RNLwGfriAY7rxWdPMppYIVAgV2XmYmuIq
oVhYI5yAabrKSmhO+qGrlO6XSlnZ29KM6N0zHNNi4auWtfuLyIapu9zJvL0ACemiXH5h0D0J4Co/
PWVmHNfbOO/08QH8ZLawqzfmR8uVzIRyBPoL83NltyDssyzIT15UG1+txoUJCEd9XcMdemU5gucB
BvLCy3OdDIGs4xyT/mGnQ+lp9tiV2oCBjx9nJyx6h+BH4psi3SMd2lKAUozghVCyMjcqz3r7U21N
9Bc09N0qmLld+4jCejNtlbKPl5KiGw8GgjmwJuiHkhvNoy3kwbUAVbDspBllGG4F7KIVbRG3OyL/
XQ0LEfqN0RAERsua5YckMW+6FiZQh1awozDa2vIzwHNULal5OslvC0ZftHBn3xqO5J9IBjQ4bMjZ
nU1PrCrUCkQdFLcONrlBjrWm3lX/p+BR9u3+ZXHj+LJ+nF1wPIg+zJ2ptLrFPQYPCogYljHtQx8n
oYMf58nb/XFuTsqQJmqoQhClzQ4S0g1FzNVQnEaRiG+aB80JWXq65IXWLdzAN948xBSo3+D0jPDZ
/HCgMIqGD/ITJ9udWgyktLI7QhHTHtIJc6e8trVXFK7jXToZ7YKs3I2rl3cG+VwSV/o7835WDkjd
CI0xP6llhpmBaVec/8R39jWE1pe2iZfss2/cCtx28pQQ/dKcn4Xawwg41Eid4uSogf7FC+x0U5OF
oUOWJh9CX5TBln4UUM77u3lrnmj4gTUhvedGkrv9TxKpNWUTjUYpTigqlGscEqKtMJJiY4w1IH3U
pffvHI/9BIuu014Ap83fXI6XjrCXyjHVTiat4SPmADXgFpPOOzxfiKk1TNGlfuHVgWUU+a1TgqJo
g5jV5ZCK6VJmx4HiFKCkugvTsX5OwgYngmyoAVPfn991pERDkKYNqEi06ZEInL0iqdEUwLw1/RRr
Y/3i5GX/ye3hse2yDAgSkoHCKh86TYMtmyophlil8whaYEkW6+o4yb4kVwEVMOIHQrfLSRu0HZFL
0IwT5mbqA/TT4YztEaQDt8sxH7T2mJXFS3aOVwhkYiWqPNAuaIdKsbDZ5PO0L8YgMfUTPlLpOQ47
BAPRiP3UjrUOs2oYyp/qYOBGpzbTORdVvBkCB6sy7BHx2S7RKhircPhzf0uujjg/iqIMLVqMCamU
zH5UkSS1qraWcVLyNPrZ1VHq42rRezr8Yz/IHqqoAvxxf8zrM8eYaN6hJwW6DGWjy+VvSNbjYrCN
k8hd50eMNd/HErUF+GOhvr0/1NW9L6cneQPA9aWwkvwp/3zBEBUn+YCap27ozWaN3EqebqpeWVIf
u3WiZO2WK5Hg0JxXUwO3Vc1yDCyM0VLxRFvf/B50uIXUgVb/trD9SFetYSw9Abc2D6lRsFAAGnAS
ni2krYxDkfCLTk2rJvaqtTq4h1GNLgv9defr0HpI+9xf0Ft7J5XkiM64+69guFVT0sYIKuMEDcF8
UgLHLPdpP6CPUXTukg7l9e7RMWFiRAlcTox2uXsFnrpKlsTGqYoMXfnooJRhbJuqVu1f92d19ZaS
NQHOYAdp1SDqOfsKYKYCmJkszIoNFYFis5H5uJf46peQu2yXuyicb3oDlgcStk66cEivDw+jcy8i
2i8jobl/MFVDkYetbZ1EpKEPrwjkvvqyfEBDqNoEUDCVlWeP5e7+nK8Pz+Wo+uXipkkZpamuMKo6
di8hii+PBXwoeBm69V8MT3rhcbu1xkSxXLeE6R4afZfjVagc9LgX2ic029Nt6urhllJitCrtoP6A
MEm5jn0Em7GAaf+HmTJXigMotvLYyWP2zyUQdwF+Ou1kn9CvwoEzNdVoHeZTXW0LD3G3cAxww3n/
4srOFrU6wturEns3ONgsVql9KtPEfICF5m/NFivLDZBCG3xsYpc/74946xDRZFSJCOnu8d1cTlIZ
gSgmWHSdGmG7564a9Gw3RNjvrONAhzytZQVN3aZGaXiJB3R7aIYFNalx/uW//2d9B2ZUWqhcnUDj
h5gl+RXehRXdw6rS6kccmlh5MPpLbrPydrtISSE4UG6RxSY0jrHfvhw2GUc3jzFWPCPpoT5YSP0M
wNyKPy4ttWaVpjCBgQo7G8RKAhTZ7PeeZ0CE1KElnc+F3Dmfdds1KsRjRZzbKNARZKqbsxZp7ZZ/
5q8Fqt5vWjUaRyerwoWRr9Zb8h8cMLm0NljwOXTBKAarRoivPMdBnKPQoJnbsu+KvdFHERosIjhE
WVotPNo3VhtkE9ggpBiB2s7bDaUQLqS7ujqHFZydqgjKJyQBqz3yT+4WNydti6m92GILWn4x+0ZZ
+IavQ0e657I7KG2UTbntl7st8sDycpTOzjYKHC2KD4r3xwaVOz2rxjiZe4dgCdtU21JqQpcozx8U
/M7txwS30YX7+uoN5Kew4/CYJITAmquciiEx2YCkPsOYwvg0mAzMJsfoR6z11kLFSb96AuVYNBeA
lVHXA7Z4Oe2gipEqq83qDM1SeOuAsPZl7J1W22J6Vz9VY6sEW4JZH62lOMwxb5K6cyUmP5Sfwghq
pDkocY3TYErpnrsPagnOSQHOtbHifDJCS/F3yCraiEmLuJnWXltM0Qp91hY9LZj7zjoskuklraGM
vvPGYmqUXHhtwRhJf+zLqU0pAhQN5gBnHdnUzVRIAzbbqzYR5m2PTSs+EteJBSrs1aPHmC7MTWRn
+Ii4Oy7HBBIJENMJmjNuow5zlXbqA72kaUIOT3XF+2vDckCJ1JecBTDls0sKbJFX+VbXnNFqMc+i
pvnI5a/sAkdVDhQMAbt0bRlvtXjKs3XoGi3qItglv3upmTFtUNkM8Og0X067Q8KjGFTRnsE1hc/8
0m9tGgX7zhyyrdpW+oPf6Etgrqv3HsFyC1AH9zPS1tYc5zMEMdyxwWzPaYlS97rgmwZDYiEw046q
eeidzN0bOs5+K2pOX+/P9y/N7fJtkNUeci3+xL7Mmu+zLmoo5116pjodvvWJmj24Q9U66zIPcujC
ZT3usBFGE6vJwv5p0Lzqe9ggXqVUaH89trXWwpvrlOJ3j9L7c4xf1a5FxuUBCeNgZYhPYbFTFd17
iOH17aMWqPdCBHF93zIDEhbA41zxXHqXW5aMalfhqJKerWSMvzVws54apNz0lYlMxlZJtXSjtTQW
4ASHq3Iy9Mf7S3jjS4H5Qk+FkgRA8jnrw2v8ugjUIjsL1wg/laiqfQwVLFQxK0TDKBDOQk1p7uYO
2hD5bGCzbBgyw/p8y9o0STGr1/IzTfTqqdad5AE7jA6ly2nqcIszi2fPC8LXUneyduV3o6qsc2Sb
PifQVj+mCC+9jFM1tOjEmdCNJ6c8UaqfNmDvvU1q2c0GwKLymR5m0q6KOm2T9WBN/kNl6NmLAUNs
7YwTeqSZwfsWZaX5lCQhmdT9ZdVlmDs7mbL9R/oLG5ke2exTHBQP2VahZ2cPHDJ+NVjMYiFgV0W+
aqy6/w5WykN3P0FQhz6dEWwx0U7Eo+TwGztsW9xmnXUi+llPQvnqTaFZ7SCmmdZqENQ8JFBmjFYp
n9kBuA66UY4e2h+EnubK+v5M5o4nfzeMbaKOIvEydDYvT2hJj6cqsAQn7ImqamvqMSKNArGTtU7R
+GF0vGLcQB63PtLLiOX7ojmPyNf6rwGW4J/r3ux/GCrNsw0O1Smip9lk73RVSdeouPx3/8fOviYp
sGyCTsaUC04bkJdZCgAEHHBpafoHQBPljsa9tqFaUKCAakDRqktn06G4tUeZBDHYrom294effUx/
h6fWAQ0ZKxKYz7Oliv20BvTvodhpJPm+yLHCSbSMiofrhsTq4TtFCqiS0tTmu0U+iMIeMeLl1ojJ
d6pcmdLDiMyQDYar1+0vmC+7qhROdupfGUrJsA7TeJH6PAtO/w4tuVs8s/QhSbjmQ4+JXzRBiqp/
pn5E1iKL1gYQjDcF4bF4nZvdf4EajgsLPMeG/B2WtIfkDqSiBjL8ctjMd20aryM9fFUdjZXRJ8Xe
HfP4S1j0ORpQMBn3duVw2KxGdz8mWQdPTtBy+GVXqG3f3+6bv4YPA2gI6GJbnderLR1jKYkRPzS1
EmKFMmT+tmtT49VUEAJf4T2oS40tbzrRn42503tRx2vcpaf4mVJ3s3C3zp7iv4tDg5wKEYVXQpHZ
8bNF33ZqpmaHJuv/RHbdbae8QoWr8A2qRrSYVo6ONqca6shl3V8KeZ39c93JoSGkS+4kFTgZxV7u
S4q/n1ohWndQQkq7dqgV44rb4afJ6/J2f6i/UvTzsWgSoJBBbRlo92yayFLlbdcmBb4DYfZoGCm0
+zyto88w5IritR6q4lugOkq4g7AKunUtGi34qjQUgI8mBQl9AwSwsFYAlMs/vd05b60RJtpOReVi
fLn/Y2+tC8EvhXfiI95YeWH9kzOn5dR0UVKLQz9q42tdBqd4rNoPhm/7C/f0zZEIeQkhXHK3eciL
4nHpKnkgDoGi6rvJDhwEcUnitpkI+mR3f1o3ThpXDrPiw4cANEcpeRA0B9/QxAETegDFiNv1wyNO
H8HHXqk0VLQ7I3tBjsBEpmTK3H7hoN+YK4YMFPYpaLv2dWFfjScKaYk4NGUWP7dhZn+qp7r/pqm9
8fDemTKQRnzLCwYQYg4wVIqqM+sx7w5E8ugfNziLKrliPRJOpB8UxQ4/UMZ/a/VgqdQ8ywjBbAIT
5aPyYMDQHJ6T2Mq8Ux0f0VCkhd3oKWs5zyuZsi8s5dU9Tn0XJh91M65TqSZxeUAbN7IjXa3aw+Sk
2nZoFB3992raq8qorJuqqh+GoDzfX9OrV1qyfumAudDhMHKbd0hskmpH2JY4VDrA8LXbpOW2QJn1
VR1wekTWrHA+FaKyUJH2A2TDkiptft//CTemDfwMJhdZorREm70jNTKboQ7H55HWi4NEdi+wtNen
6Ri7PQYuBaWoVdrm3cJput5Um0KSAxtFIw6+IiaoeRJbPVpghwJ3+3CldUry2WgQmb8/u+uHibND
wEadmYKzJBZd7qoSCaBRGHsfQg/TmrceagIyX4BXilM1edqwGqM4QqXbizTlMXH1vNn1qJcFK9dN
86J5EC1uvl/u/6jrXZcWUxKNDhzZQ23g8jdVYBc7vVe6Q9pSwaNWWWItbibDI7dMbqx8b0j++LHf
b3GyEY9Gg/nI/R9wvfj8AAltkfRQz5nn6EqLJm9rpf1BUwPjtzEqRrtSUnN69xdFKRggniwdSbC3
DBL/vfLtvhpr4XSHDvHLb6mRnijmuFuAluIJ9lz/IMVdFyMReWAvHkU6rgDLiUHAtlCBmO14JBrk
YG19OIyc2k/Y+wmxZjPUdqWVUpMSnGX/GjmNgSxhM9gEiJpf7nLMyMYNYhyUNgeOa/TRipQQACH5
CplGOlhrw+pjQrukrp1NpkGzXKOJijYjTG4ffwIcvU3Crhp/UMepIMolMWCpIWu0Y6OpuY8F5+B2
2Sqc/PQZNmwoXhIXyB79gBGwttM17Wvg2Tn/K1TIxAuiwhV6qpQ4zVfTLpT2mQ/KfcijMdG+azg/
eH+mTqtJ6hQD3lAbdb39JIlm2orqVmWvOo1aPNlkCBkWNc6GQ6YUzRktDnHyReuJQ2kVxg+YKjUk
zSwvR33F/aDlG7QCbGstSqwK6eu26V4MosnPxJzKnxwVa+9Bem0il8myFCuYkMgrdtnwX1gM3pOZ
Y6G24uw1LhrrzuTtOxBE7jqwtO7JGyK9WuFQUr2Z8Zi8Jh1VfDzMfQ9Lgq4GUu0jUznsC6x9XxVY
XKwX9grmakIwH6MYvKbC86QPvg7izIyHP0kchSUlaEofaFtiCvBo4jP1I62tHo3/yjGUD0h7dy8x
irHlN/q83ScfW3V/QwYp9FXnTMH0LGADlCtDr5z+kw4lRFlR4YlefKTpknVg+2myNUtRuo9a2eBv
WcYZLnh11IeYtVhRVv3HIiE9XNLVytdt7FLYw3zB/e6naVssRDfzLJTnkFtDotGJN2ANWrM6yYRE
r01sWR1co1dPoYul/SryUUldxRkIMh0J+3GtxJnZfABBMuj+GoUdecBEqz6nlhdgXeI37YBBKVXY
XdYw+8c4nFDhWdmkMAhKe4aYli5iGffOPkv5ayEM0xIDRzl7XhM3CqhgRPXBQVBsY2M/260yPS4Q
0W9bEKzO8AWZvgKnrCr7WGObCSdJ1w5NUrnfwf9NSxC4q8iJZfRcnnoeIAgw3uzd6xDDyRrdrlCm
xwk+9k1kKEelR7cq0MaFx25ey5d7BvGMh05a0IE7mCUFMIhjouu8PvB5s1G8P0OP4iPoSTrs3adM
Q3a+ckmSnbTIvoRDGe78FDDUwtm5MWckIQBjcPGTo8xTVY9Ese38GlvBerT3OEB0H7KqjrapUWgL
Q10VAGheMJJD34Q4HOrE5d2vg4Qm5OjNQ1bp5ec0yfE86IKRmyEtwlJbdyIUX++/aleRDFQU8goW
GXA79YD5cyNyp+lLvTyYWmh9LuKseAQOrnzQi2z6oygB0vmAcpfOtcyxLs61bUqPP4mSlRj3OSot
7nI995rRPOLIQ2kXEXj7O5SiDi1cG4YfnvB1sLMiq67WBLfjzz5GX2YzTo0SSW8TdeHNvVp3G2Ey
B8w9sD+SgjkxfkqbmqjKsY41XZrHiYRl16SmstH0VlnrQ7eEupef7Wz6FPspfFNjorY3r+5NnQ1I
oQrNY9VZ1pb3oP8Vp3ql7SZcHQs6DHX8OQhRnfqQZwkCTu/ccrCNrDofiYwm4R9dnjJzrMNBw1Xn
6Ft8xC1CaogNVP2xsizE15HYzT6ZXqGou/vD3lhkV2pAoptDko8AyOWwVjkYbte6+hFnDG+daW5U
nVICxV9pGOTqKbbRM7w/4lXIKOUtAObBa5AtyTmccwwx1FU8Xzs60aifXGHlO23S9D0qI8YvbCw9
DHyw/UHY2dT3JqU9sQDDvrHPcK9oOsPc5P6ec3+CvgY3pRvasYJ68DUbWuNFqeA54M6nPCTZoD6m
dlB+EKpkM9+f+9WtBYCM/UV7FJoMNbbZd623TcY/9LRjMjZjvcIidXrVKw8h8ABF14X+4/VVzWjA
mVA8YDyAprPwkYZkX8BN1458rFKaV0HUAS66vgqJcTc599oDRLD8T4ku/gv2mnr/OOhD/O7lvvwV
szmbHUh6JDy0Y1n5wdkqbK5M4UwGHjX+MH1DlthciywIKhhpeVAsvFe3Vhy5B1DvSNeBHp6twZgh
vZ8PrPjQ+nSQkPfHckYHOUgbw4kWtvf6ZCGNCVQQeL9Mguco7CCzM9Uubf0Yqn1iHFvVxcGkyIJH
7A7tCIMJs/nlK8kUfUj9os0X9vv6U6ZGZ+lAdNhsWrLyw/snRzHicCzwIbWPyuTjChUglT5uxjYa
nx3hRBsaF9aCHMDNESVuBWaBJFfMLg/X6luvoFZ6NPJMbFMM0OuVqubaZ+FV9rZTdP39u0l+T4mJ
F1nKkMt3858pmi2iCujLOsdSg/9pTL2RbTPQyyqGSU25MNiN3YRQDpeBEI+izVzt3FZUC7d7Rz8m
sBqfByOxX1Chnw56N5WrRM175AitJNoUwncWUr+rUyubS+B6iWvwKLwq4PQdQvdVNqFVVgRmvVOT
QSUyTiZRwNNEwXDh3F7tI5VuTiwXAuK6IDVmxVcVDypCG7VkpomQNkrRI8JAyTECKv6Yon703pUF
18g1SJMXxjjN/Nl4dhWjd4cN2dGyYmUnSr5M4UXNOqSXudWKRDsnShi9aWlnfH7nBczIRBIGTAnp
2WzODpDXKVZn6WN1bOJG/6zak/GcAFNcx9hciNX9sa6COMYCXWRx84I0AqN9eVjDjJvdi8zq2Jr4
JllBkxwqXnMcdTpACxq54EqPy6Uq7o29BGfP+aFgDM7ImI0aRFBw8mDQj3XWWMG67iPltSot76XD
XmGLsFO7cHiunxnQNOi90CvhKoADP7tipzBybQXAzlHxzfQLnhB+9ctWY0fjyNo5Zb6VHZnxybek
2k8G7ugRgSA/9KhLRcWi4uH1p2OQAiFPQpZC633+a/Cc4tMK3fFY6YWzUzPphBqMvwjblu7b64Ic
hGYaMtSSuXclGP1yg4sma8PK0aZjQA0he9Qnm+S8U/1yr/c5lV2Uz91+MxhIQ5RI1lSv6kQ4g4lM
YY4j0KNYxG/3j9zVlcUvQh0ElqrUvoTTePmLhJmCw8ay6yiGJkBjyNbqdO1HpEhHHMKQEESn243W
QZhHzT4n83Zf7/+A6zPPRcmtRdsS1MwVZnvM3DGgWTYcTRw6AMsDiVnTxUjth6mMdHMX4TLdf4ca
ZiwWE2ZZOY8eBDka7GRqf7t3xuXcubAai3wheG6RpJ2OqcMWOMekrQHqrxTcGpGHyfoiSH4MbZ78
H2fntSs3knTrJyJAb25ZZtuSl1jSDaGe7qb3Nvn0/5d7cA52sQpFaDCDxozUQFQmMyPDrFhrOETR
UqVQ+OWZ91VLoT/39rVl9QhasDRH2/Do68PCJ5H8FJKeElwGvJir13mWJmCRnT5GvfDM7nUuFRJH
cF595zy6lQLLomoUsUlpfo5s7bCEFHhzf2mcpnpS+rgHN4fPWLau7+rIsFscGQIkPAZBwxUSM1xK
D84vD5FOCnnCnyhhd48xcI5239owEI7CEidLQ9P1WI9CL/4w6ZT2KW6+ZfGE41fUax3dVI190V8b
16gfCj6DzWMAzvg/Y+lED3o9zvnRE3mWFX6uTWX9BHWXKiBwDucdxDdhvuHP5B15lwa+/SCyE+gB
eA51rvXlOSrzTAljJTVec8ToHnsGXYQfozO29TzID35ph9EkOiUIAuBFrh7dvPeE3eVgcZxcQdkQ
Rbw586F+cJxdXqJhfRiLsrJ3ZbL0hQ+6BRxWM3fgJO/f2JW/ZLn8DNm7oOJwQwx9oJHdGJXivmYW
cld+ofCj/baBDIHBYCYrN8xdHzfM0bsAfkmLkTHRy931cotJ1Nl2XwdTn49uJrTqyVRCRGOrONs1
eTLvHUWz92oH+dLGl71lm7Fb+psUc2Bjk0/nu+gxGZqinsfcfVXI9KEjonRFHyqc9Ccgz5HymJL3
eX6ciPIrU51wON3f6ZVvlDsNrgDGddoIBHXrtjGzYOkoSEhflQ7KOZMZkz0eyzouCqoFrRDKYxcn
W+HAjTUzRAMFOn1OnoY1U4KGw7cytfdeScfTZp8bKWqcNJLE3jaT9CXqJsSQwH9/NtpJ0zcu960V
k+2iVAOSksrkVSwywq1FsemVa1ofnNHLH0UaGidb1YKujMcDFXT3eH+X3yaQLu4VY5U6nU+CCEnX
uZ5NRRUompdFiJOaRUa6F6nZuX8BJdS+VZYJMXdkjZ4k4RtH+1upZiI6z21Nh5I+TPKpcHPrK3qt
ef4F5Jo573IrEpbji9kpo6C3h7Ct/UVdtGHnqbV4QDBl2ZpcXN9I2ZnGI0jym7fxPumg3h3TdnSV
yu014xVhveogvFRLd4bXeqdBTYSycR/Xn4hCDK0W0hsGoNisdVNR1YtFLymJvUSoPx60LkWeXaum
ZzsdF+SUU+3LMFpbZZAr18fCiJiAepio6QBruVzhHC95bSpg2wYn1SJfr7XO+UbvVhvUnZNCjPOt
L0CX0ZQKZ5pd+RRDa7fr5BTWBqZ4fT1YtBxjln1VTgwX9PKXVN6MMiJ1/pNAhhDVbk9Zln1dadNo
HxVFTA9140zdoyjROPsF27CHoN398/rWGH9/XuXgGQTYRG1kCnIA5PInQHBSIgvdqK8e3KLRno9c
R1CuAnb206FxlH0YLdlLKlQ1eqJuq31vJ8b96PYaHTNrU4U6nLGDhn9KP7QhLqCh/1U5yw76NS8M
4elP5uGxDBu9/Iiwmz3vMGh33+ooju1Drhlo8FI/io3PRTgt1sM8j/PZqrVhfnLCQVV3adcO40Nk
FdV4iMzYiHe9rkYfO0L8+AhyuucPcg9uDNdYQJrDtTbqakODrnD3iAiWvU/+oJio0MKWyM/p5m81
GWdf+zQUs2yvgMdHuHMEcNwdzGnKtc+AqOenNvKi+aNmdDq0p4wsm/sJLUfnZzotyzc1Bqnma3HB
hM7973F1IZjJw0+/pVBUY53VI4FaqBND1Rq/Qo6takdLH5uPUWMoHzpkFPdWUTTVI8HkVlV0lbZx
+/BV8giajJExyS8P6rtLbyzRVHRW7b26RrPsKiXrnrpSwupLMdufMwQT/7CDgkUCPioX0gFL+pPV
0S89mEVgtvJeh9Jy9yH80p+H3pr2RJyIE9/f1KvoF2NweCOTw+IgkFy7mWymPda1dXwC57Zoj5mV
gF4DtK0a/kJrU1CTUyt336Sil+qYDirbTi/UbJ9Ycfwib3G+cfOvN5xfBNKJNrLcg/UIUBe6tL8Z
HjuVbmv9JZC2/06KTqu9kwpfWu9stReu3LrcAtwes9o0DRn9vPzCRHtzwiBhdKoso3/RMXukpZk8
29Nsbby7V6agaGOYjHlESbZLtnJpaojHkDzL1l9bMIwfBj2ZPyhNm6CgysjL/S+7duWwl1GKo29A
Gkwzbh0tj6KNBgBN9kvuJY1y6LvGO4x9aNm+sLnevlL33hPUu7Aom/H80yuF8+n+L5D7duE/Cakk
ozAVV66OvZ6PmKd2qJs2H05q7NjVPodoP3+NGlGI3/cNvbE5ri3B2ObBuydrgtbqCzYRk38ZMvWk
Q6Dbd91iOK/zhMLHvi5C45OoIK/xG6HVMUkc9B+7aNIL5ci7Sw3cZzzbVr5pA4jvE2JKGrlFPkzo
OJoVAuFuatGjR0zW9n705OtoagFo+RFGnjE6G4Ho1dFnx2BwhdGNoh/I5tU6tLYdKM0yuUl1pH8e
Okf7CM+R9hxCgPrv0CpbGJ0b9njc5PAKnoYm6uo4amOntRqKKadhXKpdbobFb14qXfiZUXwq6sre
cOFXx59KNGMPEpLE3DiB7+Xx75TUGglH+5O7QILZJXbIW2Nny29S0eHb/UNx9VxIWzwXIPq423RO
L22Bg/FS6Mb6k9q0+klLZ+XouWn4okWNfuwGa/5Xj2ex8QGvjNKOZgwBqA9uG5urJGpyIndCgRmW
SWeRU1/wBdr6lD1oQw2+DoiPsxuzKvt1f6lXF01aJWqDHYXSEs3py6WGotLR++7VU60tIAoVKxE/
QRnGT/fNXH09kFPERJwWKWKEg740U9MjM9HG0E5O66Jgq5dm8UL8an/WJ0c73Ld1dTKxJQ8kt5lV
UcO7tMXo3awmCBOf5sQsn7kD+hE9mOXZSmBqQhOorH/cN3hrcbJmiFQIKDISs0uDtZpQB0tHdLGh
4FJ9Ti/M8gtAqyfoV6atc/KGD77wWKT0vAQ88WwQiMjVTWfIliFAYWUfljAy3X3aUh7ez1460O7V
mPddmsbwYIu22h9VbWdnAECwGkcQVlh+5SEUAmuwh0BJNPdfDJBK9a6wGalSGT+ffOpsjvILIQKn
YxQGCaj/dHPBURStk4+/CNzCojzmQ40+85gPxY8pm9wv7WwQI6qFAO+PFHdSB4BiFVQl7u/zG9fU
5cp1S2L45dwIu70O7EPYNsAzRNrJzmy188ghWndBo4p0TRwiI3aTFwspoo/U2iK0MaPI/JQaNRL0
qUnsT4e0K4ZnBrFr/SlLZpdSU2o5s18UWccYOtxgHmIYup79qCb44spDSxd9ei1yuCq6nYBquGWa
OtGr4UvVsX0/iYS1ZB92/axseLuVM3gb5SF8IaLg0uDx9MsjNcIdBkNpWwd2rilnURXjB2hTUX8H
iHSIwy57rK2w2NjfddH/v1bxAVQ0mfqi4XlpddYzmABjqwpo2eRPMwHy44hy9YvkCXhVjXL5kVEI
RYdMtZ7nKC92iUBQ+/5HvrFy+agwrgLqiMxp5Xv7uVArlRHIoAVR50NLCT/i5OY/jaGePxiG6Pc8
R+FGz1MG4u8Ollw4yTL/pWxHfXsNmNDMnKS2MbpgrOz2MNHDZgSqEk9xrH+PxbA8WQhk+mUhxg2n
L13DpWEMMg7JLBTDMqz7csc9NLEHraumgM2dnvrOiJ7wXsphrtXfRe12G274ep2yOie7KDqNFG/d
RwH7jlcq5zHwJuCtjs2kSyPceV85sbGPjDz93CF4/Hnyhq0y3TpZYIuJTTDO9aVCQFnycqUMAmj5
nPQiqENvfB5QEKcmaHo06XLtuxqq2bHOs4LJm4YwM1Vcse8YknqcFX0rb1m56//+EoIkqCCoxlD1
v/wl8bw0RTX1cxDOQv+nJ+B4tIw2DbqmsTY+7zq6fLMlWQlIOqEZJZS4tJWNiWLnVicCb5w9cvJk
WZh1HGFF3GWL48Z+XoNypGlWJp6fWPXy1zBqiEr0Iw2Op7jy4u9EWV6xG8K0+WjU8C7uk3o2lOes
mIpflgWnop/qWmn6fNI+2k1DaH2/fyNv7ResPXToZWEbUPzlGlxXNBQErDlgT+nsiRrMCbKson6A
FavdiEeuL4QjSfBJPGTjh8LupbF4bKqlZ0wzcJwkhOylDbPDUixoWI5Oj1ROo7vT1gCHvGSXl5A0
hweFEOUNhbC6hFY05mBCBy0oUBPc6YYy7kkVI+GrQnVf4jbWHsoGzsw+05eIukg2b2Q7NxYN0IIK
ttxhyOpWL3oObZ0Nu60eTCQXh1S3q9eiEKo/1ar9b5JU45f7X/Tax9LeJE+A9YUPejWBpIdts8Rw
hwRK74YH28mKXYfRg6213lGJ6mjvxtC93zd6c5Fv6ACAfzYNg8svS6oAUTIQiKBmOPUhLLX8qRiK
/oO19PWh5Dht3L3rYwsAQrYsObmICVw9JL2n5AsDu0FEn+nM1FHf+UY0aJ/FPFran2XM3HMOrGyR
ymMr8Y2rxS2L0ZZZZwRO2WoxUxkepbAJqoHWx+9TJ6960sjInNLmgLSB86lIFOePNWI8qhFER1Aq
ghPgFl3+CHqVNaxBhh2A+9AS34TF/UEAx9xZUaUKf+gKKBysTQqHq0cFsy4zVZTnJSHIOoUoFChO
LWZEgnJhzsAmL6YDikjiPk0VK3Agv3pxOl08uOguPv7hmfKkVUrroBwJh9c5EzdaUWJjsQLYqNNf
iNulz54Inc9mrZeHKUGO6H+wB3oHfj4q7NQLLnfYFbMreMStwEzNErft0P4B75EmH9yxih9a5FQ3
Vnh1VVkhQQkBOfVDkI2rcAg6HcY/uKvBrCjT97KumEdFK+CoaC2Nn7gcv7fA0LZGyW9YheVAzkGi
SkL1Rd7ld4XLrFimHBiwEojE+e7FUbirNG3YFzLBl2JD/xRq321Bla8uLC6YvI2uNaoT+GP59++M
UqbPkS3UlYB5iOJ33du8g0ZTfx9Hx/l+/zteH1lpihqpLNnhCFe+yM1Uk6xpUoLQTtSXeorrB2OO
zXNroCA1mSbJTT+SxEH1t4Xrv2ma1jBIN8nasx7Sr8Z60OYkjs4G3IPiS5505hfPKtCSzRnCaSCU
Uayj5hWMvJQTkz8bjurKC8sq+BtuFGclX5vLTRZNKudq2/hspnX1r1uK4XmeneYzQ6+qRfDlbuma
3DQIXpUhQlkCXzNMmrOnTF6tx+c5jorYH3XYP5jW+QmZZekram5tXJgbp0hSWWKJAjLTHKtoJe9b
o1giwwtEnUQdcRPBxE4ZUH/zCxMXtLGft8whTwJ/5BuocF2oHG1kG4XhhLQ+jexgNfQvfVUP1Ue9
nfLmT59QxBKptVHf43Zeoxjy2kWjM1xobsI/rD0O82ge+x4S0Z0F94m1t7u6ebp/U26sD5MkRoRi
EgerX56XOrNrAtgkOtfWwMy8EY/K1zav5hkEUvP3fVs3jgoslIwroFlHLWo9/hHT8DYc6BDObebV
e5qI2UeQZtlDL/r0CMb6n//BHPtI2dQk4Vz3ShSG+y2B2z43w5LCDJn25rOetv0x0qxFYQ6OGZj/
xaKUkwWaQZ1odfkgThxaLc3jc65XWb9royIZn7u0dPR9u5RphtZLhrbOfaO3viB1WpnusLu8lpdf
cIxNZcloOQZKmivqqUFds9yh9yX6I5O/1taTfOPpwLm9oY5gOLjCJgD57OLCK+Iz4rl0EemPKOWx
9QblYUnnpj7BuHTKUCTZmCu5XqXOreBZ5u6/iZldrlIr2oTsuUjObqujNQDG1dpV7cxLrYmta3jT
Fr4bHC9lv6vSt15pGZpDTXKOylh/AqRsHIGjDyfIK6qNG3/bFPMMKsYgJlh5s7Z3TWHULcuCTbva
z5WqH5BVsD97atj9uS9jD3HV/8+YfLrePcDqVLtKo7rxuU6nqfErZxS9H+l2qjy6ablV0L8+KFij
eyi1EQhu1vPsraINnmKwtNobTbEbIhfCnwIlbyTL3erDAnnIS4m7+Pan1+ENRomXkYCdq7k6rYli
2bJNzlRsk0ctH7wziEYmgWKl2lJIv/H1KHiQaTE5T3Vn/TjUNgN8U6wn54FlffdqA+hJ6Egahio3
/zTd4U2gFozzxLPIWv7lx2t0MRfttMRnURjmK0JSyinvJ303iW4rk7u1LNA/DmmGlNlZs2LDYJPD
HKTE5yWeC+5a15mIYw9TF+14GJx4w4FdPwuScYv5CwhnoaZbH5SUcznodpaeW/gXPtlT9X2KbYVZ
j0H7lkzD8OX+AbkO0C7NrWJ8YVexBZdBfC6nBQQRiMKCx2eavF9uZzcfvYgZom/dVDPLlfGDDvet
byx2ndEoCap6XhelZ3tMRuoB+uiHRE+flKldUDcwi41jc8sebpMXnptP8Vb+/bs7X4YhQ5C8f2ev
daeXzEuVr5HrjKgNCut3S+l/q/p20yBjOwzkyYbJegCw6vWq5PlIzqPwwq/qrJenyo7qXe8u+RNg
6+HPJpXg9GIYnLk0+k4wkIAiv1ygZw5GMwLJO5sUlA2/Yw5dPQ0ibqZDOejl8ugNjeq8TMm8pDv6
c1uUybfWC9eOJGgGTA4w9NL+qDh9FNKnP7u1OdG8rImfhNMERalWf7MbW52DW5cThimJSdYwux54
zHMlMeIuTM553Y5f8mmg1mGACnyyo6XcIpq9aQx9KPaYKjYj35eLo086MnylxudKCbvhY9uPzZNe
1aL+MANK3CjSX5eQgTQzAcWYHY8GJbHVWUXjQJuAtqbngr5USM8ZPr7dPCcWYCRv6X34T/JfLmCe
nR5PHX9aTIk/6Fr2OpOIbQTGN54vOZbF+Bk462tGqbIs83HMay6OVtnWRyPyZppscegdp5CTDWPI
ECePlNaAQd13EdfiKOyDnJIG2qZLxlP5Vd7d2bAvEiMf+uyclnqY7puwF99NO2x3dpd5pm/i9/mn
Jigvd0lVB+XUlMQOveV9EMswnnq93gLqyw99UULlJ4Ge5eISQcgGw+VPMurCYWIqTM9lYRViN6aU
wXyTi/1wf+03bhOioA4tHnJvSgUrO9EMQ4IF0vCsm/VMgq5CHL8sXQ4fimCKemg65/N9izeeA7wi
iQddIRP6tlXMrmc87/DFF+c8KsIXIWiVIsi6QPwQ6svfSeMpX7pQ6xjkcp0N8cIbi5UgQpwzd1k2
6S83NbPjMpsXuDiNsTw3ndqLnWYnDdJ+SgmFlr3pm298RagDKUNL/it6fKsu/aiONEgB9J71tBim
Q9UwSOpDwmH3G0f4xsqgIKMkAAkqCd86SZ9zLQKdWBfnOjPVyM9AI+7NNpEwR6tBTdTutub9bzkP
BrApMYEhAQu4HvwbUsNqIfkqzm0S6sfWoR8sukX/h+pi9NybZfJI8a3f0Uk2rZ3sywG/XNJjqini
+/0TdcNzuNT4iZ/IqgEMrK7v2OjRIvi257jVPYVSaZruEnj5QA50zjlRHTQTjUw93Le63nLgsIwc
4jnJdVWmWVc3B67xwaFaKoJm1OqnqTLb5zQZ8J31NP7jZF70p4zr0iBMEvTY8FEEQiuDSzvyFrFS
+mqG+zKnUf9UTUs7+/Rbhldt9pI/jOylQTJ52T+ReeCawQNgWlSg96MHBmTb5WMMCcM/0Agp3b7L
lq3OnvxI7x2eNEZfj+iPAjRYV7nd73xwTmWwReBODcIly9M9hdSi+6J4ThTvjabMlw0vdOvrSVUm
mebRMV6H3GFZEVK52hLEeedqR4QSi/wVggzjhzN47j7KjLnf3z8w8vusV8hbS9EHCi2e9tX3a8ZY
8+YS5RMG+hY/tmlrtKpVvkwjKeKuWkjh4eErflK2WR6GxIPf+v4PWN8TucWQGFB+loET8cXlFjdW
XddjnWoB0x9W4euDbnwpLJpxSuSZf43KkH4aTS//et/q2gf+1yp5KeMkspmyup3RMljj0gstUJtG
K/26JNfyUU4xN7b3xhc14QyQWSjxzNVEkiiYYEjqRA0WZzK7B6vv2nE/QJ+ePCSprn4b9cn+U4UJ
1iabF5IDk7IFvBiXO6r0BWrRXqUHhY7QwhEZRNrwPiI/Sfo8hFT4fMpylfLz/o5ewUowy36COEBN
mz01VnUFY4G83BgmI0i7pfoUq2axVyF4KqGVbSb+ZwxC3GRqbxRmfGjniTk/vbU3oscbF5bm+Fu5
X47qrE9TanTakDWDSV3Yydtd59rhkxrT0PKt3N6avV4HDXLFwK9dGoHgaFHxudxo9IvmBqFaI8hC
sXjPqqY0+5rx3d7LWrj7LI/aTWc41WvjOVtFxhsHGAfBjQHeATp7TRyU1IVX06g2g1EYQ7EHgZ+a
B6+PtpjMbhxg3m7GDN/Y4lEhuFxjmesN2YthAhayWg+FgzR+QJM2NM+TWNKf9Mca7/H+Sbq5rXK0
jdY1nn6Np28zhV54ErK0aYrEQxfVoDB7xmpMPzQM5bVfvFzbj7MZnvNp2YKw3HCIcFpJTDKVONoL
K3/EAFJJ12HmfYEU9HcNbKt9mMtCz47w+k/PszKV4qkbvemL1UckA6kF8c6fv+IwhpJxUHXEJa4T
LkZn6hFkqBYwTZFmL0JhzMaHDa72PhaM+2uvpe7ClXh/228unFod3AzwqjHHdfmlk4h5GahJ9aBu
Yz37oIRzse9UZGwPRj5Ozi5KkkUGwGVl7S3+ZTknEmvn+z/i1nGj8fH/f4R++SMUHTqzRav1oFG1
/iOIquJnQXnkYJdWhy5CYWws+sbrg5cgfpGkDYSMq3egceDBi5DdCnQFJAavcj7COyf0b2lPk/Ag
8kj8XcyeHW68C7fs8pwQHVOzB+W/Cvp7kfeuNmZGEFdt9zuGHDk8xYWqKMcEHGZxDEXq/tLlDNef
7y+PPLm8AfKPCHG1v1MHVL02jYASc3dgVNY7hqAbc1+3l+SwWPOW/NCthTqcYpnRvwkSXBqEMp0O
XduZgVtp3WvmTeOpcqqUqZUmcxFILssYsD1lqy3dt5uGYXEAYCjZVNehW4YCcem0lREoU6UdE5Qn
/WnK2pOnTkwF10lYoSMq9Dj/H74sIAWIoKhdQD6yukaFOY+aGbVGYFdG92EWw/xlLEb6PXrTwARC
U3aGOBZu3q1xjltPHzAYmUHivQCUXu601sRVMiUq4BQDSOcedTu3f1Bns5uAKbf19L+sUzJHgPUj
w1FXN8fq82gC7WMG9hDnQVYryycmN93QL/Wl5q62sXGoYtpQD/dP8M1l4pgpEdPZviKJWPQsrsBp
8jq4MVOvmljoPyWJV0LXkFPG2d03d+sYwYpAGMVLDn5Tes33GUBpitlqCzNQE/ODorhoWwMXPrLF
3TE3luVjZSji532bt5ZIFkvhCco6wvKVTS1S2nAYiaQ8dW6/G0qzqEfwafmRQly3NcV/2xjwJI+M
UU4JXC4QTkBUd0eHY9Mozj+oRun5bplGkKKmUPv5eH9p8qev0g2Z3wANo/QA/m91O6IQkXDN7uyA
wdXwRa+HqthXc3Vq2vas1Gn+oOEV3Weof3W/CMN6w/yNr4knAlnPC0cZfM10DH4IASOnsoNOzLP9
oIyhHcGDaE5BW85L+wjTB4NrZpGILXn2GwvnzKJ2DBAPwqV1kyhMJ8dmfh3LljlJ6l9jH6Z60vt9
Hf5LkGGnfhTpVLimuUKTYq4SU/3zGyv5aKliAoAkG1kdqxSu+8osVCeomP98GAsNlUJlprcRe9YC
XSyu4kgbdYuU4caTTqdKEk8SWdDbWZnVXBp9sHs6QTMZanJoLCMbfa3x/lXSaND92p6Mja98a68l
eks6fnQJ1jN0wlhUPnPiBIMyRcOwy+c0/qse0iLeq+MQKkejFJ3y4JlLhdJy6+jfWv5kiyTi1rqp
ZEugoAQmrh+CWdeFKqBLCtK2aP2ln2xfaea49a00/IIecrw1jnzrcL83uIqdkMnplVyEdqAOSpUe
ejAjX5LZU8fHELTJ3oXStPS1NFKaw/1LfcOFkMDTKARlCLrWWxUUW72b57xs+MJlXNdIZXfw1g1A
HXZm1A8bw58yQll5EMCztJTBe8oBkZW/MvQZvmoztIIoa83QR146Mf3SHeeNusStRZFgARyDEBP4
yMpTQX4M7QuT3AFKn80C8QLch5/juUYFKJkN0QZ/vocSuwGjliTwX58WU82ZuVkMK6gETLTPSew6
3S6sbRqfaVO6G3xzN1IsWWphGIJnDQDVahMdM0pVXL0V2CWzQjyfoJr0qVe/lkXhfLe8Qf1YiLb8
Aq/gvOGFbpoGbc/YFgWfK9IYu8ypD0y2Gcy8uSDZDbV7MjOzTJ90AEftsw7FFiPlsUj+Vvj/f8jQ
8CaVCMwdklb+gb60vETv3nM0JsYu63snMGJoqeNxTH+pY2PuROO0G3jv6/sImArxDY4Pzw0h4aUp
HRGOyUw0PQjVqJ12StXVf8NGY4tjnhvWcHDVhFlptSnpxt4/TNeuR6f2ww4ziMdju/68rjIP/UQi
EZSlHe0hhYuKPeRipv5VykM8LlYfj//eN3l9XTAJHxG3UjKWrEuXmlE00WSNYHSbYniNFDMpdg05
7E5Vkniru3ztA0Bgo74O5SuokqsASfUWxuLzxA70sUr+ozlC645R7jVbBEu39hGaC9hPJF6NQPfy
C856r9kRNO6B5S5tecwyJ1n2qXAU68E2Kmef2eG8RYJy49QAd6EYCoRTckLL+/PugLqDY3dW1noB
HVejOXZNRVMqbVJbInW68KV2R/cf5n6brVLl9atJFky5hXRYysesWa7YREFPF8xoWFWWt4PLPDom
dDeTo9tFxu+ic5e9mLQl2SlqPJh72FezrRrEjQ1//xvWralG7yDEjqLkXFpq9jHq+iQ9ZDUSqnt3
gMPcJNgP/9gVyuQfbLssvKM9sfrG7uT2wwj72JknZ4lfkAEajV2TeJnh2+iSw8WX1q2fiqL/Eab9
sOH2r72htA7VhgmdAwUIuSHvvnYiyJwrKhxnPbS0b4JCQLgjnLC/tb0J5mYu00+EqBU0/IWx4Yhv
3FhuKxESxX9SKXvlnoyms/PctJVgphrzYirMWxeZo3ztwQM93HcOtz6rFMUiQmDe/4o0Jmfwcinn
LDrDztL68J5En7w0FPthyb/qs2d9u2/uxhWyZUNB0nIwQ7uWlQYHo6IzlSlBXsYotcL4M4tDweYn
BxMN9DnyWwEWLXJme6OXe8Mxyal1zEKmSG68CsG6IYKl0Q7jM3V2YR+zcYqch95JrP9hQyn+QlFJ
Fkx5Rf6Od8dmNOq0amIrOWso3j7wyMywUjKqlbvL2D0klkKJ/f6e3vqEPCn0wuiuSsKbS4ttMSZe
OhvJuWdocTomAATKB0+0VvzIFIHTPhWwA3++b/PWd6Q3RABPP5e0ZXU5iiyEkd4EKaz30DVMizrv
CgXBC6vqvc/2YLWHziy29IVvXQtqv1TH2F368iujysJ4id640TlmCnb2U7zhk54YxeeuZWTx/gJv
2kLSnWQfgB119stNTanPKaCKQM3nU/NJzdR6F8Il4+2rYVLLjTNz62wSdvH1mPkANb+qD5UOfIkO
lELnTO+L36qWVdFDnydNuf/zRYESIUZn95g+WD1gXby0nZEVXpAnznhEAcwJd0bfR8aTJZbO+fbn
1jgatAoQsyVsXp1Lw4I2QVNUj3LQpELW2Uk1XrNXy+TQpUb8931rt/aQZJYGO0sDECL//t29m8Pa
iXMijcCivf8BXiYgQICi2uxw386tZ4GH+A1whdtc027I8S03G/IwoOthFY9e5CQnGiXuadGAsUKB
5pYjSCioBn9HZHjthvlboQDVEdJWqrbQvK82VVVHl8GYRgmyxXMLXzGQrmPAvnqpupHB9Nlrjmxx
8oDcSdYdirIrv99f/62bL8n2OKeSd+SqZhDFWR2mePB4qMNTyFzbKSNneS2tJaf5YNMVagtj4zbe
6GAiBgFMElIJRj2gFrr8umapobwaJl6gRaLNTlXVhn6HkKfxgJCLiX5gGRaR60Ovpusv9MuKD6GF
SPS5hAbin/sboMnbeJnmUiIDVUz+QDpIGfDyt0SUXcfaq8KgyJFP8Vu2+5Gh+TqEkEHrn9XRix4i
LeuRWBXWgwImuNiRlmqHkK6Z2OVOk+0bq9yau7n1DCDWxG1D5Q1s1sqJRJ1uLfQAQ0aqqsLcz13e
TE91piaMeItoeFQQhH26vxU3TXLFkY7mJNASvNwJ+HmHSK9MJ5j7BWI1xWj6Ez9vcg+GORuEZnFh
/bhv8m0GZbX7wHbeoHfAV8mlLm3WkGSUxTTYqJ7XrhbEqodwMSdD0Y4UmdvOZ8ZCN/wqVYp2F8dj
BBOoof7Mljn8HHoqDL1ZFZdPXhPO5dlQBgRd7v/CGw6CnyUH28jhiQFWr1TiVF5oWFFIH6dOG98T
xeDtBHl00I+6kk5+rVvFwTJy1/pk1Z2xlcXf+CiSfIsSDCQDBISrczAvInM79MzPYu6sE+X3YW+3
brkzU1IHzbbEFhxytWCGP6n2y1iVAwDX7dojQJrTgWCASVFkcfPVTO1G9TNF1R4bD8TrMW/IsR9D
RxIlMyNiL8f7+y093rsDIc3TbodiF1pHyGbWAGq0qdyImC48QQRVIUWnD+G0G6WyBw1jBFfuW7te
LC5PdtwlElH2Qi+PX6M5Uoun0k91lZQ7MeTxwTHj4ugpafJouVn15OEV9kxNtRvZ0NoHstC34gih
j4Fp2HwuTduD6KIhXvST3UfpSzs3CXWZ2N71qWc4PkiOYl/XvX7qG9V4tIXb+6hPdFtVmtXx4lfI
uhT/ATzDPNPa+5WxmppDOpqvIQIbH7sByoowId4Ls0rsdETDtia7Vw8Oc6JUaSXWVAKhdGYQLpc9
eiTXleh5ZYts+adp05+TVO3NZvKxIu/NXbqk7uP9r3x1puQFAudKrARQD+b3S5tJ7yoRGO70NFVK
8hINs/2XN9i/Es8rNmqmV9spARxyYQxPsbXrhpIwQlNtJzU7LVmVIryshXWzN8pJ2BDdRMMvhkL7
rQt7a3WGnBshupWPmPz7d6HSUI9dS7snO+VpXz4t0aAgATSBMUO+Lfr25zsp58KYTGe6AVjgpa0x
drsuTu3sNIfQTrmRpv02wGn8ZZTJuBWa3VoX4z6Q/VKk4dut7maF9SIytYy7WcM+1Fo0clx1eAJC
mm5kk7c+G7E6nHV4H4l2vFyWGY+8AWGR43RqeewH9ZRMafpgpYitHNJI67f0nK+vAd4Gj4NNqofa
WjbYMFIizY6PllCm/WElqfvDDd0uRCsv7bn91QK9AdCqLbara7fDCeUKAvin/A3wRm7Fu9Mi1Jya
qOvwBb0x/l1amXkY8w5YMmp6/bEWwvllK56W7IrUXH7Ra5h/6CheH+6fo1XcixfgV4C5oUVHRQgg
2eWvGHLLGsWSsOGDOn9S2Xkrbv7OonlUn1q3an1Sp8XYI4AT7SBK3SJ8vvregOYoy8uqH3LpV32U
xWGK2s0n8dHs82p8gWHV7A+A2dLGgjJWzSM8/miF7kYssdbyk8k1vUnY6LAKIOUNVP1u8/s+acwW
lMZHJ0sa1/bLRsm+GkYDQdKuaeuxGgmyYvRaeoqEXzSp0/ZShRZjGbZS2NpOhG76N0KTVe+PYzV5
lg/s0pmencL6P9LOa7dtJlzXV0SAvZxSzXYcy05VckKksnPY29XvZ7w2sCJKEOF/nSQHCTAaTvvK
W7Lp0Qli3fSpl3Q/b6/WMkbmd78mSDBtQbIAk1pUsAanRCa6r7qnGAfRrZimDtuEqBc+sZfhbkSD
b6LTKMG7yNOUj3EqvEPi6WW7GTBMUTeqKaJPbdCGK7toGT3C2dao3dLGIUADFeguNjPldS8QSt8/
9fHU4dtZZFm0yVrFPoZl3La73mzrzwiZRc3kuyO2n21pmw3BdO0mG1Be5fiSWnA0N2qse8lRGxNF
W7kxL3a6rDrCaQFqBUYdMu35To9FZwq1TdIndRpLdxMZOmKXnZU85Q1G0luRDI2594LOxb7dDerm
YCMYtoZYubhtbGIcLCSRvgCzT1p9/iNcSwwIFdTtk50DyemgUP60kkptdq5XUAwVab8tTGf+envb
XE6dwhlKoDTawCBcuDm0VlfXvWK3TyCvuv1YBf29PSWj7beI+DuxvhFWnmyVqXRfStvpV+70K6PT
IoE6A0aW4GZJ4BSBPYyd6nVPoaciW9sOare3HGvQD5TU1PAHTPX2mcSwpDXWZ6NUzkJXd6WwdnHR
vEJHQcdKRIJz0YMTIUV4XoD2SVfsYO8qERmE5k6/3UYLNpWu1N9uf/Ir40l3K9AHKAIBd1sciNqh
0Ev1Kzk2pPKhP061GW+8Ii2ftTwTf2xkgdLD7SEvLwdeaDpfnEEiSGa5iD8mNxGoyXfFMSTMdf1J
BFOo+ASVioHGWxdgp20bUc2xK3NT3eWjYnd7Qt+6FH4HruuLpUPLfDTSzogxVTWrSB1XLgr5E86S
CtrlVDnAAYIgBtcv98o/9+4khsjTqyE+6s2U509jM4XAp+ou+JIiWrYGC7/ceUgX8ZV5WNh/lBvP
R2P4xBqHqjx6TjHhNK0MEX/SR4fF9bFq3W8IHBs+0g/2w1TF6ppAwasH/WK2tJbI3Dh2MNqWTck6
yesE9mkEYipOjmk/GsYG0rmIn0c7qIA/jubUfYkAdBRbp0uT8inqUzPzKy73b02dTgFSdpb7hQut
DjfdHHghFmmkY/tMzclAmmmygAW7Ja2yckyw1bUcoY8HN9UF7QarIAqdQRX4jSoM86lgn79HYTN5
yT1Y6n4Xx8UL9FTdO1TW0NVbZ4zncdtUyBjsAmFkeQgGoME1E1o0jfMmUD4mItaTlyh02p8B/hfz
J9tIQCmHocfOmdGX4B6pUv1TpjjBF8y0POPBnscp2TmZE2R/wKY05buUwr3xuYhViF+ekdXG1orM
MNhCW+qrh7w1s4HOo0x8wDpU5R4GuDU+lPA+nQcjb4qn0WjKeGONztzcKzgBG/d9kkz1kS0E8nHs
ZwqGg/AyID5K2DiwRdUyUva3z9uV3UW6ioolTXXApRdhsYrjZVQk8dFq2+FhqsX4ScfB7zGgjsnp
M5vqj5JW1oSQqRbnbLNsrRJ8+QugzICzIYXjF4DWO9/fVM87TjdRDDql3YdayaJPUZS329pRoZE2
GdZrsaKaT2ZcBnuguWvwqsvxOcVgKlA5YBd5S053Vjsz4ud6QFEQ2OM+ER4YNg/RrGyju6mkRHn1
bJunxO2q9x2CTNnWo6earrzsrxXv83NGwsUdy++QtIRlDzWz7GkWnh4f42KeHR9f0lj96NZG8zgM
feP6mp7nj7zLzqnA/vUBkY7sBL03dD/MPP721ywpy+STFtDQ+WZliKm/S7JGsdbcKy7fBJdkTSo9
E3XSgFxcR02FLgviDNVRw1npYdITmK1RztPkK9TTFATVVPHr9h5dsgMJzFxanrQkKGnDIFuOGef4
EnleXxz7ZtaGnaIOxafYbYp6J3rJ4M0iC2NxP9WaOPk8R56Rb/RCGd4PWlJheqkYYWp9u/2bXh/8
s+WSYSLfgLKzZOgvaz3WXCDiMOTacy3qzHsqg6hrnyeSeP0xVJNm2PZN5Nl+Vphe9DJZo6W8d9Jy
wlJKFb3EEydR9gnBPTFs1LbHb0SvlDbd9fVUpF8wvRjKQ5tPg/dpLLsp3AnE1Z9qZKDGDyie5uO+
DIxQXQlyXvUbF5OibYBSHO8afywffKPqUrcrTOMZe/T5Xp3C+ZfbicL46OhBeDDayku+xlXFufSi
IfYePBQIsnuz7dqvhl2JbBthZPhom5lpfq2zqHp0BsoVBwzpOuVRK9I+/+xZcTx9yB3KnZu6cPKv
WaDH/UqJZknClrgvGBgcKEpDvJBLUkRkD0Xi5Fl3VBvU7SCLGgLRWFWI8EM/NE7s57PiRXd5bA1Y
tGdd5bdA8D7OoRkau5QWBv97tNtyJWW7uGv4LcheY8AI0kY6T5zfdXGU9F2R9+OxyIWj3aGOFz7N
cSUeAqgVm7TI8m9VYMQQbZ1+/DQPbrwSulycXn4AYwPApix7ecn0QSL0wfHGo9lhyejjwGL+zu06
tjaDBlxBbaM1vPlliYCumyyWgcgDpoEA0PmcjYhus4kh0lGFGP9THfqHaQ6TvfQj8RPScs8f3RRp
Nc0JxHNDovue0skajPcyV5a/gpK3LBXSnPIWX34c9cpoSUqOkK/Q1e2qymy3SjHqDwq0pHDTK4U2
3qs9ctQC3aninTG6STz7fZUbo5QSgXM4KrORvLfstje3ytDA9da8jJr9YDXwxKxJWzN7vbz4+NXU
UeHCkjFzAS6CYQ3WByiXiVJqU2ITmun9T96PfN6JTp+fgnb+5fAjU+CxtbNTGgXhr2QoXhRhK2+E
A3OiQB+jcUTUDSQOJdbzZTRjM+zKVH7A0nT2UeL+NtHH+KRiIPyUZk3pvbWWznivauIQXuBvLms6
cyzJXK07HbnOaxT9m/m5bFzz4MZ6+DHqZsufR4/z4XS1dbp9t1/ktxLEL9mtoJCpqr3u6H/ie0r2
NWXs3j7OTd9+6YO0idEXDzVnF9Czfjaa7G8MQ/PL7VEvjyaZFnVeWgeMDo3s/ANj3jl6ZWM5Rxe+
VO8Dv0v3vWPP3/K2Sd53Vfz39ngXWQzlAyJ6ydeTavxLoGzj9HUzKJF1nGfAIHmlj5+6tu420pP+
zdfe+VCLqc12WiuuSKyjXeR46rlRjd+LChxkG1XRsEcEMD6kXp7tRmNMjmgBrDE+L4MrrGcpE1K3
B6BHALMoWYQC9eqEDt9xREQxvTfzsmzu6qCeU7/zqvoOhWegN3bi5r+KdhAWMQM+AfdZW5lPPZ2j
n8bcJy8VXlTdBuPVeF+k0bTWPbncd4ZE8KGaTgKMY43cIf/sOwXq/0gQqh9LZUBIXR27rWrXwyck
S9Av05U5OwR0csVbuww4WEmZPSkaRT1u2UOxPWOsEyL0I47H6iZwnXLTRKbzIqi03lFoCO9vb7xX
kvZZlIHkAIq0oMqwZpd9yPN5ek08miXclePEvaodUsIKww/SzNb8UgXs8hC1KpLSrmqP91o3ALxt
w8ZTeJGhgWx6GPzKJomtoD9gE60dyaLG4dGYOwUzq8lU/5R67E4Hpy3au05TpwDEmKhSv3JHR+Sb
QFeTrdCNzNuBGRqsQ9dq+G/pcdpr1JFMN/X1vJgkj8WZw22jK1b6YnWWeUBToEN4SlWGjxQE6+I7
+FX9i2nMCjeD5CL5fVwO91HbT8FDDeDslKPt8hJ3TRc8DqTJwq8xCke6uhha68/tr3p5nNEdAHJF
eZDGAwCe849qNY3oRK05x5Z+WbQNcitQdgV0c7qeXRes8ateNZOXi0gsQxmEKrT0WDofD1yQAmFA
tY5ah6vrxhAm0V9Ka8KvVUs9OJXTzAdtirvcJ/3vxc7oua7vAcApd1Hs6O33QYBVR2xtht4ge7/b
DmCO5sceZnVIgKQaZb0mJ267/aGu/XKCWwnPwJqNh2XxpfISzlA4pO0xCEH5OVWuR1t9bsyjQ8XU
+hSanbIBBK7of/O0S3cp7Sv3WavaovLtAuXtXQzK5FCXFAuA1HaiT30V+ET3Q/GE2EDfK7KPfPFw
XmsvX0aPksyNuyMiIVj+LtXXwzTu7ApfjyNHArmxWES+WjjGQyNE6dee4m2Lsfru9aj184a8udVK
VsrmckBVQ16/uJ2wXnKLdOja48TL+aJ5QfRdAINFyDk2D/PU1V/qpu/X+PJyGy22GYgmIARgQgmC
lm+x0mbKjMKwODYjphtb5N6CrVO6xl05NsF2dOumved6zO/yUOBvdnurXD7JpBC0BHgcKTi7y8GF
KazYtbL6mMOnv1Mr2F0b1Q2IWylDnopQTX/cHvDKCwDdlkfKQoMUyO1iayLjJOx8SvqjgKfYb8dA
jJrUYQ+xFYiGTdSXIalCnn6+PeyVj0zdQ9IWcReBYyd/1j8PT5tW8+xG3XB0SZSyEz8A007Hwftv
O4RN2fyuqbtY74vZKsRHJ5jalbvr6vjwdXQmSINjGeZ2tVIQhonu6OInkQIEwXK5Mybgt5NXBxk7
zoblrUxochyEYqlrnZ9rn11CVFhhWpm8vufzNwb8LzMt7Y8JHisVMMQkdvem2wcvRoHEHzqjCtXv
UYlXChtX9pcMMqkicBlBV1gsN40ury8nj3nPwLH0IYbVGGGw8lMPYm7TIfDWQowrlx+8ISAFsmfK
M7wUUCns1KjYvcNxdJ14fChGo/jLHZ8Z29Sx0+Ydmv/p71S2EA9a5gW/htrplW1djX2w0ZXeNt8Z
g54qB6WoFZxSQzstqY85du4jr9qBTDXdBNHzPrZ3t/foa1RwfhNIxhOFICrhJLDLOt2gJ7oQUzEf
Ey0eXnQIj8a2RFuMXr4RlI9jmCbPUUh5ejOjJB3tFJsAdzv3fVu/a6IoFjRDEYPzBQ4uYOywN638
yaMnvEHZqvTuSvgKjT84dWm8KzShp6eys9NhI7LR+avOrfYVmj3nL6YO7R0MMSBIOswhftG3J3q5
KaDIIBAifSIlZmmRaI2Zo5WGo6CiYKjJXc2j9Dkk+3yfQzvdcir6lXDssu1JGYvDJ20CJMHVXnTP
Ww37bU+t+6PmVmk2+10xJrSC7arpfcPt8u6ea9BM8TdzZ/N71MXDO85S5O0sFHaTrV5YOJxacWV8
RXu3i180e7Z/vvWbSGcp7kOKfxLruTigSo6K/9iY81H3Is3wO0xR8b/y4oee/HiPKjOmfrdHvLwS
GFFqOZHpguVYVsLqsfTmQRnmY2vWiT+Ymf4QjsqnwC25oITaqb8KbqLD7UEvl55CiVRt4XWlFL1k
WQu3z90a+udR6GLaFkVq+ukIs8fN1LthdOpPt4e7DBnPh1tcPzjS4AkYDOqxn9B+h2fTfkeY+ZQn
k77ywFxGLhIOS92FxJasfhmcpq45alldqscyn5q90w+Bs6f2ZGU/m0ZauaR6g7oC0DZ0IcWcuukm
HtPReyM3lCyHQgIqS1L7AEvQZYrdxbnnTFFgHR1tqmefXr0ODjBUdw1uayvH6spaykicqx1oHleu
/Pj/vKlm5FaiQMLi2PTZfABSMaH6aGV489aNfU/Ok2v728t5bUQeUAdgABuIJOB8xCioTTyTR+2o
VQoUUCeNDt5ojtkmzLtwOw/NWrRyZf/I0pTUWgMCBBLgfMA6bLQGuJZ+LPp5nHdmbvXus5qZHt48
uh6YK3mqvPjOHwDCQMlzk3ovUp3vfDjs3XSvrz3tKGIumFxB6OWAc2Ktr1TBL6MRiSaku0EgIjOc
BTxFicoZ0FCqH4dWdButMWkEZdawz7GJ3pBVqffIHyVbvFapI795CTkhJFTS8git78US9qFhjBWl
2WOaVelDhJrSvRGAPOkgZ24RM1qFjcq5LL8pDAyYtQQxbNbFEsYVxUUcC3X8lgtzM0bJeBBe0z0W
WRg9akHibTwci1/wOdHfI8nvbeK6m3YIgK1aNVy5cKWSD1UawC0QXeQV8s95IcmuCgMruyNPcvZx
rrX0d0H0f2dy7Q5+oeXmvNUU3VVWzum1TUx1Gq1HWXe7qDN2QznFUkzuSNfXOHiD28e+Im8g2wic
lWfs6lgW1AzEnKnTLnNmClBmCkdTPVqi6r9XiVJ/xOMQQHSvWeHKA3Z1LImjINcFm7YseAtUGiJ9
ZF6lkY+/+yDEPpectjd/iM7FfP72xr22elIqFLs8VZLoFvtIS0xvrqmkHhHI8e5QxUc1Limavdeo
8zea/XAi6zn+fHvQa1MEIQIe6HULLwtXojS7rqtn7RijGP+CIYX6kOsVxoc0Xuig/ofBZBcD7QIK
psv92TZuOQU0Oo4inZPynYru5M5wFVSFYyWzVj7nlaucygz4OLyFwFldJJ6D2yF6lHCV21bibVPE
n1QSbU//XlWDsu1QH3+jPZV8Gy3iTa4Awg+WcHH1zFEemULJjKOjuNUWooJRwFx2k61UnvC12nD2
bGltBbd+ZQmBkVG54oGktbBsiE1O3Q3dbHL/xKX+jWc7035QS2nueORM863wKYBFWArSAgIoC9RB
/ph/rhiX7MCbJ5v6alxn90PR/ykbGB5tRoWc/Zkaa25CV04FA0rZf44EAeziVDhuUY4xNa2jbZRq
96uX8nN31CCt7sCeDih/61iVblsU7ecVYfVrQxN7OPj5AvDny57PNc6sBLmNxDgqjlI+g97K04Nj
TLl7ALSWfidDGmDY5sN/iXts1HKQZqRoQsV98ZHtMG2LiDv8OCt2uq0bJ+92WjwH7+fQrY5ql4l6
paB3bQ9JczepZSvlTBZTDbFyUo3G0I+UjZXnGLsfZ1uJPkn3qT3n6cqHvdKTsx15JCVaA6TGshE2
aiW0MZjKz4hzhQ9u5OX21slbygaFMj8QoMX7XktRLWvz9kExnDB+ikolfKCeon24fSddguVwxyLw
Io+XPATICOer7BpZmMKMzp7j0GatRd8aph8XY/xB1PP4jlelvW+SqURS3x5gqFsjMnnlWP8GN0nN
GssZsYFgv6YFfxlBUWOmsCHlmjhzy9aSVgOGc6y2fg7ggqR+HJSEFYC1HkEAUQ/WB+VjCrbKjyc8
41fevde78TykYfORzUrKD6du6agDii2NsO1q2fTlH/ShQeBHlvWIxo1ziLQ0/1DURb9r9dj07S6s
HwYr6VcumsvD5+qQ2Ok5SVb5hfwwpXFsjAt3fCagSbrNGIOBGymPvKBLkXi+q8OBbCpVX7OIuXw2
2I8UZ4Ez0eKCfXC+HYqyzfrEK4fnKTD6P7PrtfdwghrlM/B9nmDLDJ3wzS8VCFOqVwTlGDhcVCzN
KccnqY3cYx5qh6hOdd1v2kRAYcvdD/lcBT9ub/nLwy7TSNzKUMvjDXg9nf/c4dEcDy3Czg5uBq34
0/e9RX3UDr4O+Ip/vD3U5enCVhiAD/GTtIdlK59/TjMPeWyLtH7CXGu+78yxuO8q4aQ7b8iDBzML
hmMfdeoualOj3lToXX62jDYSyKRr8SkyJvErTjXRruzwizwIxgXYU4OuLRgXgGvnP0uvg6oF8lI/
5Z1e/YFGPMJ1opch7m7P/2I3SX8o8kiUVKSK/pLM3HpxYWpBNz3B6nCHg1lEnBizJUW3mrD4E862
vf+/jbj44EFit+aEauxTB1Oj2Siumd0FYds8xuBhDnGsH26Pt9xM0qeCDhAAA0Dl7OLFW1XZjQKp
Kc7fl4WZ3vMsG++FERy1KH0zNfB1KBSHEWnhD8qY54uWVflUhGWev4+dgB6XiccxEL9MnADRYlvu
tvYPDQG5aZNqiLbcnubyOpJj0zqBaE+BG6yndj5211ijPnRu9n4c6UnFWWVDA8xdP7Q7rUQVyzX+
FIhPf7s9qnx7/rmHJbv1laLAnU5LG8jg+ahOo7WqPqrB1w7HiPynWZT9CbRbcFdNleq9T7CNyz/g
OmjZzxp6Vd6mmsM1TYPFzF9/gyzrE+5J/ZKLaje9rD6YZ+UrWtpBtK0KTyUTqQCI/x6oZpZAruwq
ALoT1uXu9vSX79D/jA3FlvNDl5sW1vn8NdrMeo/q/SkZ+37ndmGyKdXA2osoULw7x0qdvxXB21Nj
FvVBLdoo2c12raz8jKtf4J9fsdh3fdMMTd/ggDgZohnuMqMcQbfGxly/2HE8/hlmM0GeI6nNNS9L
Ob/l+tPIYqvL5tkFKyoLcny1UkP5CuEL5/ByMo2XpiSb4NnHNvD2115EHK8fG1gdqRk8BVhR8jP8
8yxYsaVWdThEJ4DEtfpB1Qtd8UcNu9ktEUj4zmxaN/1DzDocirJo1i6SxVX5P8MTc0jpWPQ/l/w7
Z7ZK4toqPAU1ZohemSfHuSiqb6kHRp8oq7BXYt5rhwtaBq8AzUKTg3Y+X0OZvHAQTohfxuAO25ni
/g5EW2JsW640+rGm4ozbPnGnZNMKCFcbqslKtRILX1tifIXo2UkEEU/R+a+Yq7LTxFyGJwcH7rvB
8IKtMTXWtrIBbd9e4OtDScASOTZpjfz3fxZYsTLGn63wpI1D+qXWpVKO7sH+0dreWcvbrg3G20ds
DbmOguPiwjQ02PF2i8EuPp7jewqNZrYvs6rE3V2LLf1tOfDr5sG4HUg1bznpy+Ir8pYPc+NWwdeo
qjVQLqkRTftBacJ5BxV3cN72yL4OB0qdfPuVQLYUR9ObdgyFVFmyKvQtB0dPt2lZus9TNIR+GExv
F/6l9E8QJY0/UCxcsv0oroVZr5bKV5M4zS89B/G8rA+LT54ZZWtGMlfOhUvG7Um5Aaa3bBSZNeKd
CkaJX0GORBvmOT9ogM3uu7m8a6be+1QYsbM3UmVIfVdgNb5yLq/sHEJFLiKZ//DXYi1LOmAAqJrw
1GpTctd0U/uui4BiwEPimb99JJaZqFxJBqMWTnsBGN/SacqiJkOO2Sm8sKIunpxQcX5HZVHHW/5/
tcuHpI43c6pS0ezmWRWbypUguwJsTr+tmvLNdnXyB4EShZwm22bARc4PaRCO+ZhlGlur1IYDzApq
SHmEWGs5tt2DxjdYg4dcW2/WmvImBADn4nvnaazUTWTlJ1Pv/4ZOPudbiqyesWm4++6cWYmPAZSd
XRAY7l1trA1/bbml7J6snVESeM0g/rmVQj03tSwOsGSyEuN75g6IaUez+aPg4v99e7WvDkV1FWa+
KvUv5b//M5TthF1jeHVy6uJICTYqGj6Fj0zrUPqjmlUrad2V95SQnx60xuNNH2uRSZr6mIwtFIVT
NndG/UGUVq4+24ldDp+p4zreZvb6Pv8VaFpzqC1KMC+3Z3vlQXV5x3lQZamVzvT5bEuAz0GYucmp
DM0JUARCx3/JNc1PjtFY/T63x2gN4Hz1A0sgm+yFUMRexKso4LHAqZKczMKexo09Wk5GxEb37hgk
o/b99gSvjSaLZDZlXglIX4wWtGNtjHGV4hw2Bjml+SqcnWOeu7n+Mx4G8+1vDLI/pM4q+C0px3L+
PbMuBz+kOslJmNiV+QO3ZLFtGzHfVY6I1lAm1yf3v6Mtgs5Ah0ethXFyMlpkOV6maq6Dd0Cmrd9u
G61pH1wb7NUzS1IyKfUtpmYBgDd7BW/hokyD9sOYZIm7mTvMaV90CN3Wyq177WRIGDFUYO6cC0wY
hT6hTPUUn3TF6HPfKpHM0QvQS35uUIQ7hIPrCQMIad/8Rhx4aP/DyaA1yJaRGDycNM5XsqRrL8LS
SU9NUzs/GmdyDloypDuhNMZLDDh17Zm5+n2RuZSKflgGLNUsWtPuYh3Q9GnQanXeeinaAb6OeNKw
ydVqtQV6dThq+2iQgIfnCT2fX19GfVuiS32yIwOma1Nrc7ppVCfftO5Qr9gOyY+1yFHoPMjMH4Yt
RaVFoDcFbVO0WZKdvG5wq3fqFM/GuwFqx0r0euU682CK0dmEjsTiLa5Tw/HCvq6M/BTko53ttdi0
ktGPh3raW5Uyzw/Cycw1xZOrgyIMi+yjjsjCMvAajMipemlE2Y1BgfzZCGbHV7pxaLatSA17ryGO
u2Y1eWX5cHKlw4kMGkX5ZWISImRo6ZWanhSrjlCN0SiAmjU5d1DGEGQLuDe3L9Krs+StgqwGsh9c
2/l+mfR6DOdGpCermoZvXjHeTaFulJuy0vKWEvfQriV78u1ZbhraZVA1WVGAOou3SQOMnkwI1Jzm
XBQfzJnblhLvbHcbq+KWfU/HHFS7qnZO/vZXGXVhFFkRa+dpXPZ0ZxhpLuYK2YnSdl7trRIhGSdt
cuN9NuMiv4lG3Yg7PywD1d3USt67X25/7GurCz5Bpg+e1OiX//5PEIJoXI+ciZ2f9DwVv93eU97b
vWEHGwjq4+HtYyENRMIgIxAQkudjeQqyvXFQ460ZVtZjrBXFZ1KjIPATtf1xe6hr14CUtKBVR7eD
cPJ8KMVsCUUQvj8VQaiN23xqnXAHp2vNWuDa5wPgBZKK4NjgyjkfR9S2PpitU5zCyLV+0rt2MZXs
CmQ7Crxwb8/p6lgSJU5NRMrjLN4JxK9sjLm9/OQ2VnaH+o54xtnZcVCMMNbYdVfH4vYEo03D5SJf
Djs096CNZqcqxf3qPk2H5tAWXBEHDXL5p9sTu3b8dOI0YmGPbbispKIFEHnCwp007RMb5w/V8l1Y
I8d0QHTE78bxT20a4/3tQa/OEFgKmEvifXSxzlcONsIsuoyNX6eN+Zi1Wfd7sup+2loteOTt7cGu
XWnUahGqIk+DlrNcOgna0lR2fpIVmXOoCyOf/FirQXCosx5i/13Amd/fHvTaDEnS6VshNStpIecz
9NBcVmITB1ZXrUXsjx7wVmFM7rsydNbgDVfHknxuRCWoCZiLsSj/2XowB/nJswba0DbcsJ2wBmyl
NCNaawhe+5qvKoBMDaTr8nDHphO7dmaj50ghPN8jPJTlQIHreqfldeQ+kBO/sQ8nE3No6oBH//+Q
i93iArAusWQrTnmDOsljnBn9dxyr6mrjVmr3YahoGt1evauTlDpQXMp0a5aAkaRq+2bIWnGyVXy5
YJ6PT4ESa4nf4+d+P2lJ8fE/DEiixCUmRZPMRRPKmpu51LxcnCInyg8Dy+nbdqxuurxu3vE8zSvX
2dUJ/jPeYssMVphnZliI01Dx7DFDFpHSo/mH2Lv4kWmlu1LblIds+cpTtqfaCDIGhOPirp4atkvY
1OLkqHmdb2t71OHFCbdaCQ2vnQUiBCk6jswOf5+fu3LsvC6kgIPfcFd9yzRDuWvCXLy0k/c2/OTr
rpToWwIITHZ4785HmlvJcil6ccIXMNF3GTiNH1UWrYaA15ZK6gdKqT3svi660GGRJPjXiFPi1OFL
LqrgYzI33R0suw9FVRsrQdHacIuFGkDxAhlNxKl2pQNfnxeeLwpNEdT/9bDc2k7zH1JOmFBADOTu
Z+0WoQlxszd3ulmcaoAI5tZJHGNvB3ldfbRqPV3Tebu2E6lJoJoGdV26r5yvW6QUVRpGg0Cc3nKe
E6WLEbSrSmvlibuS2BKaE1zSIOQmWeZ5w9inQTNZxalDAj945+qR2h2y0q4OJZnLY2vhYrGpg0io
EIHKNRHna6v47+iLN091GhmuuIRGs6G+hCINm32ea8LzU+QK1K1X4sB0+wq79l3lB5VgU9kcXFxh
RW0jQJRoxWns8mQ46Io2VPuiV9eQg9fHIfODu4da6bIRWLU5BX1ShRPisEr5y4u1oXz2KP+8UZrl
9YBLZRaUj6Uw6tLXNnHGScxxx0mo4lw5RHn9YI7ILGWF8xQJERT/4dFh88tQljSIFuv5xqzLOVDI
AsXJHIO+8rMhENspzOa7umo7exNZ3hrU6+oeBfwAjwDMIO268xGLykjLqlHESVGG+sEVc7MpwGn9
nWkLHjitzQt2Ydn9qPPy3d4s16JO65+RF0e+bovBGLK0PM1N4u6UcZjuMqXJ/bQposOMYeVXrwyU
7X8YFAiohL1T217eM4jqlCGW4uKEBho6RNgLun45QFBOCGW2Ktd4t3EHc+1JurphHYzFcVYB+WIt
EtwyHUo65SEXjkvv5KB0qePuJOZt5em7+k3/GWexmt6sUpFIbIKWodrBbI1/YR+oSdUpmvK7GI3y
92nYto+3P+q1BxdZct4nm/ATCN/5HopRKwPBJ/OHOVfGQ4LWnLqvjLE0HlFLtaaVa/XqcAYymbJy
T8qyCFzIGppurL30hAaKrvzExapL36udVdq9L7vFybfb07u2eCh6qfRfYGQAkzqfXmuOvL1RW0Aa
qinUaVpGQFjVnr3mEHvtxqY/IBlZFF1RCDwfyNYqS2BenZ2cVMQ/W6GH852AQljsS0hS0PIso7u7
PberQ8rMz0SqgPLgYm6zPhnq5LX5CUuuPDp6Ftj2v73Q2uYhbDGS2GSoqNUr8cUSBvZ6rTJDsBiQ
ZC+tROmhV44aOwqGgHNo/WhmULt7oqlc+6OZvZi3uZll+qHrkTs9ZkOmOaiB1q1hoYFnDlHnOwLu
1qGumih+nAj2Pt/+Ktd2GHkp4GtpSEwR/HwhmtYOuwrx35NZhvPHAk5j709JNt2Hued9vD3WtSNL
XwgoEatAvWSxm8l+2yI2lOzUwcWst2oUlcNHvTWTwFepxG+8NPnuunNur4x7bVeDReMIMcFLgAWS
Ci1RCIe2r7vM+wKJuVXijYbP6hrq79oekyEQUsKSaroscRVj3SpJOeWnBuWrYKvHwfQXo2UVWd+g
+G412nS4/UmvTU1qvlDTQCDpouDtZAL08BSzqZW8HV+idq6zQy3cYtjcHujaPpGHx7AlQPYCM8IL
Zs1pQVbappkR+b1Wx92dq05ds2+iaXBXXsyrHxLZSI4qKBUwlOfbMi977OBtEG5FO46HGKmud+6M
LZsft7HjbJJoHIP/8inxBZfNd0pZS+OhOgVYpupKcdISvM92swjohphAzv/c/pJXp4ablwzo2JPL
2lqal2gDtyS/ttLGtH+6CPfVGHHUYaO3Y2RvE/B0a+Z5MsJYJqTyY0qRfckKWRy9PDVEOiGndhod
7EMsNSk6P7DnZuvM7gQ7l/7fI3C74C5P0vKZumr58/asr5190hCKsSSrZKqLBcVVidudjsFJxUw+
9oNW1Uq4t20Ik6kEbqU2doVwZuzYX24PfO1zgzBm4gByueYWsVcyJTyTJP8nVyjqjmAdXWq7bz17
SzO4+dyAYJtXgoSrcyXgwmtSKuMsY3a1LI3eaZX81BbOkOxTD7bqg6KUXf1DSeYIycO6xWHKR2Iu
XQtyr4/NTSCxbNwIi+9cZaU1SCzoaTaoCIRWkjvvcCSR6Bw3K76NbtQYfm+ApFvphl27IGgq0POH
CH7JGVHtqbEnpaHiniA5iQt42ozvXJuL7wO8mf/H2ZnsyG007fqKCHAetmSxurqpbs2ttjeEbOnj
PM+8+v9JncVRsYgiZMPwwjaUlczMyMiId0jjoxL1HoAFRBecKoBPHNstp6rukFu2s5S6ezspr8Yc
P+qTStVdHuboXWy12d9tOsZPqWy1r2pW4tZiqMVnZViMj/d32O0n5/6kesZHp/PPBXMdq5RkrqwV
0OCbFHYN/uCSFdh9kcawgtC3dGswJSD2nbn7cH/c253NuL9EnbluYCtsEpoR9EUyWnb8pllj/aDm
epj6HFyj9/JkWMVS19lBPrqDSxVjwmGhMSg4I5s4Iq8zQlMIOfLS7jPLHa01v6gURaevjqS1rUtr
ybSe5sTp8vMSZj94JnRO5KrpXB+xBm9DGj+FBwDO3jQNbviQlgXX3Ris5C1teNmsEFd+1lOyJk9F
g0uNH87m3D9I2NXzQpAK2zP6TLce7i/BzibkRyB9AFuDku2tpDqlgdIoaOhbKRksItpV/2+pDYZb
Z53pWwm2ArhrAlpjEy9viTnxL/MIqXFeKd2hxs9tNiB0N4UKC7qVgIbFGf2tw1ara4+g6By/rbNt
IlCh10pxppaHzOD9ee8OJODvom1KWXATVKtFBrekRPFbE0OzRWg4S6ZzbuXtEa7mYKDttdGqrWk0
acNAmtNcEooU6CijKFEfLOTeWQK1g5KdgLoTUK6/nN3KcpbZc/LWZWi8uVS6ZPlBR5trOjcmxHtU
CuXmyPVVPBavL2V2DZxQCDRw7FDWvB60oVUrlZGavEXogcQBFOL5H0fJo5e5Kuf8AVRFPLvatI4P
5dKY2cEa7u5dJkJCIEiN5laEVk2MQdGaBnfHcaheLS2e3o1xHxnnOaI+5OZdjGJ2VKXm6qdUa3VX
mcfJLGEe2MrPspb75nR/V91eIXwPMiJNdB75WwTa37Zvr8tpGDp1+pZORvmay2tLrwVPOt8sOEf3
x9rbWIiwo2JKkYmQtjkqcVcrnbKm2VsPJWh+Rp1FRSq8bWfnqPizP5IwqxDupLdAywQNyD7umFWk
m8upBjnb/w9jiPqoq7L3+ciVqd8BLeCfm9pEmqtdY0kZ4B41f5HnuPpLGvt/l3WxooOtszclIVtM
DstBoBJyvVB5iBBdgc/zGz9jyn1UWgd0xukLdAfIs70Yj8gfpixcOMBCNtdNYYKDL9Fkf0vi2Fo+
OdWUJ9/Rk0pSF1PGOnnJ7HgM4QTKzfAwSn30vp/M8EhUZ++C//1XbC54WRuxZiia9K3vO/ky2jkC
gQWJ86mfWv3JyA01AFkxjAdPrr1hRXAQhkPgCreAjZQmrjHUcfpmxVOZnaIo0h+Ry5G/gLPCjW4d
kJN4B3l1PZJ139tISKqDORJ6OTc9g2SYcIlv1PQtAR8fAKYkf1EtjKOE3rx5BCnfHY06+q8SBHDc
TcbqxAs09WlO39ANy/1mmZ3PTlIvlPDm5PP9Q7+3nYjuYLYEPp/+0vW+rcay0Y06S+FNxQg7YhRQ
9y4k0DT1oi4yVK+zNEC4dZbliRtBQ/VkJdbtT/d/xd6EEQkRDxKeJOD2r39FqwzDOkKIe7NDRJA8
eU6U+mNVJJPlamOF6e394fauNiSb6V3/opJvbxkVilg/5VyhNYWen6Mhv04DLggpoolfwXSnB8Pt
z+7/Dydix29BPGr0RVmLAntbU8taHy85y/lYryvwCh63ydEttndIfpWUBGpc5DzXwxVdb6utUkVv
JuY2+btClcMO6Ud8bpKHNnWkv62wmQw/llqzPt//sLszpUQBoIP746Z0xjW4zNCigOsb5vQJEyTh
qCLV+cku0Xy8P9buIsJKhv8n2Ak3hdllAnvbMlbcKJOH2ZkRNPUgu8D041NszdYfN7AF3UIGuw03
F3WTTYSX9GRB7U2K3lZdL+dTXJiRc5LWIToI8HvfkOSdcjqFCe6TTYC3ph68vTSkb13fJO/Tti1E
0UXKisbrVXVQD6a19xkpvYAsBIELYGtz9JxiLMKhIV2f6T9h0rTqxndpqTTftqf0dZ21w7tjd4K/
AI02VzKZ+fX+1DKKoSYgkbeyiMZzPsZO7UlZ1SMPijjP6f4u2R2MxrLoqnFhbols2AhEFcKL8Vus
am3ho3tYLa6KxEiPcB3iUfdH2/2YQKgwbhO+Rlu0ptnhW98mVvw20aJ4xlKhflZAbJ5A4aSGl8gJ
ueKfj0j5EWST0KDn1Xv9MRXYOUs68L5BkrdEc6f/n9GG2ceyGSZfmcb44HPuTfC34bY3U2ua0lAh
7fxWYVp1KteZZxwSFT7v4+R/K9WEn/9leoILZwDRvmlQDjM8e4yKWD7kFH8AhHs2FhP7u3IwFzes
jfE/hGrag1SNSRaFGeX152zMMGkUGgtvo1kqi1dLzfKly/rQeSDT1x7vT27vscMRMAQpHmGPbeVA
RRlqmqhYvOVKI/sqNb9LDcw+MGPZkVxb6yqEtWXHXbHo+X5/6L11pPgJkRjKO3nrZttgTpfLuH9l
b0uv/ZVLs5y6ZtRlga7MeJpGcv7t/nh7dxK1Tj4sEYZa62a8LCs6o5Rm6BmW2fyktNqXp6LKSn80
K+1COutcnLBVV//+sHunn5IXfwmp3RvONGIpMNusASDlMKuP80QhymtNSExlWkvFwdnYHYxnhvBo
hgO/lW/rrSrpIjnOQamN3RsMaE6IYY2D31r6MJ//w8zAovISADQDhPh6o+ZyUvapkWNZE0GVQPi0
+GhLOQ2jzoj/S0LxC38HZAZ0/5bhWMxRsY4IiL3N0tCsFwsXn+9mHZcf0Bgy3H7BxcBVx0g9Yjzv
blIEdwBfCN2tbUd0ni0r5UnMgzRt2r/0yrZfSGTXhzVBM/VSUFi3DvbLZkQBnuTMU8fjVPC42kKt
MpJhp5ZiKlT9KgdqZX9T9C7GzGJ9NxV1dpB7bw7F/xvNIqcQCm2AsjdXb5ZKIE+Mvng25Qnf2QhF
ZtVdcOAJ/VqJWq+DrPW0NqY2HOzU24Fh17FpKM5y1KAxXW+eJg7zJNPn4jkN4+UpSquvAwvbQbIJ
lUuSzaQddT7/WbOZ2VKZpI8ObIQFRY/petACzmpolFH5HNn2Atgw15zunCf6zD1ihBruf1NXHdyO
exMFoIc0FXIbQH83Ex2bKFRTjsoz0V45a3nnXGQN260I67UP3WLmHuLzR4Nu4sCviaIVA5ucRxXp
4mbQKB4XaEN1+dwsWuePyarofhQN63MK3uSIx63z1X4rmFHnpaGi6fSQOZqYHWziQNckIWAWw/Ej
BUSNEE4PoQMX8nz04t8eDQZyQGrTWqAWxVnczKrRlDAfi87x4xDFlnDR9U94kY+uMPl639t9dXAT
745HfiiEnA3epZvxplRVpKm2HD+tauvclezMkpegD2xo9qCQHwy3XbRf0xN5hqgtUJPa7E6FCGrH
kur4uV03fydS3/h1byYPFKqPWP47SwY+jnnhhkKauC3gKp0BHbPVsUsoKuNURWrvlWr/h9wWNgat
WdqaoowJ0nHbUzWaKQ21cnb8GQNzN9Ir09djLBVUpSzOpoSaVwVP/gERHvUgiN7Oj5HFzYRYBbf9
VnQTt8JCDc3R8cdUc86mMg14+EVHPKWjUTYbX40cUBpD7/jEMSWgw2eeYxOngfvX7O0uFHMR+483
JiAGsW1+e7pnk6LVpdY6Pkqwwmxx0qmRICdgG/3gJ33nuPfH25uVQDVRBxENvK20DJy6ptWxzPO7
1UrPycr7mXKier4/yt6sBKLYoGGF+cB2FDmU67YvIttvV9u8ZFD5YrdVS4sOv7aQy4N++dN5YQEE
iB/0myLc7rY4F9law2Huley8jnb13JtL8wzrOj3dn9fNISY3wQwD/RtCFVt+s1pRppi9lmGG1axq
48kmd+jclqkP4uhICefGEU04fhFuuc1QKEEZbbP/JLOWpE7FU6iLmvRrTl/2wXAGafUKRbX+1ouh
/0D8T3yts+PY7SsjfN+bnfkzKroBNyKkV/WDvbq97MQvgo8BdoxvjKj7Zvb1mmM3EE7Z2Ym74rHQ
uvJpJks70XBBU95clacFje+D8sHeJ/99ULHVfj8gSVS1NYo0Z9Rs23OvtOEplCAUjCme3X++uvQK
eMMjWiLUy6+HMlq+rhQzlB5XCao3GJ/iy90vJfXntDzSG9qbmMGFJzxgaKdutSaHMBskbcix/ugS
CN28TWyT2qfdmWdg+s2RDOLNkWTxxENQSNXTgdnqo49Yjix9UWZn6NDJi4xSGNwkVF9S9B7ORWr9
IXhJEZsFGBEzQ3aRK1YEot/WDRREOOoqt8CiNyrypNPso+RRnpqIrOz+um2euWIoqAtQaUjBBFxq
c1LUWFej0hlDXy+tyP46wtYtLkYWV+2jntNI9nKsR9QBs3QD45+xmfAiu/8LdtaSJ5kAqLJ/aGVu
Em1Z6bXISgfJV8PJ+BG2Zqqc5kKrP4RGUlUHQWhnJSndMU0ZOCyQt00JQY5W+Ei9TCaRVTOQmjLB
cqe3BN4+HabJQaysXesDUOXtN+Zg8PIkgQHaDM3tejnLPEOVyBYIg6mwPLVY+1M9qcN5hYzzgT07
nPqojREvqaOD6W5HFtIsv06J6FPC4d/kaX1o4hQFsiYoMHdYH4SrxN+Jo3UvsMTg8+F72TmeqRZt
kGYxool/trKi4c6bT7wO4UqCvried5takRViFRrIhW23HiaUzb+4mmj+SCP3IL6KP+v3VPvXWMCO
cWmnXcKr9HqsBAQHZYx4DKJuVGO/HRErQUp4aR5zLVH7k9NkafrJNqPpsU/LyHpHyuBED/cnvA3y
/AjwU6DkCIA8Vbd5qhZLeZY56RTAq6guoaNGH510sT+lded8BIrSn41CdT7dH3S7pRkJnj3vN7G5
BE/neuY9v2a1asBLcQNC9CfscMpHZwdyVe9LqbL230vCSPxnBX5qcNejil/1W4iys1hTUWqegqlN
1+xVWa3cOE3AK41vugmb2ONZPX25P9NtpBBjAlpBKUH0pXmoXo8pS5Uxql2+BKXUrbaPutE4nvBG
yxTXTrrpyEBh58MCliHb+2U0xmv/erixpopaTs4S4MFmPoxGH33NdO7tcVHj2huWNDlKkW73D6Br
mhcIJ5pkY9tgLCmy09hxsgbKSqRwDaUHH9Z0vfIoR7JkXkaug5ceMYKDrsYWWiFWk4QMfCePHpBZ
W3QBngmtESbLFPSRIn2123AY3KRILOXUruUH1W4sCG1AET+EXWim51aPla+hhGbMI1DF/siS8jZq
kbkRORSk1Sm8bkkLzqj3VTnGc9CkQ/QXdOToKavkn8NUSZ85VNZ7VI/TT1xXRzWt2yAiUkbR40Q5
RljEXK/4mg5F10jNFIRzOZ/VRItOEcjpVzBqyrsyjtOPE930Zz1cu/eSYqIodn+D704cQC/ieoQy
1Cyuxw9HYMqGxTJQ1xo/ozHvtEjnjqhnoKhhrl4cJflrozX5T9CL1ev9wXc2H41BmhRk6CDrtwJb
MXKZQzgz+TxeJR8Dmuy5dWYVlvky9qfJ6DuMAOX24Gm/OyqPOCEPJDD2mztiRhUJgQlrCuIqTvxF
t5bAwpDgpMpZ3VJm78sHYuaRB9gWFyg2PHrdQttaF1fUTclbkWOjx0kRIASa/Ysg3YHbSipPMWPn
QxHOiT9Wc3Q2MuO9JDI/BSu6h//wwUErcGXxjuVhdL3aNN+ImmjfB1Icjt8dNLXiWI6p9dNU/BTG
SfOpl2LnfH9QkTpe35NMHBi3eIcI553NoIi+9KvS2zMXfms+SEh/1C5ynOGP+8PsLStpJY1fhA/4
vJtlhQkvhKdzVLm7uSV6WQsSdLIk196sJlbkaV2mvF/wGK4P8oCdO0KUE20Rz1AM3h5hfcnnMEsK
drFV1+ew6MMPU9N+KbuiPNi5e4eVcUzUeyjXgmO8Xj6eiPKgduMc1DiofOmaZfmqVpl9kaJcnc6W
tQzvI7V1eHtBUj4I2Duz5K6HJIcSHqFyu4rhisclNdslUJFkdzlAU6COadU+aauiHPmL70RFqrME
BLgU1KyszVWvxbm9Rkm3BEo7qrxBau0U6736yBMbEFNS/FBlW/ufOadfdC2t//3jjfSrCI6wOMJ3
aJ5ef2WTR/w6KtYa6GO4hGdyShhsblI3YeTNy+DE78oxGeSTBZT2SMFkZ4XR8gV6Q29M2GNtMqtB
S6E/ZjPXMS41kouVXLy+09clAS9tU1toU4yn5V6SGzdNxvKI4frLNWlzVgmLUD95VeNyuv3wg56F
U95KrLJjj4xUOoZ0ijS4yc+lmqylN0lLXsVeQx+m9JBUi+THclXS+kQBwlQRuk3jxteF+vzfcpkn
TZAleXUa1MmSx4Orayeu2CqHjt4sLPCbDGIVaouJps6B3E7Lm62HumfJTfqHHXURt+kAw1TSOHfk
gZvtMBp5byhxsQSUFlLLV1a58HUNVQHYIUVaPszGIB+83na2PxQUYR9P+5CHudglv2W6iBrXaaou
a+BQFsKYsR3HlzW15JcSXev3fa9EJW4IltY8ZrE5fU9aGR+R+4dg57jTI0WqBBgIFYhtH0GH5S/1
RirzE0b4S3I2JF9CTAEbtALHPP/DqpH4xkRO8l5QX7jlba6IFNIh+OJCDnKzWp5rbcA3ehFSmI9l
VBRHcK+dm4L3mtBF+TXa1joMU4YkD5FyC2wtmh5SW58/JagYv8raIF9mex7dwcmWg9fL3poiRUiK
DU6RZvAmpHFjzpVSxHKQ4pnhda2jP3X1ErtKrRY+YDskCoE6f5TspH4fak10cAnvzRlRH+F99at4
vRk+nqwY6LCiBBQhrX+LYbXe0RmKn/JaUSqPDDuuTuYivDbu7yPx524DCqkGh4dixG2h15bUOMra
UQnMWpvCBOWINR9eWm5q9AdCW+p1T62tJPzf/WH34igqWtweBAZuys2hnTW5TFSJgxlLmXZC9Ub7
bC9y6ykS7DEEzVO/nekuavmcH5B89vI8Wm8cWhqMFOy3XVxDptuRTt0ajJSvEm8QR6ejLtAq1pfc
yYbUTUfI6H/1qDrF7+jWA6HMYNSjbxgqf2xAJs4wjUBaPnhUoXm0qT7ppc4BGus1iMsWP80MFzKo
TrG7yPV0Wqa2dyd5bB9QxHQehxQhlrDSZbfT4iOk0N6DDyCgEFYU9Wggc9dBDe39KLUNfkkpjc33
ZTDr73M2S17XRcklWWbtZElmBc5laKmir8lSPTk9ZRRlijiR97fHzmkAJ8hDGxgDEo9blGvMDZja
k8oaoUV2MajM+USbdTqhOVm/qJkMK78s4+bgEO7sSkAvRLlfqMFbUHhsViXd9SVYHKmTITFXy+hl
VHYivzLt0kBFvMPQ0A7n+pTqClXDg3nvRHVqkPR4aEYjK7R97WsSlbsBEcYgXmT9XIdr47Y2jFW7
sJQ/z1WFcwntbgTZMITcnEC9mtuR1h93GOa+wdKlUN04kbU7EfCe1Q4rU7db0qxAUkLTmof7C7x7
CsEUcAxJ4mhrba5Qqaz0TpIVVlgZE2/UF+NFUbKscm2s5Z9mqWpOUB/q90ah88Seqa27RlPBRbv/
O/Y+uHBW5b0HigxM1/Wmz+WqUYxObHpdwWWvXJJTVC8qBvWJdDDlnXSIUg7FFCE8TlakXg+l4UQz
wMOSAx5b6sfGzDtfTRTl4/0J7VxjV6Ns4knUtMAyekbpzVz51s95+FZaqn1WWhs1SGWwP1tlmD+C
6mpPGqYc3+4Pvz248I7ZovyBv2SjCNTXkyQTTIzZXpcga0Pn2bby5i1r5vSbvBRJyk2iOqWLjrN+
kJ9sZ43BFYY/dEZ4VmC3sW3+FPR8WhW9zwDg5goSHqSO42pJszxkRV8Pp8VMagqtdfO56e2xPeUZ
1a8DOs52K4nfINJPKB68pm9ilqNMnbNkihUsdjpCrKBnqp+UNgXlkWed9YcgL3JPupk2MkWgBqjk
b9+auYNENaxBK4jI+L8WRdp4RRcWgbk608cFZ1eoe/aRvPw2W/g1KFVevjXLbG7jcmQPaa2XpR1k
4I88p7YX8GR9b32u9Kx9QQnU6vw/3VCQrdEZBsPN8pLsX2+opu5Yuri2gyWE5C0P/fAxnuU2MAap
S06t1FWf8Q8o14Ob4HYfM+wveiglN9xBN8Nmg1EZeh7bQZSqxqOiDdhqk4M6H4d4UE9FuVjeElrz
UTjaxgi+rwBbibaw8EPYgmgqLTdRq3fYQ7U5IHNjxY5zKkwds5z7n3VnszIQ7QHA+PgSbN+xejuE
fYTAeFBYFGCQax/OTWiojwVE54OQsDsU4AiCAvYgNzJTXdXoiTOldmCsQ/zctYYKI66pvUmNqoPN
sjcU9xkPY7qHNsTO683SQSuzYFo6QT0YzbMi59MZGJTxbRqtI4u3nZPAXET/V+AjaPBcD8Wj0EFc
v3CCQYrG9+1qcfyQ/Q6mMIo/dPXsPN5fsL2dgeoIWHWqywIFcj3erFSoylmtEqRJ1kM1WLN/QzUe
Dz7g3rYHRknTlwKUQOBejwJTCJgJWV1gWxWW4kvRdSBNrN54rKEPhw+aEZYPo5bYR/AMsTK/P0PE
xhfifwJv8qtMdz2wFXbgUYdMC2q1V1YXA8XlScfr7NIZkhJ6ABDVh8KUl3cDVt2SFxrFIWp2m/z9
+gkYJcFUQzvoBvJSlewdJzLVYBoaHW6ablWnNq/yc1vMIzpTZl6TJaRJ7q5qTn/p/vrufXlLiC1S
IAV2vaUjT4SDRtcjLbDiDp/AuW4vY8kBSaS4/bwkku12OAEfPP72NpWIrGLS8P+35wXsjUQ5K1YC
DaH6U0Lb7p+kr5q/7k/tJtfjy+L5RWnZEKhZkr7rxZXLyo4B6qtBWTrpU0mTxjf7Dkc1qVd9euwW
0DapfmkiXNjzflmrU5c4R9LNOx8YN0SdT8weQ49KxI7fajaqgVDaWjhKMBv6qEc+/tmd7iGZUihe
MWtz1vsj/atI9eDYcUa8+x9hZ3dhEU5dmOa3Yd6QvBJtHEazk/VgmKLoOSls5UtU9dY5RiCr95Z1
Ln5qVimdbHs4qkrvhCpqCqK4T1QUC3E9c+6TqluyRg+SBIrCBYG8wfA6WD1vWjcbdew3/SSr0UEo
2YnFCNCw5mBjGNbeoH/CqHHkCWWkYEYYzA+NtfsEs8KGeq2Zl/vfdid48I7hLSOopqL4fj1BBByi
eqprNZC0tKzOfatO5mlso1o3ANgiiOnFPCiM95MulcnnBifox3KqnfrPTxOKJSwun5qF3n5nrCta
siNHxRvZyR23T/Tct61aXw+20s56ItHBSmJ7irT99jjZy6TanZ5oQZ840f8qClKtuxpN50edPblD
PB5RmHeOjqATUPKkHccENhtotVFkqtRSC8ZJXr/nU0YbsFs/JmNtP4Aunt6tqVMclOP2Jsl5kbnG
xcBbvJOujgOuwLEW5B2G2vY06uCNwMQqxqD7PIyPQOC749HgZQfxAKf+cb2H0HEjex0RZ01SPTlZ
oT5D/2pLD+nP/IEEZni8v2d34gHFDQjKDEcl2RG/57dwlHETpMNam0EejipCOtSMnfmvOF7swcd1
WpmjS9g5NHuRu4+l+Tyh1XkE8twJzFT9wVc58HiFdJpY+N9+BPInVR33uRnYjW7XtacUSlx/nYrB
IsVok0Z+Z6TpOKp+76Rl+gXgCNqBXqdWy+Dm4Zwdpb+3H4VnE6ZjPG6o/N4Ias4Ovh5L1ZhBSYU9
96OqG56y1Bi9SNOzjxm6Tx/tLnNeba38D9c/YwPvpqFEReSWvDKskJLYXMGUr+PscZegMxkNVWZ5
klzV47vJ7pPRo/ymRG4H1v3n/Q1xGy/Z7MjvcDPR90Y37HotVrWvlEQK9QBv80p317KYHsZiNVO3
kbX8IFTdRkwxmFC3BAgLnkL8mN8XPlW5CfXSCKwyWXw7jctz1sTWRZu6zyQg4auDn9P7UovLh3UY
0/Iggu0Ozzem3AnnB4Lu9fDJkNQGdk56wHjLOxBpdNIKI/w0xQrqEktYv8QDcNjTZOX17OodL+CD
dGv3ayOLLL4CkXqLbnHQKrOs1eI6NoriyyLnnzp1qh6TeT466HsjQWcl8wG6Qva+OejtWqWNGdt6
IDXxBe+I8N8o0eWzPs7xH1b0wIcIxASSl9idsLKbEMZ125QoGBlAVZyu/oDOE9pdZ1ADxfyhiAfc
IU/4Eztv4DnlKFhR/X398y0sXIG4/DCBvDEjS7QszY3GNIJsnbSgzbv5kxw3gxs3OEndH+o2cxUN
PxDd9EyE0Z34779t4GzJtKEaHSOQIlTXPJjlQLcjUyu/3R/n9lpAapOKDnVxbvWbO33FGqPW68YK
eC/HZ8WeP6ICPcZuFsqaW4XrUSFrb7dQO0PmgPBHhWdzMKOau7AZGC/Ux2V2u07jNdRPZXkxx7I+
2DC39zqTg4YsigBcQtvOqdTUVsMzxwoqOzdfocdPbeDg41L8WOxZb7+rE0rpbhv2lX5w++19VgIM
ko+ikU6p/3r57H6YDDkLzaCVaZm7tiHZXl0ZhicVeZq5SpX98+frSKpEfKVVyhkRN89v+6XVGtWu
ItsMkEaq+4uda3nr6n0evR/bwpl86FJHtbK9rwuwhu1D2g2cabOUYzPa2rhIJhl/3XxoxnK8xFZj
vjfqIb+sSSR3Xm4n5VFdcO8OJZ6RD2tkFTcWNcTNDPFFdpDV6rXXg4rkwdpm+bs0qdOTYvTL4k+o
33yeB/kPrSa4tqmIgI3EJ4TUjcv0+iurFZ5gSZzYQRlKgxevueQnRZycp0bGsQ83xINttHNaoE/Y
6CAIHd6bxH9Q5apTZMajqGs8AtCz36EDVfw9abZyUN3d2bHsHqFJKL7sTXXXmnnE6s1CZc6sNR9X
PIQYQygha66MsIusI2LR7nhUHknPUDejJXX9KdMxD00rpABZ9mMDE1pyXlazqP9Z5aV7KbLxCBa+
9ympJaOFpsHIgep2PV5ijfhyS4sJwLIsT93ccxunAD9nbZGO4P03rUbSOyGwKHJ76HSobF8PlpZF
3eVO5ATIphvnvkikL4WdYvdaNss5NdrW0yUtI8pay3hSUBqNXCs0lG8UZbUD2NTtceGniI6f0IKi
/bIJDGZCjk0fxOG6QlAX8lH8rVwMZfTXpM8fTWXRXnW9iaozKg3l9/tBaausLNJcSF2g8LGkAGOq
bW4xtbUjFaNbJ8hXVYZiW5adO1lO972TkzF3Z70YH3WnGHwprKTBNSoL70LD6fX8tOij/a3EXei9
JdlH55gwtdl/aLqRDPM0EWeLntX2PRQ1dZ1VrYQKpqICEKqMLNM8ymN978VZVGiuWYRyfhqXxfrY
Gjz03b5dZrqHA0Z86FhNbXkyJGf4ipWxoflDDA7Ac7SBd5WWV0Z7MhWEp0IURAx/RQxL8+ZZxwIY
Aaz5BO9kWV9Fn+ei1LkkeZMRptrioYOqzr2Xpg5SOV6hq7kyeDOyVdHgTmuhpKs3dmMSvqSrXGbf
6Ha14/dIVpvkXJrkCBf4K2ncuXVqGuGrNKhtr7phoVkzgjS5tET4/thtO/0cK/GRL+YyTpKJ0msx
TV90vY2S5xm/6eEcYzgt/0VpoVre10lVJo9arUvOmzHFln0J5YUmottxBSij6zRj2D1UcAOxu1LX
yCme6jYfkcVOIzN6NOVax7FmtEPlg2E3IF6zehhrL06i2VxdA15WjUahzBdas2z9OSTykg+uoq9p
/bi0KtwtZ7Hb5KGLpqZ4t9j1qL+PIywEAlyc9eRB1bvcRphaRe/LhepcXJrakfPHEsbp/BVoxlx4
pZK3oa86i6kjH9gu2SWxKfX6GpYbi4u+hGGcpbYLbR8zB6XwaP9EDZ4wkdp9nAZFXX8gWaRqz9Jk
YBgNDTjHz8sxlqJ9kWaode5o04/8MJhmvP4wpDZLzjYmKfFzP+DUcJ4zSe4/WlGZrw+ZiSL0CSq/
YFMpBSSCAHTbGM2PwF9Xx2vzfLbf8ICs5p+0tWcFjXeTl+FTbqI5/C+WDGVVn6Z+WhLDn+Bb617V
YEfbuYq2Nnnu2nEZxYULOksbVG+mxyY0mSs4W1/VASE9PKFDqa+enXypwxNOZX3Su7lWRVKKNhJa
Wu9Ws6S9JlVzP11USEP8b2ueVHXi0REy4+Q5XHurfU4kKGhYqJqLliunpCmV9TLTz8L0uQUPKr1E
mmi4e1qfmVHs1VNhNt+Walbyp3Q29fBcajmAP38dpDS6GDPyG41PLt2ip0KZ1e4nV1maKZ7gCK8g
605FyyEt3LILa/OpdCzIxCtNkuoRyf3O+aDUiZaanjJg2fsyhlHU/YjCNUs81ETSTvFjsxi6zsOM
G9CP7jRmhr5zKBGYnGniE3v0JWIknpUqpl93GoxVKX0jXefVLyUQqe48SI71XUL/SOATleq5HZe0
ckMl6x1X0I2K16yT5sHv6xqlHYd3LgXuoq2zV2oytoRge9jX57Whuad6mhqb6otFi3M9hWOnq+8G
w2yMx8W2eEqd8goAyYO6hEXzd1jQJHgqC9NeP0/52MyxJy3doLjptGbRjzppB2A9shImDvls2sir
7KmSbHYP0O9LUE+SVeGXs66rHBKr7CGqL6ncWMMj1LA0f57lTl0+dMbSdRNo1yh0grmNjNUtqtTS
f2SVilm5K6fTmLqJ5kgCjjpacvgj1Atp+a7VVd2+ojU6108tQorZpyiJUJCBihOh7kXVSafujuCY
2zir7nwIW3mQn2IYlWuQSmanqo9xtVhh7XYVzYOTGvVoepwLwwQvgVxyYf4da40U/ZsMY2uAEKJ1
6cfqkA4PWV3LzVkdRjV6YnHb+t8aqYn2GXdfaZFdU89kzgKqS/H0zxCV2XqGGmanuasMxjheoglB
Cq4Zu1f+pb4vR5GLvKS8fJLClv9Js5Mwu7TqgqJeRrUuel93zTC+KHEjjY9y3RXzKxvEMj1tmpvB
M1u9qx9GU5mbS6yOcnxZ+lps97Kdx3+WCv2QNWj7iNaTOeZK+tj31YRz7pLUI0GqlmgIqVGbKN9H
AAzdY2o35XCeezmcv5c1F4pnA0ZCzdWsbCG6qUWtkMaearvrXlen0hEWDhsd5oYcxf/H0Zk1yYlr
QfgXEcG+vLJU9e622263/ULYHptVgACBpF9/v7ovExPh8TRdhXTOycyTGbo/WQtdooepNcbsl1Fj
b/WB6xT2D2dKUfAulB2hrtkSZ8tGvBeSzqpl4WJPisX2/Vz09Xkud9RAKb9ijDFvHyjlXDNXscJH
+ac2vD4UC71NCUMO+qXlk+91RGwMKRK0lyRuwTZZv8e0HN5XT1mBeWk83wtXdc49PzuJ3+xpzu5b
23Cq710mVH23OH6HxDyKZtPlY5h1T8ce1zuT6ZaOv6LYic9HBQ9ys+jdBxO9wwAM44cZlzP2ya/l
zNyJCKnCTNEcNu86yMioMzdg2vFVIfnZv4Axh3NJxz6DTa5LtMRLjkyNaSWTCAVfDbj2VE19ivAg
F5GYU5JO5454poUu+ln2JJFXw5E6wZ6jWG66UrBy7RSTk8abyndNG5orjEXmu9aolWIhke8WfLc+
FhyiC+O7huwSm9+yV7LHbHLnthrwOWt/RPGcmYcg1mt4VjoQyfmA8D3NfqjtcLovzZH5CrvVTa3B
3bomdZbrbWejKB9lvPiydDmnhMWTTPFNuSiGn5QNa+d62Knr2grFcJcsOFPGnf01bOcy/ttW6fKE
M0h39koQjbTvc9+GQ18sTMy2MKEga67Q4c53Smpapj/ZPQvMheQT2KXfgWMPGRbUSV2/1dgWXAhe
kTvysk2314m9RP+l6Uw7P8KdseBasvNR4wzk3T6REQXlf9xKk672WYwlvgYsZRrf4lQ9WTvK1146
fFXmJCuxQF7jRrmzZNG/sR26t2Rd24PKTQDTg1LHRn/WaPU4aFP/kd0GC++Q0ycr0ybOUpB+HP2I
+jTtXpZlSofruKXrdFXTQAPu4oHBnjOuQRcWOwkSVEvtg4cS+ZrxrMqbXs61jhJ+GnLnq5m32suX
Yz/+61KFm3SaNt3PNaib9zUwLrLGJjm8SyfU+BYETR190qM9+woRiMJVZ9jdObuy7BIOF2USqZ70
INbmznMUyk3ZUUYfxDidbzoIav0qZepkP+pp8LqcneH4SwiA7HxxcK88/0hBHIc3e0dQ0PbVr8ZG
fJ06OCLv0XWF+m9gAW4oxnAJ37Z9Dl6JXLZhnk1+Jh9xLRxKc1sEundnF2eOJdF7Xwpvj+mE8eKk
tSOSUhemMd585bZtorvF33RIDG2wvS2wAB1FgY/p7zqHci0SDz/bMo1r1ZRzuLRv9cELWXiJI966
WS7/DWm611c/U7P5aUUSjP8Zi69oYZIh5m1uF8/VJYajZAS1J8zlTxpMlX12Bjmf77uPpx3K3UaL
O4ttDuacwunFE33SApK9DTQzK8Vc0q/XMvlMeevchxNyMiyz1IQqx0A4dS8dr6sVedD0yb8a7RbD
WcZ4eG3QrixX2dMtF6eZ6wFNwBGqV3+FQnxS3nKeH6EDbZUvszqnisCLJrsbZkgDmijbNNdexU0Q
lVL4Ma9PFOik2sM2IarLEAmUeVyDT8eh3O7qhY0Td7R3WTzn6ojcL+Mw6r+9O4mjjHiSr0PgZHtF
CQv9PE6Pw3yytfEypqiQNoGcd2uyrrSYGyxFNEo5lIM5cNSHXhZt2UuPpGsnbZLlbma/PPtB+RRR
1VOlnCtkmrZ1bl13dcpzZiEMrjoV03UI0q1+adchaL4PyZpM1bm4W3Dtz9CdC9NG0XrBtaY7nzez
KhilZdrmX6AmaqycZKDENQHX2Q/Z29m/v2kAO5YUTp3dNcEZzN+D8Iiv5EWvSH9EYJTIxaCHtsrO
uDtfmSySs6RnTHukmtKz9/7C4ijTIibNQ/3ozmnfcKyDPnngBkHqmkdrusZFP0h1aZDyH2V8ZmLh
E/V3uG9fi7okwedMClbtWnm1LGrteZg2g/g+r25wXIQbLLZMlFamHNK5Jl+HoBv3XpNVF1f+uOIY
2i8D64jBEDXmqz3XxCVHb5xNMc14j7scIVqs5o65yuj9qwVFRUiBQjs7kfZu3i5U7vRxM3aPUa0T
T746R0CpPQvyGT0fYD6GjxiP1H1I9tELy1rKLdWMxG2T0MCydv4k7eHhx8VVhN9gqJe/3T4EkoVB
35jnWGCA/8LsPIW/W75RUSrSBXjfDm9nhmtCftSWTchMPa3iN1OjPi17pRiCNPZbHykiec7e6gQf
Jgw6fe/JeoSs8dszuPcata8Pix80pL6lZpjyzt2yNzwWo28EjZufEb2sm2t5YGM5KbOk7KZ4Zqw4
xcFaDLFp0l+k1Ll94Sg4FzZSR4t7+TIE94Edw8+CeQugZPMyeW8mh1Ay6U1BnGMcYtJyWedtzzvt
YHBap5kWpaONTot5mY9PavCQCXmtRtkw9rW/Pw5zaLgPWBHLe/DJvjResLb5fIsSvtPd0ARFOy/h
B4hH1l3mLt2DohHLJAuJtc5S9XZBwxWkbRISkzu0Uz6lIjYECArKnBXsyW7b5MZ56O/pv+zYmh9T
i4F5noRt/M9ds+Z3bBMrirPHiirI1sXjj2rzHDk3ZYI7RkdCz5H1TrVkYTPm/tJEHyeE8L9WH+Io
WnJBTBFnh/g5kBvP6NRxDZSIxmemn6Wf6nvbu4q02RkFsR+MXYTiE0Sl3MOObp80+tDLA7wWfkfa
OWU+QDLrXOJw8TVeGU7yztdxX+lhTBwUcsk4FCfbo+zcnmpYSsfZN4e7NFGfp1OsWVGDYjw5B3Z7
+SGUt1UyNA1e7DSZTh5s5mYtHppaFbO/ii4XVk1e0TGctMU5r1mS4+jYfpq0a9Y8xvrQXg9mkE/x
0N4k53WkjwvL9QRl0xfsT+RrsX2rQ2U/WARm7jtraUEHpMZSu8Em5Kvy+3kuziQc/jCezWwJO6tZ
7/Tt7D0dZHp4hSe7jgC2I2OTODOb95oGdsAewc2OVycMB1V2xhDpPiGXejpxo3lmbWJciowLEpvE
Zlv++Vsfu1VNINWCtZIzX3fBHV2iluq3IiFtgGKp8XPNx4axOHd0BnNqswkX1y1e/X9OR7Bz4W3Y
qBS8ZeNaHLjKfgl5Mq9C69W01e4abcu2M1jqDYAWST50SnxdJl+feaoXqkO70dCXTdx5f0Tg6qNU
s+f1ZQ/wyLM0fUxpRkj1qgJNPtcUO+2v2d+ngbXewXVyBlrU7pEaz5KOcm8uluHkGakVKCiGuhED
nWbjocK8Kj7whR1YGUmTPf5+zgzZe9rohrk33t/hyacoDyIb+NzONtB45bnoK88eaWCtN6zKsm3n
C+63lAYntS0zgRf0quYzvnVwPpkFbTnv8X+Jc1tRFb7pCn9IJJkghnPjeu9Du6W3yTb6vXS991MP
6Vlmq8FWx62n/kUdgC3cJnX6VTZm7S5rEFNwWxQ/MpfobsBAZht8YI/qjaxSRAtjOdjBHcdsCrgo
pSfy7dx0kPeBDJNy8q1p+H+fosKcaWHLP8CpLke41J6lZ5t55NOhTOSb9ryaPTgRstM7mZgeNCHj
4iaoj8+8lsPBHmrjHTJPlt5vMBCchSi9KXVf4m7bXYqzix0lkunML5q4z/4Lg7ljl42L76Pz26jL
4zrBczFZj/kz/c+OQXZAnmhuYlKQc59u4PyMeLFGIGB4LMnJlSArwYhv6W4cmp5lkWeRdKMOP8U1
il4+Ec+/sN0PwuUJN6rLqJu633QMPps3Ujn/nfM2RJUe1/htoiiLYlbtwnztpu0/t9/nvQJ+Mj+F
P6u5FIqpLd9bNtMKS9rK9oZwuRGf2mTX28vsBvIhOeLurevXVOVz6/XPiiI9XWyKzPdh3CUPOanE
m2EXVL1UzSRqgj3PvS96vYwRzX0A8xjSx98NgIlJgcU7e3gshMd1zrtl50IASLQX5GzjfAnBncwF
/JChZSbqNSc51FLX56NuixCD6r1oInZ4K5qLtX8cwZm7yoVRyb66h63BNeNzZFDE+NmcTpdWEr9L
Zv5lF0PlK7f/HHdO6N77nJizYDF2Un9Gx0UZPY9rqJ48CcR/Xyt2EO7qzhJLmtELLCUhu+vbEtge
2AWXJkQWky9BhZmS90KaLWFGX/zw2cCme7me8HhAax1H/rXRG+kT5lAt/8mehM09vYh2i1Q4Vudu
gENGAWEK1+RNxDXdLRqHuCLtIvZ09jbkT0d1Hgv5RqcRz45jp708wpAT7BOq5d65PSLAbl3i4Yr5
et9Dg6A5Klh5dLOCifzocgj2drsKqSbGr2w9o48k6pPjkmzgQcW4q17kwKH7/mfpdASh4DB7Fn2T
JqKc0ggPzdymU5fyArizd4OD/980KfvVMtMMn1Prn+/I17qlWJaYHzXtBG88tz3o+nVqlPO2g/D6
uVzF2sFAHXMyF4d1PJax5jr+F/oLBW7C/UXksssYgSeytTn3SHuc6mQq0oX1N/9+yXYprxOyi/cG
zaUojoZ1bulHs73UkVrf1yEb9tzwpvXlyLwn8B6B0Kmo9ECGwby1SRUmIvkkSJjhALfn7l6GeOS2
47pfqiTrnKGAWjBffOmkH27jpP1D2ljlvfpSCvobn+atYjt5W3Oqigyeb6itJHLQWHufIMj60rGz
sZXn1iIZHQSH8uLZA4NzjrQ6i6xl9r1nCaV+le7eyEotkfeFmps1ZS3c6WM7VSRze7NteezIHA2r
KZSMPtkZBF9G0NIuX8gk/j0kZHSQmMMlwAK1WoAjuoY/bJbWDwoVh/KehEeriiYU6h/fvfNXqWxa
8oF+4B9+lww309zbMXfXUMNFyKa7+UbBIVyyfmz6ah+OrKn66ZzTYky28c8c2GWrFhxPqL/WHC/z
HgW/w9vgk2+W8eHKMCAaiOJxfphSZu3SpK1fl+dyqB+dmONfMXzgv9rr5l9N5uAIWNfO6uWuDX1d
UVzoqvpNAIZtAkOWp4GMp4pQwm0uB/AAfmemunyJBvNpPLZVFHtvos98t4nhMIfTeyiTecDxpL05
27ZH9C4YdrwiXawKaV/jRBU8m5gvzTAd4IZbSvmqMemY8jm0ra4UN/Tz7VR+wwCrXouUbTNR1VAZ
9hID9LxJndxcEqLz20pukS67QVh5Z3yt3tCxTG0Zrrt9lRsVrkqnWdnHDlDYVIxZfF0dBg5ZIQ4H
Ksgnka/hYz/CvohxQliLvZbBWSxAJFO1kh6055lCSZZHemwZ1bBE5nNup7gr7B7aF6Fuci9B76v5
UvtMAhVsXVImq0zLfjww3YkxYLyAJfjNJXQ3/cejpsdVY0Rzf2ATNpSThhyBmNvwxDnrFvSjD+f2
osKJT3DCt3bOZ9m1b2qOwdR5d6eP2dOaXumMz6EQmDwu+a7m6dXKTsoSF/H+G1S72xWw3PZvfTAY
lc04rlGxDF36pmcpk6u0sv6Zzc74cDrrrp6aOGzvu6jdYtp77/zWR+fuFz3KCg21tE+mZK+IvO+9
a/v7wcoku6Q1ltBFBHPkMNnt7QNYy7nnEdTtgwzRiOf+atezONytfUSFNKzFGPv1Ug4UmgemYYnj
QLIGeyk2UmaK1SA4KeS6tDfULZtddgjANYFQjxkqd2husSTSNt82jJpkFcE70Y/RifXl0Dj7G/30
fORHQIJmfraDz8I3K+f/gjplRXjwZ/vML27b5yhy2vOhMwejvi+i5leKD5OTrwcgdHELAn4mIrvn
7iak+8diUhD0tNNErfVyVB92NU6dG5HKulBgE+bSsDz37mp2PF1YuR91Gzvfwsatf5FUsKX0PQNY
tbEZi7rAr0POhvDsPqxBMxN86bXRY0BPehRBaKZvdm3qf5ob2OQM0cOnkD3SIAf3n1WuMVr1isb1
nB+9dnBVHzJGwAIZte0rhzw2+L1g1n4u6ikdC6Gcm0Bv8IGfhiXD4+iIeRHL82CLsAp329HqmSWK
81gtuPPMWZN0JSvkaivTIIVMZDTmfOh+PWFGnGgSOStP8ijPNWIWcNfWBA+Rko5XHGoDIVrCY3pN
yO1i41bvpIlhIyb+63U2oUmqhf5IjuVsLibKnKMELzrqe6dZJ//FQTw6XpoYsJdy3SVPGGOfPhCO
6D48hYchja8/C9AC5kQSHaQ5Ll44eqx2xS6Vcjk8zkYijaTvNLr7Hiy8fpekbXeZz3Zq/6YytdiX
e3vH/7ZJ2rB0oEv5+8I/07uOiSa9qKgFQdNeF1yzsB3bqzNCLlzXZVqOl51t0iT3pxMQEN7jYE5e
6WQrNodkWtDN9h3zG3f0Bd1Xfd7V3q4kfYjvfe110tor2DWN7CbacygTvGv0p46FYE7OKIBtby/6
FzadVrzyx3P1KBJkmI8ceILmQAIze555E8fncu32za9EG8r9Mi+KGHOj0mXIQRAy9y4Ox+g7dyov
J7EUA2/feDYmD2IVORR4mhLW0lfzuAzrDkJ5OrvJHRCrLt9h+cDpm173uAjuaVacbtzJwu9b+seM
YXnM6ynDdG8Gmf7uc1rrUq8+WRezVoSH8erxT9l4w4Pot+zNzg7HGckb6OMx2dsCV6j7XwYKh65m
QrZQtY3xvbveW42lq4vqX4HIMKUN9Khs6SZO+5DgvvN9b1tUzF66MiegLsnGqo/PfaGtR3KBzs3F
gHs4js4pYBaid5Zz+6PAvmCwpVJ++DHJRmNuI4P0GYNGGnfXO9cn+Iu5uUIaeuIhTaJ6eHaE2Zqv
bJlJ5w6xCSXfs+EB8b945kfWKQknJrBceIxk1+/feSM2P1+jHeOMns4BbL72z76Y0viA8AtE0Fdd
uyRc90l3pJfmrCG5nCj4kq1161daTw7/9RB3LtbQzUyD7rKN+nwT2JmXEwBGvHMMWzHkdXb65nmc
vF68ndT897rxhXnDPpCPHEusVFQBXg+/wzXYxIXHIhSUUIQ6+LTtbPT9GLS3y+caWbe6nn67VelB
d383T4KSuFisUvJwDeOfeg52bKQFh+5uxnE9uHPPZXLfQuQLtjRGhFu1pfHKpYxvjOEa3O1ntxPC
EFF4wBvl1lvb6DoBXHm5nCB0nswC8pCHtKw7YU+afw4g35ahHNun6N6HUU8+xgRBChtL2aFfF73z
hWqZ+jt4aR/Nb/3WOqKwRyD7R8LWsuCykPGQvdojPpzLHs/HUuGiKObHNiU8Lw98KNS7yE7uAdUc
dHsxT+E5P7XdyNbr7UM6H6fMRvHXE6t6/eLxhjX0MpB50ZuNNuI6KqSPq+yrsGMwppkk2el50Iv5
MxlB3TooO3dr6tfvJ7gTq0eHhguDeU+TXKp1Pcp6aNbf6oD2q+DGhp8WgVBbkeA2ZuURm4l9470d
X44oNuK+cZQqgIOOQrrtZwbqlTtt+ES9ea/jtC6yeF1/j6da77nRog/CgkMmSlI/f1p27pwX7wwZ
djc2ADgx6S/CYZf35Iy+D7h0YD02Lt+aI+1yXhGZB0JxcZXhME/Xbm3Gd2/XYXxxl3EHKmj1zyTU
WUatGmv13xh4w0vsksuOemOOVR5KaZ0HlXXpXKDLAQvt1xXjmv2Isr9W7VAVbJN3d42MMjIUNcBV
XTfJHxmETXih+mfhlzkxi39p6dZ0KfpmwHrRHeI8OrrYvyONzF4hzYNH8C5wvXAWX3ykqBfwjXTK
na49/oQ+7uYb0gjum7DfqzVd+uNyTvOuL0GX+fZTL/ANaiMsQioY/6lyoxZLNtbHojJlKoHISfro
Vz+1wACpul0vTWPq39DYy6+0N58QmmdTOSQEReRqzSaKp896Xb45EwozR/pJtTY74OhG0rkq7bkf
VxKVw7WId1fshNJSo/KWlFa35NXJ5pzbdR1pJBktdm0Pl2MbMiwQOKE+H/W53W8dG74MTdnwkwZB
vKB0dRnB4jW6W3knA6YxFaDNXJohvYxj1/7DrSsG6maa+xHgp+QxnqXmz9ywrVCc9dL9TVq+lCiy
7f6ZfdMkRz43tJBvanrpI52MF7K71uBDmnT6ey56AGx2d5DpZG/Nd5xzG8YDewOAIs91ngaRrdmH
QQEUvPTBdHy0dlUTSKPQzl09qrFHmLNmJ9cK6pXcRs6ZlEI6nP509+ELV9TE16C2SX2RbtKtz9IZ
zxi6r43+tuns/ockttlytvFd94uhK2J9J+jO/s2MLquTIj3SvwQwcnJq3Q/VNOmtvUZnAvO60oQ9
IakaHtBYefidNKg5Qr4rBx5Db9UeDfPyhVeQAXARevAu7u5uZ9HFhI5UJ82vLFlKmve/+9KqAy2O
T7FxuP+9O489JiBNCchWBrAlx5NZtfT4cTJDPk6Bbq5dnxIOz9Syt/ToU7RdWi9qzgKB0JRNxYgE
ZCjrxCNTYcw0LfxqY54qrpn+xgTZ2UVlJmTWZuZYbkvV21badlicwuu95Xs8IqLJzy5U+ItI26f5
oZoacUMWgI4GGF1kNDchxSB12mTLV7T+iMHOeOgemtXLdK6XJfrr7Me0vRjnoLkLLS6RSFFIHhqw
Jf1DGNk+F1u46p28swb5zJkiWi3NtI9OXpt+UQ+jtca/3CYDwC+Xtyg+Qdxzqm5YV7uheuWZToi6
axYrK2gHlB/Z3mdIjkLV0Tg6ACm3VCcULz3qIgZpI6EyFiJX14d4bm18l7Dzt5d7tDbmfmyGsK06
fpnocugwPSB9oqnN46mPnlvdj5+XVq/fGWhqBm7Hnb40tRfdU2t2t8yskkyidrpB9Wp07ldhG5Gz
aT33Vd2t0xcDjfu71yZ7CZdgOelj1u7fTksJ4AwDOxeNgtAH6LaHf5eYgN4Ledun3jXHX9fphiPX
iOeCXMhMPPZzv99LgEYcWOC6bp2pRyy0GP2/DO0C4WHgi69zIoa+XKUH9TZszejlqLjcpPDSXf8Y
W6Hvqff2kUhRF24zbJux5Hb63FiXf4M6OVmpdry0HNPRYMN8tnzwSe0iZ4u9+Yxy6A+TVXsarg9+
P57vIS7xUTHX9ayr7jTjg4aZmx9wHB1DHLkdFbHUKPtXvzmH4/EgoPFfNyGjzNnKx5vWhwALiFP2
1nfjz/FlY8sHNQFpPelloqO+GV11PaOJI7cEyGSox3y3Gc24r7vlW5T24i/3IQKQoRnbVzd12+pW
6m2ZqiCt/6ZIAi9pWkO09l40ohaR9fpe44IBGUtjnOK2X0djOYiJu4BKjkmh3yIg4tCMIQVNG2qE
DtdTEdvAdixijOa8HGj2nzKrqS+g1eNW4HZsuwqJB7SxMx/7+GXovelHKEAoijP0RHA/uOM+PiVz
I2C1fLUspuxav4VEQ19Zwf3s43Xj90RyukeRyEGbpgn+nte4ita2W8oxliH8QtAzNGiLC/ZVMkZM
L3um3PO+BiyCJCWuVUrTf9mgy4dqb5t+fBvrgX2mnseldxD8ioQTQYAQe+qGd3tX7wNfBG6XD2TR
zHsR2SEEX3RQKTxtDaNSSf1rvKvFdo5pOzodJAti8sH7Ymd07wZE98z+BseaYvexy8n3fpxUOSb7
/p8ehqbmoVMiSIH5kesqhp/fcTK3fglFHLVFNjqBW4xunfyKIo0Zg4a4LnUjWbafh6y9JESfP43h
uf7hU3X+uotZlkoyhLp3wZQkUGdIKGGn6oYmlLCnVaEw7OftNxJrJnYE5P4zSfL268Zxmouudo5H
Qy+uK2/q3d/4mp9PBr+t9no6bvrlZNkkzP1xVOtdrCzdbCT2wS84KP3I0i5uhUUgDoyxdlSkIFmy
nmkUZmyaGBDq5N1GBthm948guwuXeqlftzFsunuDoCMukvA4Ba5VSaAILOwi/9I5i0sBUOSXltLi
qwtrPmbu1cQxHN/qjduLxS5IFoNXbzNvKOr8KK/d5IQuWLPsuIa11vXd6a8onvaeyOtoSWlIhj7t
g3uGIFbZFKc9KrgrT4dFduC/ix374AXfUAQinr90XuluFnAVMFYleRNpd6EXn3T7ve261PlpGaCa
6wwoNha8ofPhEfa2TOc9BTI6SjSq4Hka6VFSEnOLIjvEmyq5qATMszjPKD7vTvx+RBEPvqVko5Jr
eKcXyskcC/dXhqj1bx/t/sgj1Ft09RhCktvfpDb3huP4Bpfaq2J16pS/KRtuaoQ27peuiU8EyqxA
9XnowK3oZBMffY227Bnb3Ka9BOekvw/DvnbF2fVxcAmZzaBpSEFWV6VWzRWQJYN3vznU6+vQ4bj7
RGre4lyYvxKybKGzkis9FihmD4jn3rHD4jilPI/1MdgVoQ5TzT2QpgMfr+PI/44xjtU17fY6pAPp
BsuF44TrU6z58gohu+PzLlBzggtFa5Bn601m70DrTpeotn3zyY7BnpWxCkJ1iakRyT8/WZJ3VmJr
fdFwmMlDn6Xb74BzDf4hfBC5JSYcK3cBbPHJEw1qFbtOoqB5Wp+9xe0fe28LL4NznM/Z0nqYC1AS
XmaSDL4hkdziyo6sNCAKTLfgGYEvNJmzBsHnJQltU6wS79IHYl/Dr9Eqs08ilGYo4foFKZFHNL2x
BBiIxwb5xwG23LrwY2nt3KlMAqvEevbdKoFyZKYJ+3ejmt1+E/0cD3eW3/iFldABI7cYQczVGfzl
iX0gpC7yYEPiphPpJWWbTV2KetzEJSrPs8nDcw/pdW3EYJwEG+vmTog1B8rEUMAkZfUOioYVaoEp
avMPh8jMXBN2jkzZZ3b9gyoWLXALtr1DbYT2crKLXXldWz9gh7sv1RHo7pvZYt61G5v5xZiGuR1S
9SYfb9rdLfaj635oB9g3j6nDCF3rn6PYkieIav0ZKYr5j52ohD0DYG4QGkSuuJe0g5ifji5E9zKd
R1ipLurf1eIBw5xUwtJFdGvyBWbnCzoZ9UcfKCcZDPrkNYhv0dxTi0XZDdNfHlWj04etnbOvM5Tx
C8kw498tU0xTWxvuD70cotfOP45P8+qpD3cJMpqO7Dg/SR4OoH+Jxu+9pKm3e6R0vi9r+FdYTiqy
LbzehiYSj0Jal76LNbwyzFz9LIULlUgtEVFCju1qRWz/eArgfTlu4vw9Eh97yvRj+pG+ZoTy8pvY
LWQa6uoGHFediuVl0NNytV4y/V30GNzvdRTfb8qdvm3e5j024eZAo4aMRNG0tGU2Q/VFm/+MgFJV
zNHnZ6Sn/7XT0fB58DBTjzORM3p0FjgzoWQRtb0b2+wX+3dYfPQ3/mmRVzdZ9k/o4OJvtwN9HXwo
PUfz2KcNu7spaPZrOqVPzQIA7ocmzLHyhWCO5PgDIW/2Avd7ybLx8zSmPvQmtbaYs/DSH2Z7bPB6
mFz1E4XCX6FOpAiTeZyRKOb8KUGnQayftmWbv9br/zg6k+XGcSWKfhEiOA9bzZJtebbL3jBcVV2c
SYAEQYJf/47euqNdtkQCmXnPvUlw5raUkDjzeykF7RVpn9NWJ9L0O0i56D257cDah/Hobzt6zYew
iGIYcamHv1G0etGhdpv4YR0bdZ7HaMwZ/Q4KEj7pgUdKc8W3ztPNzADaO+mm8bD2pp/2RVVbwmyk
G2+jpA5/aW8VzysG0I8hwRRS9Pnw2Isu/zvDi1NakeLwE7WB8znRUHyLQQRvnWjdR9Ts/skZm/ai
cjGPO6eo/UPOXXHv9qbdpwyi71D1qZIn67X/ejBLQJt+KTZJIKP9BDmE/u6lV6vDG2lk9J45a/Pt
1rBRmyZ1q0uDXnxMYKQRzEhb/4g6m/xobv2Lh1z6L20hjuKri06iYPknZtbUOeoAKbE8kFrZveeu
popPlLpjVIZtvc1X+epl2vkJcZ7sKQMQb41iXpeu3pcYAlDRtfb20zgE7wnvyqmeTYmcYRhklvVr
zr395MY+P0oMsfe7TG+miyXM4f1Ce+HMbVAPvW4EdU9L94C4Fn+k+dreUyKzNJizK35y66D55HKO
ke4y7+IIQj+BIGzWs5OudI7LnDR3TgeZDTgkOuQVt11++4EonpcIX05TVuIad/XyslaDt2z8UXkH
I73yW5jM/yrnQS0YLgZ7plgTButIkL2SHdB+LcT5AA27QfnfUGQ+Pz/PSkYjynjfDAT0C4YkCa1i
I565pW/4ORUC+RMEOEsEqLHz9Oy2gWAWmWJg4hghtMYmObYBM/O+5T3+GNm15X7ulf8ATCnvNHjk
nQfAsdFxtz4u5IYVW/A8V+zCuQOETAqOuoY+cs+osH9KZW1R9Jkgvmf5WD7XiN6gpY5YGDfnff49
2ayb8FuBEOlV9H+Lacx3I2hcsol0mNI0hCVbKdyqsApiMAgfUsrIqxQaW1KE/+sPugoEoh8k63vf
pXj6UxxeGMeimxPrkgvh/aa8atmwBS2qz6sMspuwsnqFOlGUuMGzr53Su9CNMSlaUyGm//pWzc6G
GZvz4RdqjMDGcbR/ZQYY/lSrfG7/mCmIp6PGf1h/141tHRq+JBv29C1ruE0mUb9BQoYNcErdue0e
zoS1z2ps5Eoz1UUuSUSrHLDlLGtXhz1/3Fx7F+wetT3Ta2hAvttWTjw/DBtIUFLYsiROW9bUJi+D
so1+F1EBb7dFwS/XQxmrLH7SbFz3HvIWOHofhnlyxhOz/iUeu2y3hW2n4lTQC/RPXUvRcIALWhbn
UAxum6zXXkQqloeRPqPKj2PMrK7cJMpIgxkvlbZ8VQou13Dv6TX56pAeon1Ylr1+m/z2hns0vrQW
10IItzwe/QGqo8RFt7JJtLdoD3tA2QSMQa+ZwjUsQCmc+6aHYmTzHJIM3W3vVN4oYbwRl9R2AbVb
8p0/R4V77VCakpPXjjrj80TMUX845DyGqfOqXKPPXsbKjs92XI04gqKVetokBpbXp4DPJtZmOcmY
2JFVZPTMziFOyjl/m0TMxZxMxE5ewWKGiZnG6Ds1y0GxELxHbjN1Z4PTLkYUoe6+BCADKS3tMs/b
IPcy8s8bwMx9CfVX3xdBrLMdf3c5OqhoXrL84hspwPCjefmZMNw6b3bgpPweY6dd6A/Y1k3fk495
63wRkO2RPLNSudbP0aTd4SpRdL0zVureO5KgMUDKBwPiDE9CLTFGLU1bXiOJpgcUOTr+PkC6iY9N
n3X6XxR19YhSA4H8iqsh6z57f3LRoWfPY0LiL4p61ZTSLa9LiwuWwTk7ZrxtiREpO65LtKCy0aRx
dfiO0BS+LfTpLk+IO7pzIDeyFb9H4pcH4fml/6vQZSweUDwtX+8witFeMySu5A1nCwYDpyt68m7X
Pq2eGtDhGA6y87MTbso425Aub9dzazHoPY5pOWao/bFPf7EK/tFiw6eV5CeRTHax25JZWdAdmOb2
5TNpPWH1yDYPDuQ1cUAqukiGzIDYYDYMj6IwjEI2uVB1nm41ukUYHvkD0/jkOnENqYwzeWrOWNkn
1ON4QErfRHOf5wQ70UGHv5wmmdyfoIoyTCKzxrOyx1ksMyRPzFC36KBsSKdjn1ME7SW/oefuGj0G
+uhbdmz6Z872hCp7KgdmRZ0nff9bOoJHJB5r4Ql2UMf03huBd0sZsrMy6ld8NuFynxkmtxtOOtHv
Mr7OeIL+uw1Dtr7oJDwGI/nM/aic3ldPIcRQ9Zi5Cbq4Ykgx/IP5bPNLkPBjcCsVoNsbnxlKfpE6
ms0RhnHOfkjknod/g+rD8dx5DGz3UL5FxjObW3Wc4mlu70laEOkxThhcnPK4X1kh0mVZtnNjgNBt
Ogd+8I3rNKj2xOjP81MFzyQOIxNBPK0dNuyNjRNGZLiRUbCLjqacaWCu1r3IPRnxkHqk7uycupi9
nVs1PPuHhIl3/knNqFWH/i0W37mEqSqn+cD14iEgDGVcijsrWhhXXTpiQNiuSVnn+og6+HaKnmVu
6O26abgLApNKRNdRV8FOxYGwmmmJtu6rWJAfUJloyl+jFZ8I8K3rmwdR2y4+hg2a0Pu8tGxsw9jA
f7/Jw3AFy4Dv624GEzI3LNlWW5YEKvWF27iaz3nv+iGnHK7WnmS6sMLckEpd7S0fymRPWUiO7Wuv
euQFz++D6q7PpAMn7OcOCsA+YSqsHnVcVdW3dKucV5Ve31ubXR9jlc0OFECtpw9T5fZSnjtsRu1w
bPhIrPyINPP6LwfvimcZ0vLaP/VJODbRu5f5+Js3BcsZop1bTklJR5WrJrl0Mu/+GU6SdCsaU6WH
MNcGAzNsvrMes8Wv53siyrHCrnRU5inGS4qzlVya53g2Lg2RX7fLdm6I9eHNGH1v/N2TvO7iVgwR
GaJD2bND5HFK+6Fut0xERXUfh7UIvuK1ZxcoS46m7tDJkIUOG8lRXDjY1bHgnVUUpNl9G0cuM4mG
lXrBReC9bvY+5yUHLVxjemcRAPoz6MKEgK28rn9QnqzrS8w9i5gzI3b0GzCCOeVhWmf3EHVMZk+N
v7BpEX+MP+Sfvqjz/sSMMhXeybhW+u77wE56+6eI/b747GqSvHx4VBy0eoPuuI7QTOyu6jZmrCPo
oErDCC1saCj2oWG+4NFGzqO+jH7KoGo/s81J3nfaxXBDRlIdj9uRjNTyuUsQqrtNkyw90DGSYLOx
YijTn4HQwDFnOC+KsiA8kMzsQzBUweztCeyPfPOYhFO3nnFYy+43/ggED/4KXzxLydTz3k2AqYud
FDn9WjsvU/aCcVuzcGBmapFt8AoDOPceu7HveL78GslozcMcs2gmluNABfs3XCOlL4HOCKMQJppQ
TGKVytfVKdLhVyHACgLOtTqVFwQhLRhJIpD1A+6PIKPPqfmcil2RzMidFDwq2i55UtdHmnWJDaIJ
2+ZPQ5BY8RQRetH+g5pUxT9/vu30ZJk98eQQ7sBsljqtdBTGLRXi4cRD6O+El7ch49jS5B94HJrq
PIGp9o8RPELx3Lj4rg5rFcTdebaVphBaSYBqzn7Zh7TMMa5CLJ7JGjpIyKB2P6bT3ElE7WkKHzOP
sjWHRmpR4R3XqTXHInTcvN9VBq3ghI0TUT67bW27c6Y66vaqHdz/bNc09TOYfjgaGFXevUsLz3Wp
PAallOrYgX/1U5pkf6DUp1lsmgmieqegwuJkF2Uylr+dpc5We7J5Hk8fYUeeRbcpPIKdNjmpJWS8
oOkwyE9MXodE+YYJ/dbiLVG8U21uzEEivaqvdmDYjjvScZdPkAvTYbbg/nHffBAbbiYRlP2w6wLw
s6v0bILqZV0nPzqEg0HDBHIWzJLcOjtw+XOwGobnqFWJEkiMRqN+HhqvuoFjSKQ+grqzeGfXW4bq
mFEvTac+ptyvqACrWnytjDogW8vSST+DqSfAYct4MtPLZoqDqvlLiZ8D7hI/S9cSosdm99bXsSKl
g2HrCxLQ5G8r2G0KLjTU7ikHwLIfOQwYmRWC63rXJyIK/nC/KOc44zEjajUrGWibgkCAcuOrMFOH
Mi09dcV2Kcp9oq0M/maxE5txGzhtMB8q0rsqShL45YVfMI+GH4ZXLA0OSL6qtq4ImAhtcN7hxbVh
48F556UgT2BKUDSEYzTBcmNnJEuos24MbzVzLt9FbBag+3Aqq/agBx0X/3TGcQYxmi/N/Ib9OrFH
znhyzWmAlpzAcepD9+Yhw9gILEhf4rnS737btctmZycbQy0xDYYXJOqMjd/IvZ+re2AbXN2VufEB
QzyV7ansJwcGhV0bpDXosfbtW6BTE9ykikjeYSumpRJxZauFGhIf1zfZIsNwVCE+tJNOl6bXPMlS
LK9ETKDgHaQdGczY0OAyOnZUPcWOraqeaw9ihjA+1klOw8tXPYfHNpwiaEpAJs/HVzYuGYB8b3OM
dnPmNeE9n/tqr9NS+PIQaGPS33hSObF2TqI1u1Hy0rNvku23X9BgwZcM3IVbTAIXlffVFDIM3IOZ
kswQepNb3LleJzCA8ZxXA/yIZga1Y3FRs97rYvDGT6rPUX16M3ZsdgZzVc33DeVDfqIQi4ednTCP
N2ee925MdpaqCletiblABX2U0cmbU+O1SI5K1FMOPZpVK4upmo7M8ESmy3hQ9Wj1q+e3ep6BS+ei
CxAfJPQmO3tgjcbTiEus0sQWrVP/6Ma82R1j/nHlEZZDVSyvMPiieFppn+13DaEifkKS5pbfdc7C
xnPPwVqukKaOm/7wsfb2aIcIHgrz5FLlO6eVegG3UwkttcMChPUP+WVYnSjWTODxpsYpjDhiWFEK
fxNqzQCA51AZoTZkYAQiRX2E0ub25sKN1P1KhPE47Bk3xn0H3zCayN8F5Ea01Skwvqze2a3QQ5ZD
O4TL33TNB/uHkYCj/yDcRd7LhIM1/ldM9ez95yxqNPUGUTRovIcGknoe95nTme6onHLk/R7n1MQJ
l1Q+63DnLj2JEttYDRJ3S+Posjk2zPuJZfDwtJ9Q28vguJi8S577nFyUOyJOlX6pO5mE10GJrHsZ
kFirX6oH7ToU85rKq4MaF218EVTs4KG/L39Chv/ZOQSf5h7hFnV3hiXa5dYpAlYzukhAwfvK/D96
cSw1K+knfnf7CWjc94uxiT/cEErLwq6BKwTBs/dN0N5lubM2n2HYhOkLnjb8+7TJtdftXMmJfEqz
KnJPiglXsI97TqA7zXOhjoQ/+ZA+0iFEOCnYT7GzC57ziy2VM99CBlZ6kJBYhoVDyarAf4LLWYNT
5BL5VPKh+NOkj0OSws0ge88rTp7QxuXF8IBF0Q4TQdyekaWUt5JDHTDZmfK1FPsW8SbU3LnQZGrH
9o4C/KsPEzH8Ji+mbabtjHmSdH6rxBLcydntFrFb0bH+36kt2JHhfSt8mLiB17CyG2hNX/w3+5Qj
kt2SUbYcwSjn8hoqrDesuV794pA3Yx6edMDoqiCGgt7iMi4rJi986v10w1MjjNgPfGuOpSl2WwkS
MOfKO+PE7oJDt4pWU3y0KyEAPQ625IEarHOfDK45O+yx4xMu4XGyTg+6UlF3KNQyhRKSJHWiH0r1
glwxXMC0ZGMbdfSZMDLo1VBX4osGIlx4ooGXlm0QgLaPO9DLnPTuEiOHqe7TpSg7evOu1v6XYFYV
PKuaA+tcLEgcdx0sMCZB7ixDUknturuxi5KCWWKVd9VlQimtyCxaOcwIZlHMuImLUcVh5X9Mn00R
2eE4Enk1vg0AJLfzrffj6KO1dO//EZyQyPcp6hrMXJm3xNjvOiTUDww1DkkmESzth+lTfzgo2uf+
C2TAZnB4pJWUf2bpGPkM+Cgo5LAo8hpDX3jmWViSjNHR3GLdgVs27XPSTjeExVUu5f+QTDgmTdTM
It6kvcpUdF/0DXD9kIN1HFZdmeloiXkp9wGhFyEZDQP8xX2dx7iA02BZ2tc+CGT6KOsV9XHWE3/r
nFC9uTuWuk3zr7ng45XUPiFn77GtGDNdGmbj9T7ks0/Tbb3kaXDM42T4Gm9hAHg8UwtKYnx3/kkm
TZrjhVkfghO9HKku1NMsEbyPJU7A7ywJSmbz9HiSmt9Dd6g+VtIJZio24Nmawj6C6IRbyzASwkpI
8dWQbarfkKZ0945mjD666aexmB8gEeb19g8zQu3nFOeJ12km2qWbdnZ4dIshr+O9TXuXIXSmfVaF
gLPiaTGd4+NpV562V+7NHlFKaPwd4JZ9PZoCsb0I6AmqOhxb+GEfjKBirlVeszRQYoshVA8/ix1X
eYLb7sttXkYEICSUO5BGZT4TCMrumSkMkw1DgQahRaXJMjwEhd+k74vsU6jeQCZOsOH4KhT9h0dW
z4bR2BLihUkUv3KCy3RX4oFL3tcOpz1WyzLjWNuXbsUmpSHsNXbyXsUCg1mYu926652sSYJr7npU
Huc6UOxujlTvWfkEgzMV4QuNlc/uarayxsFblTr+fF6GhgBqJrYMofPWpjFzpqr0D4TkOd5z03al
fg4tE/B3TXaC+8tJEEEPGUElzR1eYvJcjWP6JNtERZhFRCvEMrnOk67bS12OPRbRvAzY6nIsbDCz
THHwSd6vQHRtAWnb3zaWoo17VUtrH3ZNpb/7dJJ8GIXrXuYkFeUjjjhJKzj0lDK7DlNIdxRGIhBv
gBMx+e0IXQIEQLkryClooTAKTB71ENO2YivIhnWPAswMNYHhpw8TZRQMezKdTPrIZLctT5w2KFLM
+4SXfPWSqveXHZTH1JBPD+4fIyITMVzAbvA+CUu5vMHGDtpFHCPDZSSh2OFXpvWqzgbzabCruKdU
tS3zjnlmzBIm76XJIJX0Nu6qfP3SRGEQDMeOqB5eAeg749Hyg24y+1TBmAIGFpXr7QkLgpprHZOM
TyuqFPN/oJUUBE1M5F7GNgc2J5miKU9eqXVbPNxib4Z9M6wWkmmkDesea4YCTnmebnVZSSGBKbDb
TUb3MEqwm9GU5BeGVPR+Vzmn2BUg7kM9/aMTxi25RfW5kVddVDXL6zC7RIId2Mjudnd0/db5bx1V
qnxW+Q2FJw5esNQTC4Omnk90XdEgdvh1M/vcyMJpXwh4SaL5HK9+IJsLrhNdXTHoVIee5rv+jym6
SRgQ1UB4GhsqYSKeO725czTRvko9/1kwiHFf5uv8wlwiiY9O35d/ixwedbMu4eTHTF2dUbSblePL
P4gpXT8DXoq/mSGyiQ1CxIttaCn9uzpYhvkf5b37lAddiaA5Fam7CyfsShiglPe4jMyoDo3Iivos
Eq87tI0tfJyay/hs3BvWAbhs4m+XkWpP0shMpAzkEGDljGG5eh1IHOyuBbdw/dvg63RcuvK0MAyd
vNGf3zln48TfOFEf2Y/BWCqMDa2S2xx6RnM3LNWb1uso8SfiWFwHs3UHd6TxCcytIwj6kO3N+IGg
aQsFvOQteMzhrsHmDyNXPNEYcT7Gz1w8zu+mKSDAMf34lzmMi/4I7UxjbogG83hGezra7VR7OOAL
PGAZw54Sad1v7ert0Oy6/4zXkYEfg0m9Ae74gA7EoHq/xjZhzUbTw52dwkmq+lIlne+Sfp623r4b
x2q6LyEZ1XPISjT/EwBXB595G0zeY5YwzLgT7Dgd7kqgA1Jimqj1hk9GmEF4Jh+ruchRLYzboy5N
YW+IeT2mWUGQLn+sqM9Vk2UaKDXvI/83pF43ONuhIhjuDJMTV4fCX/FuRa6TiutYNoZhd2vpeDZI
vsn6UdRhOz8AEhEKMf8/LZ6c7eIpABUlcaLR6XpJWxHpL8FtmWjKRYaaTFW6gn+D/TfuBPJG3pYB
QUGqQ1IwKucJ5F15rh1mrSu1gy7LjiFs2sbLni9uSVssElATyHt906b1NgzWGvyLODYmpGC6WWc+
fQamAfRZwvjerUcR3FFGRc5dDos33QnsUAGcaN3X02cQhkpcnBRKn/F7uHhQcOlohpPHDD/8Eaki
Do4FCuF81nWN61Smff0IdLp0VFx+XO/dcKBgoK6ZOVWSeY3IeCFEpoZ5j1LOqdLlJ9PVAChX7RLI
fdJ0S3RoqpSsHY8QREyEFQZXuYMT0T80zcu8S+jCMZRWs31dRFUxQfVmn7ClHFTy6ql57W8mjeiJ
VeTG7Js2z+f9iARZPc3ZnPo7hxu9uNrG3swIc/Vd4te55qCJOPJc8Od91IT2RVUw1ve+IJDrbuGI
RNOqB+/S4GWiRKboYFS+xlimnhnS4eYkscnxj8rDOQ14zsT8afDr7Nxw5GFNmqDkH7l7ynGTcJAl
pxv+EmyIm5AuT0KCcSyYogiDU1zO+hF4tvb/zORL5DhHA9b9CMhWO2DqMmoEOiYqrVAEFQcNcMmw
TemxQ2ZikqqXBSVjNdh5z/ZeFhTkDu0+J+McEEq7rQZHG5IshEipr3v3H+dpA5ykMNG13SUvgVmD
I0ayYtq5TMPW/bjYPGCs6bW/k8V6ctwuieq/yPTESFzGU5vcdh1qkfKQMsHALYbRVQI2ysJcWMLY
8KVnHtEpxzXs4ogk974Q/WldnMY+E+KBm4reerTvtgAxJpmmqwL72Pe1/0/5fv8fnlAnPKZhkl/9
jBJzX5UTVZXT0aPQKtMSgoePbFjGFVbqXyEYqznkFFvnOC9JkNaZaAigWEuf341UhdvMuo10fchg
WF7A4ivMW7iI74kQ7HGPw2y7B/4O/wWrV/fjul5dniq+nPbQDEPITIGERruJKVLEhR++HCoRr+Wr
DJf/W7ooxy6Zw0LYHZEHEEE0rby4zJUixIq5+OM3kXmLOeH+CC9I7H2pdDxcde+od/6iMfjK23qc
focFIyCG2rruTm5phv5cNAPCqOplnu0RkclHydMRX4JrMcOjivT1XpI2AYJelO307IG025NgNE2U
idvU+T2PVvebdchNdFiHMnuZGAX6OxlQXe9bwCjDU4D1knFBWCQ74lBBq3M2jECzDKPjdD+21mG+
5eGmKippDdXeYx1D/bvuGkKlGGxlY4NBugu9yts5Aplwk6RwlTjOVGOiE9HEOQEcSUVZiJtA8iLZ
PZvGerlFiVHtbjHMyL9FGcjl7CkiQ54cJ8/sLSWKBaug3LKJCW1QLgXmqgBaN5UzosBtUnx31X6q
SwGBRixceM2dUf/HvE6EfyeSTX8No1tWr8jAkCAxavMVfZDg2GSdvTNaGbd8rhwrTkw5k7+MnppL
KkjswpURFHIfxHH8DCOuq0M0zoSz4P90yV4mHrglQIBl0ttmIMaOoBbM1HC0+DUefVyujAEzVRI+
UK8CF1+opbc1SP3qHe/ocMwYeltKrJp4DUIKpXPNyM2pzn0aAhhnfr6GF5Xy+iPDu8lj7piu3+oF
feXCxNA0VFSSmD7Tu2COkotmh81TS8II7Hz1oDPNticCzAWbSuLXmXZMHgYemH+CMNVbEkFv6VFh
U51DWmdtdizGxDm3slHBPSNL/JVjfYt9obUq3mpGPmT+0S14W0JYk6NFYGS8HzYuDnDBCsMH1cXq
0WFBcrNlHVj3d+bBQZM1LBGPmOKxOAJ9XbC0pEW43bhl50ZMRIBBdnUX1+wxNukYn6gEEEbNXDsg
Z8hH7Laa1+GF0wCYdy2LcdmRZbTCWiI8++nRarVeuziUTzqbg+YY3QTxCNEmPkaLHElsTfEGlHc9
K7sC/9DxRdUnZJCcJpley90rMYbxcEkkYxf3w5Ui1GqPubAABcBp0n7PU+RW9/WIffdI1dZqFrBG
2V+LwnaXTW4ij3quSLvzMR78KuDCEUrpmT8icj1o/Sif2JERcU+I00KosP4xDVaaI5Xm2u3yKuQo
ZCyPJTyvI49XjNo5uMvJMXT2K4Mu+0MUCpr+b6v6Diu1k7VFQ+CgzBzWomLLTXIYCZXcOfyfcfuG
8ia5aWLFkQEfwglePruTbZEz3aJ0c1iivsgWa+GY87z9aMZ0PfWjO+W/GmfNiFX0CEgyh3Kw3YDT
AlJ3N80RgRSj57r+xvNNeiVhd0JNUlAiBzBcNCMhBLFCicv7BoU9sE0Jx2mNWZrrawWvX/T0qyS+
diElqF/qnU9gWLpH9ye1d5g94nN4Qi4OdszhZNhdeU1sGS+7uLWGhTKFmUr3hVUkpv67KKVQELJE
EuJD2IzrfwJRsQJh79Ea9WdviIma0l2ffimUl3TPSI4peNlIbzrJVmMTT7J8umBEC5M/iSX24Rdn
vC3uCZ0YdksKN46aMi3nko+SwUibkBcNnlH+9eqIxdPcoqFFf1DzIz380r01ZM79Gyf8f/iSZUP8
gBeuHJNjN9btTpUzTDEOIZvfB6CgjHOqmcgPrwXSOXuEypN7Ura2Oc51uoQH2w+NfS09FoYipKaJ
vChyTQsoIS9Tx2RoQ5y2krHuplpBapkFk/9aM5JE0TjJuVjgsRLCJXJQ+uoAr0O3Gc9L8xwhictd
qb1aHpbCmwhEaWruzjxJ5+lhkZW8SJ51vGbxKo6tvC3TmzrlPGeqEsm+8sPpflWrCwe+8mbfNZCl
OKZ7NZ0rHyv+LvemGgOALcFCs8xFAt2w+0sCGup4vF8wodNBrWK473KFh64zFGxvg+BmPHqGRmYT
27AKv1uN42pTM/D/yxWbPyUjDvwj1rHqWcwiIAfhJhYxdx6WAaIJDV5syPFAm5rdJfyOo5tjhWeF
zh2XIWkrCqfpzrqqeBoIKOD/Nyb/HFkmN+/wVbjNN3P2yd8ABq5XUo10vmV6FMObMrkjl6sJQcjT
2AuAejUWo4OLIVtuE2vEdzQKvWBkdGnhpopIN2z3+vdiDYatW1wDQFLEDjc2yJkrWfb0yi5bAt+X
PtaEgLg+qBUpxvN3xGS1fGwqJ5+wLAvCDTky20E/9cPgYXrHd1QdCyeijp2EwY7AYq8OHWFl1ciw
jNgIlpQgaex2bXkcel9OD4pKdzqpes5/m4pDmMmqs7zl1sz+frIrcU4l6p3aMRCipiFN21Hbho0w
J4LDDdP6opre0rwMo0Prz/N0mKtZ/SlSCu1bU6xfukqEBFRPwHkk7kQ+yTpgtDNe4jX4bID8m31d
W7/eLEXFQxw0XPwbOvn5V5rLuNs1XedXO0IfDFqX9JJjt/YlhkBZ3re5bd41kRNAkl1XfwMa5s2d
JAv3w/XI0bkjvsh/RudvPojYWVHzvHy8JImZcJgD4gC/rXbGTJktq99cwdOS/1BU8/gcEPs2X4Ds
enVNo7A7T6OEKSUwIn3HeE2oummwVQNeVdJegzbHYl/WSHCFMZW/R1SY9nCFFn+YmhpGOiyBkrfY
rgy4lyCj9L/ImNbOh4B+3hwqGaI8ZB553AfJwoJsSwhFeqkzQJYdPsV6PtXGj84EJOojEYYa88Fc
pJDbM8XJFW9l6+zL3gpc3ZJdFpjhgNI9cNtj6RdsztGgdnR+q605e+rYiQ4Ek63vblZ54qHoEatu
EegDnkSSAniBM+KyZ11+ob86PLJWmjS+NlGViRekKdSjZAkHfXEi5Y/nReXNcCgBwcWmEmn6vaiM
KIqGio/w3cXDjhWNS+6ccEfS/aYdgsibqpMQ0V0scfgLs3mVcHuMABNOTWrzbpxiN+tByG3FgMi3
MbrhGnddu5MZydqEjud6+nK9lHZjk42FfjfsBGP26+phN2kRly/NDRbe6C4V6rEe2CF11A3LCs9Y
QoU96sqJiQkzCnBnVTX97Dgyu9iucHY0juy7Gu4nk3Tdn5HEg8dZ03XfZwORsSCocPoMYgJiwjd6
rKLungk/wWLk3BkFNeFw+M8WB+SuX9fquQ7i5k/G3/g6VjQ7ePz5IBlaGvNGPKgeGDg2K/pvbAnd
J/MceUCG8OC+7GJG4bmsu10Zr4k8RRZmi2OtTt3LEKfxZRmt/xEmZXtlfTHBOi5I20fheCRyBbFH
UilDzOXVUj6R/4LBfHwAmkQzzxcATkzpk9vv3EJ08c86sy3jwvbBpDiWIz05XSaz4Z0kvw4TsSAV
kVgUjptKY83YegHZrpuYOJx3tFu+4Mp2GedCYRZ9oLpskl0dGp9g415Uv8Ywmt+JMWeGKIl8+4CV
yOp7VtuJ8SvKY5blOeZ/HJ3ZkqNIFkS/CDMICJZXoV25KPfMfsEyK6vYt4AggK+fo3kbK5vuLkks
cf26H8/UHs2ish8AMMv7xmXdwKYyL/4sdtrcZapSxd9BuLaiowVZmoN+CO2UkgeWVpyHgVdO0zKy
4TLe2n8aonFEWWp+tyPW/eJtpDShfBvHtb8P2f7W36H0ZH/FD2X+jVD7irhyVuc/TlNdc4ZRrWq8
EKb86aRVXuvBLjHo+QKy3FLaEcZ1Z1zMvZA2WSImGpSTMbKVeooyybIx4Ne+W6Yi/6PdxLZ+bKKy
BBYDtQR7LouEWYbxq9o6IiAXxIrQO84DUsAJ2s3kPbGHC+zneuUkwsO3buV8qexMhE8BuXl3i6N/
Ls9OW4+/kxPZ3UGbqGovFEZWrHJyyXqyMfjONn3YzxPi3TLYWyN81KXNKK21f6k6r46u+G/FzH+y
sf+2ZR55ZyFDYX+SZ9XP7Vgl5jzk9RQQiXCcAd4r3twrs0mVvHbkE5J4wrc+7xR42OcZO2DLykEP
p6hAc39pAfTSteFqeSibAR4453uIS8QTCpwRX9jUfHkfQt7NN1OI35NWMUoXjmWE85LkXRGV+8EO
MYVFrGdiD070Dug4lZw69yz3qgwtg3fJIkasV32p55gtGLJibaL5KVtSSr04uo9TvLi5/Cpn5bRp
3KZObTZ1l9T4syXcOzwqfUbSh0MBSESVuH+9Fsng3sZ59QFxr7APCYuJAIqQGJ+l4SW19bNWrJSL
dMX4K4GjseqLUGZg0/Jl72p+Z8w1Q+4graxDK7d5wZr5LusR9oSstfcZjL12f0JOn6eBggRkQFpq
yj+ut7hDzEGnJWbAHYEdIhmjM1KDw1i/1t1dPlI5uSUWl8BZbZmq4sxmn7WBmqe+Gs/J2Ne3SkqS
xEH/E5UNkAi1eipnIzVi/gfnu/5aicsEARba+11r0hr3qdELS66wTNgBtIw0/aAFoxqjcLuh0YPj
GiReXAOTqiym1maCTgeGM+BaqrxqeKRrBcGGxW0axLI0CyTTgZ5HhflcQUoq6RlhzGpv0EHMUEfs
EAmimMYx4eTw91g9df4Q013b9Cg4jnjjxO5D4ncbyGJlCZnFzaTeCF5L/5wFUzl0XNX+oTAgpbSC
kYJHcYJOt7GnZLyS+tS8vXlBZoAjQ/NqsJn8AfkOrSHKJ7MwOtjwwcg943SWi5yPDofjeYMOQ9qz
h9v0NGBfxStYwVDZ9DiG3C1MSP2VlStM0RLliqoVr/aL+3wNQGcEJBWw9cqp/VwHFu43e1EAXMrU
z9W66ANXDEAemAfWU49nJuHAVvRnN4psYpXSEtCCS+39cyMbWcNy3WqfL6X1g70el5dUUfGo546H
XALKq0P9rdQ7TgsAsUFBFxlaqBjisrtpxg5hh1tcBH7oNnJn8d6JzH4Z6qltdiyk8V+Xuhb8EtM0
/yKU1G+SIKAEycWqZiNqV9PAg3JCdgLyXg0GzpfEVOv1qy376mf1RQZNlCUNZXm1R6otGccE5a70
fRR0tNWN44b1c2YCXEiVwXDLR5v8PwtM1SM/mr/EGRSPnhxcnlt7O/M7+sGXm9m2LrPu2tedSAl4
5ggOWN3GLHaXCBAvjbFrFTuMZ6+68fsrr84KQKHkiU6esaHY3sd1/V7bBs/8nLXrh659TIDcmXUW
B5MfPubOxEGBSVsTjBTWUm20IzCJQtps4e0khOz2CcmXMKbTuXaYEAoUcLz/3fs0iPUbhkARENjE
PZ2yMAQuL6fs320+Blm/2vNLEJQSnBtmK45xfN+c2VK0z6Wh5sNrtUXObSGnbNOo8diLYIa1C683
3NzslgdqZ5qIjK0i3F6ghuRxwf18gm8X9uelYh28yeBakJfNQvythtzLlxGlwQQPAvZpKgV7papJ
wj8VYVoYJj7B333Q+eG7s9QI5xVn2Gc0Tv4nTtZbgU0+cGNao+6C3doGsD4GqHvrToRJ9ZSnTvbd
6Rt5kMSdtW947WSx6gauLmg4yYPv1OSJOT2wLOSL4G28JBGH6SCN5jae89soUjcNp6RK+G26ayd3
QPQr8h4zBd1hb7hL2bYThLlFsZdInSYHa8h2xGjw11qt9C9NQEqwyQ/FKfHr9WPiOajjaKiCz3m2
VMbSKc/fCAebz6qWIiQG5unHEFiSHbeugb032by1Njmj7Es0OAkCrq9hB7HCZuh3CyzrCBHYEMlV
lfJcBEP7ES2oWueEL+8PNkI4IsDkGPHXMgvOATbWfF+10BEwAYx61+gkePTlYundIOvsTtQzj2R3
TooMVofsHqehCf8sObfLnkBGZG3oUBL1DngkC8aJNQU6NNtf6gh85tC1m1k6aTkbdyulArLKMsr5
dbLAwdHnzXI45npInsraBYsxYfDPtjPs4jZu29FApVK57VUb4wrBxWIb70zizPqOkJ8izuBz+cB3
yd56oBLyxOqLT0AKKNX7hjYnZqxh7i5tgd69DSN34U+Q+l/chGVav2HF43BmBNRP2J0gNfkUBKDa
uXMzKwGk0MHc+ihwRwX7cADWTxQIzURdK4U1dkOjEndvs/ZAJ9gyp+EllXn4YwuF6dttVf/PTDgP
qAhpzUjx5wjY88/qQEbxNrXTqfDhRgfAjcZl1WJ6Q6J2cfLj6GjEwcD21p8VGQBFGJmGhRkyEc4l
+mWS/Ii3ukNLwMQwjTTB2hx1PwO5oNHvF6ZIeQSXykqTjRr8YTbZvHL6LJyP7JsJXbWTWo4FxQic
DYMyo7wrIpMtM7f/zpWvwl2YORWQ5d7PfjoeTN9EJqjsasc2ypiwM2S7uRlJrCr0yd8o6vw1ieus
D8b2vCrXDU8IwR152whbLV+/kkp7dxMvovov9TwLU+04iOZWCaVuowwYt5qRoot09F/gYBjbIsqm
kpAZK5mD6Jrszq2xHce3wxzE/momjrYQAiDRWamhiNcczUFXmUPm303MNztpD+uB0zXz3QLgPAId
L+iW58tta4NtCGbr1D9LUha9T7InoOsj5+hOkDlFoznpVam30i7456ijWLrHfEYQ2QSVFX5HCVQr
TmVkDDYNnuvyatJyoJGlTMqfAMk1OupgDN8sFZoFv6FPnMatW/2vXzwyYjX0SH4YCzQvLdFM9Ts4
faE6REPfvmJbVHKjOfaCrWiCmq6cVM3B20jD4auB3Y2ZwI2G5ejMLlzrlFKd5RARrO52sm3sejsG
o/vAzkePPArQXcMNea2yvxhH5eNPyprV/mvhVxe8JYYK3g7B74NxZ/+aGhTXjy43rJ0L1+7MqS3D
mkA46LS2ihGz8upbs+8ch22TkTfmTLGkxHE3Dqk/647hhpsLl3TwO+kRBCAfxaru8mZ1I8Asg2Sd
nBS9vAwhFkxKlfKk2Iye7KiWguo0iMcwuR0DOwoAVoCcmY8Tzi3LAguIMUvM2i0DzoU1pJ53nV0l
Cmq3KF3zyKMlq/9KFt3q6CHcUvyhUfU3UITS5oV8e7s8O4W/PC9YWJGq5inkBm996IVcq7mBCr8W
4mVFfc94jUdT9gbbOZo/sqGY2jvbGYW4z6gC53FXFB4wBfICyUXj5aPeqCYOtwt84kmkj8v/L6AK
9YiSUEA86opSbTuqvDmqSjYsG7T2ZHgMtVqWY1+16sLrnVcNeTsz/SKJUW8k8R9hOlgSDGa6Eeot
XYomuDeljOTW1vyNPypdtN4nqVIneApgu/JtY0lGdoWUhXmIZiz9yEO85WjdwabbsStK7L3ROj1w
Gs+DuDKCRTuXn243NU7e4RtPOEIonCM8j8liEO+A9gCRTKt56t9ISwHCSEOV6AdWAq3ctRqN/Uuv
3CMVvxkc3z2ehip/gjfGhsTzdfWOabL3N2O/mMdsMBCOmnVasYjCcw2ObiW7+cJStxfv7dCt09aS
ihrIDXtvMt0msZ3iH8uC2T0pMhfjdaAAr3tvXZ/LBC0F2UPiyOai/zXsdfETBTV2jNUZAmiiGq89
NZkGuw5DSUO9AjB6j+gM66PuwkTK2FXj9PGeaKdQ4ZsLrIvkK1aM5CsUfmY/wzacwH8x5Z6B0qjg
QeNAGe4q1rUHtI+mwYWPeeFEtASIz+qgSv4A45RsczA+C+uUT5ZfvHJgxCgPmL9S9hTXBUGW1zBQ
jfdKCMwFJ4gOR4QPI6QVDwAsCAwSSbZhncMQeM3xQvgHjvv2EWtEFb6y/KOTy8FXmW87fxFXU+fZ
cpTAD+6MSZ3XJCoJIFqkBXalbvKzbGy0N3YWKXiVvOawFI1c+vHsTtXd3N8SJb5md/ZUW+zSzyP5
G1K9xEXIGkwLdB5shaN1WvFEZqQYbdiEj+6Q0hzproNZHlgjYdWk4Tt3/ysdtrZf3FOF3GH0xPLB
pCJ5hesKD+d/NMdjvAyQFOhyqwI11ZTWLygWHHIDUhGbwOPdfBaIXP1907K9JxmWjPd9ZEU4Am0g
fAGJtIh4qmJ9TwIBrHQWsQ8eMUvdu27Uv2Jyar6ZYYPkO+JjfutgQNEshSjZpORr84+cmwrRyyrB
Dmme5yw7zW2aPeHCXtPtCP5giDWYV+glrA/uUXsVizl+pbyKe1HcHkeSNFfcW7XYysLr6+dk6QZn
7601c+o4410Fn2LWhf4vO3iUYS3DfRk1CAUyzNhENNMMziOp+2jrsVTiqstz024n3sfWu0TS9T/H
0XpLSdwQpmitgxfwqvAavuENxRAivKfhZZ2QbtyW17oiYCQ4skadVTy03rwSMh7LnPWk6tmohUsw
342CmmqOaaDMKeGIat2txBfC9r6tbPW29Kq74dxWx74WqMXWvQKR7l0h55feQXO3q0O4cMe9t4Lj
1WZ04M0BnYum8lCMMvrKsjD4G2Ih5kCwRtNvWfs1ZQ+D7kASAHR/UaNfU75J906DHaeZ35lr8XQs
+eTceQ1WKRq+TMZhpCeqdUxQMEleU1eSnZxOAhfCIUGMdM1pXzjkRDC+A4wLy8uNcbA8RphOQZ32
LHV39ZKneezjLCwOld3nVH3W/Z8qquyWOdvqME5akXGPKYe1dicx+d/1EWv9Lcq6bRAVO2FArJL2
xudcVo/T0ks2SJBS7HeIOFDpoFUzAk5BLda7eS2A9Tpu1Olj7Q9dv19sRHfMOb2oYlpfHetYkt1m
QHcLGF3Cx+EZU81oowgGpJy2CWuwJ8k5EqIo7ONhwLyqc67DxWqWD+//bTNFP+dEbQW1b/dY7OcT
JyEvuxei7T6ZTOvhIBxfAkUYNID2VGTDlphWRyoHgtre9RuztwJKQjZ06S7zvh4ilZ/qHM87JBQn
QvHkpkHl800wHxL2S/WDwwlhvUjpT3I3JoG49XzkU9Eehcy8a6Inr/uSOTXSlIcsgz6wzQ3eE0rE
oLFV7DtJZYdA2QDLU1eQC2s0jEtCwDgIOFF5fu9z3I6y1O+evMWpTp5f5RaYW3dY9w7iWHf1p3X4
G+F7ZYWxLKFTX4Y2XbZa3FjYqEvrdrIQ6y+otaw3rJaAw3UCz0/xDYGLayXCLt87HDhuTSZt4X32
mOYJn8+59e24Nvk2Nj1evcONp908noBPVEfWD+vzKtI+mg+COJLHAZuIvuDnMC6beXe1rAuWJvwh
dZ1w1Ex9iz0sTD1in6os9jxOrCsOxs6J25GodUS7X+nXu9D3giluMlYKuKuVy2SqG/3fMoTlRc4Y
teII7T06+Nr1e+hJsH18jpIBJ9x4qX3FG5w4QHBimHZmvP0+LwLTgCtmJbKCHVjZZ/pZhPe18efS
+sjwIF6UroI59uHlLHuaBClC7S18A5woOQkDNlrHj5VQUL3HigciedQgivAPt0884OwXKkKS9Un1
AQc8dpttw1lpJnNWdTcGs5S1BQihGj8prsPU4eAjwhHbJG8JTrj/WCaKgt9wRsDAHCXcY1uH9aPT
e+1329zoIWsPM7mPosW9K6yBl/+4ihmuUtHal7pzFv1T23nUPdkEGPccmDtm+kX6zavT1TI9Byy6
q7ONUHbwcldhqZgbYT91rA/xfDi++Pac25WSh8LQ+9fKFg6KGxLzXIAfmp1PNUnCyUQ7iN+Ok3bb
tUuhfFMUSXkQOwQ3e1nmKfG2NXaIYDvzK5S7G0vV4xFPleeeCWppeNOPqnhWiz3ZB09TwLmBg4HI
wl4NkMYkbII6aObaSg4sk30Wh0OaBPKQTJ2+LUMGd332MjX/0nTh/+05Et1BhcwwKAjaqw+DCqb1
DTM5pw3pzMmv0l063ivHSq48cCBkYVwewYq5oFs37sgp//T/jpBP2yy8IPHAq0T8GYOU7me7J1Cy
g1TOk7Pussb6tgaSvUKoMnwss1y+E/Zo7S+Wq034bBqek1gpeRXaFCmvnYwdaa/jlztPtsXW6GZ9
2GZZHya4QYgubwwTAA75OuvUKQfMG7zi0fFAY7EUtb6G1fMuoK4WBUCwcIhLRaWGQq6lCz/d5g/A
qUrCOlCsmrNxgtRsPY48d1j9hvSen6j6ItJZUroxdMFE3UM73OsBpCeM226aLqOTUSq3ydw65Ybm
J2++U3Qh/9PrhkEwODQlFV1IrnjVmYn4WTS/Lyc8kFoez56aHu6wHq07wn9gY0aCLP/BOohCngF2
Mp2UCufmWAX4dfdewAP3nHHCk0fblcl9xSS5Xr1uxfQxBOucUhiSifTEFIwbe2OzqEzO/a2L+4qn
YF0Pdi47+1G7QMhrYGlYAZwarpWqes0pteHTkn8sIyGfGrdU51tIdt21twUBsAz36gOy+isWtLTt
hEsKtzC94lsSgM6ZWLDPEq4N03R4LSczTH9Gqx6aEeOXCpbnNswqa6fMfLvQhfAZHThJvaaipBl6
Y7iQvtnIWeLr5nBwd9AQE/fqmFxHp6hjWLuv68A/r1RbyDvclaiCIbf4+IGIqatDVLnWHGdDNEKD
WdSwBZ1SjbsB0YK3aXiLwcaV7/nz95IkA3xiLt95XOMoWM2bBcjbfZRgvVg/0y+N3L/tFosQ/G1m
u8fVrvoHtER/2LcMFbgwsorBHUNjOX+PS6MRFlVn/hSmS5arnOae8PY4RRTn8Lwl2iaNnJ5QUhwH
/93NX8UrJ3uAgRnUKHAIaizzKdWKhVxM80Rh51AdsomFYmzoEDnb9ejTd2FGnqJlXnTtFnxf8HiL
5DIu0c/obfzZqa1rQyfZspHuQNXK2MNf3NuGODgEMArht0Za6QsdIMI54/AN+Bg6neq9AiPwOvcA
9mMI6gH9KfOUsX6bpyAN9nXuWGealPCsiAIqz45VKKepbgydPi6o9iSFU2BtoqCjKJx6gSKc2mq7
gtHx9y6q248dFUvCOiIaHpCDbuZMaLTblDT2yrcxw+sj+MEJxGQaPBiCRd3sEWBYsUMZv5HPBD2S
cTDCGnf7blY00bid2SLqtte0II8d98nApIDDXdGLcGsIXhyAc3E4WpPNVm+Uf4Ku1u3bSPJbPLLy
tUXc+6mD9RNg4T2+w/KioC2u8VoQLKMlrS7MmaK94q8DGijdp6DPLm6g8hTugdvPb03RW9ibx8i6
FLQq+Xe57a7ROc9lWwHM8ua/keh0/sGjbHqqozxoz+xqycpuAhZkT0XkzDdSsW1QEsMJD6lLqSVF
5nPHcGFYmSJEORxzHD2SoKXHetwlbdZ+EkJcq0d+zaY5k6GjqG3JwaGd2CESKuAyd5ffgiMP7wzt
D3VMrk/QVCCQsLe8aNjPW11iqOluqCTiQJ1UkvaREl97R/4+3DiabFUIONfGZJu35wqYNAgf1LBj
0FNBAUsQMWur8ULRgM7C9HnFGRgc2RL681s1BoRQBsgNR+WpMo2xst86KCnCaZ/HFP+OH5naegln
opU83lj2XZEPvCerRRe4pnxD1KVnCRKPR4D1EFgFJtWOjdd3W1M5vOmM0ngLAm8+WEud37O3F96h
4AlyNvZsMqwhwDgfIk9qmlN4ABcu2VcZNo8EZ+2DT6sNyMq2UcN+yTD0v7CuTF8pUm26Y1OG1sHU
I20kdh+qcxmiNz7NrDuLb2LyGs5d6K/5ryosClHhgnLhsyB1+48Jy8Y5sHqbzsyZ1PrUW2l9Z1ZS
uZtZlS6c44BgfRySeu7Oi4aOzRYsktU+0NYMaWehvoE/MZB1HD7n1qLjAVViYptGr4pMHycQePMZ
kg9A9gza5z/ghxovE3u9Z37/jM8XBnmwK11QBPgJxkp/VFXSkqcO2BkKOopRINm3NDteh8o7jLx1
SOZQ7ORs1FIBIiVqoe/qhl3V1VakoNAuyA/TiJq3O9MXcAdZgKwcf8H40mpphmTdJcaAzpVIMsGd
B830mk102MVdlpUfYx0W7j6kdj6nXX2Vj0vjjMmOnFIvSSveINwrq5wnTDQsONB0XewQhRP9RwgJ
4A0gkbF/aBHFgw2+mu4/mHQZylNyIx0WHOVYjE0kaCy/KijsKxjxNnIBk/AUGRsvobCL7qnlVGYf
GRTEhxy0w3q4CM2R/tFmvc427iw8aHixSVOv9gXXEcVjs+rC6DkL6lDtVlEoZOFR/EMRNYx3XHm/
HKnNGaMoDmSbZzFolEnZ/27mZxooqVV0z73f6acQnpGMLctg/8GdRm50ofjrRsfu6SjSZfXrDDkO
9piTXbgH2eIlrzocsrMD4rL6S37JhT9H/FXg5MuHHiChQZmnsNud7emg4U/M7x7DrP2bOG6fH0P8
ToiCBJhB5jvN65RI/DOrl6fkf9OeLtAt67JpvADECCHLEyfardD4iSo03vIyAALhpBVlS/RFF2AA
YUcABoRs0mQPlCws3NKLi/koswKRg62cc5oYc7yklyTMi39D4OMx88GfjYgyYeEQUrh1bRJe51AU
TCp9mdU63ZmFZXHcUkqbxPZYL1QmEjR7FLxrhlfZhEm7GfqxyQ/NZHkgIaI5fWClxgcXSlOu1zit
uEQjTMCNSlYyAwYHK88pzC4/nLB1yn/YQ3ffKE0H4jGooH0c9WD1h9YjpX+gpuB2MrRYtJ/6ui+P
s8LhHy9VsBLqSx11ASw7/+DuqSsKJDhpPSy59pJtNrQh7GKN/30LDFESR/WBHWCyp8LhaKtwSakj
8BK6+Zy6TP4hF/HIgBWioy0Ts/WNL5rpMWttUI6J5+n6vVySlTWTJLr+wlwPOtUKGBljHBJ4x0QR
iCMVenrZ+2vrd2dTZbK946g3838UlvwHY2+EWDWI4JBEYUjBoV/jv02J0/cn+gRJzS2wxhKkdL6w
93DM3Vew6yEbYp9cFVyaVMDbKDAKrqQw1BF1oxs/07ALAv/ickxevpp1VtZpporzfvBrokgojd67
j4nFj/PBo2oLhsFKCYOx2gELoJ91mALpwgQEYEfKP3D/ZN7BRCXsvgLTzuugqCc7gkDP4NGpQotb
tYEHEdYeEPRY1DG0i6lkNHQiXVqEHWZ9iw3Z4c5T/fIISkh4uGOj4TZ3EafeicJNpj2MA3picODD
5W4nO1QbymVhkvLC1XfUWd6AVrhzmU2W2QLS5BbrljWCVtvILOpjMnQ6cYbBkLZDwSJ9EAZCv8HS
HemdZAz40qplmdxhJuaxDmnNxshPbdUmYZyJqFgexmeQVnRTMJNaxNZs0Z3VYHx1ZzMM32iLY2AO
jt30D9ym2XpZysn7r7BKpnZaOob1riwW+3ugmKiLk7UL3gZTNkzlZPlpJuVJmsXkp+uFBT/jwA6G
o//GcJzSo1C4Vk/DiB09zKU9hvdDZXhBg81w3jLTRw8o1WXOOy+r0MkbY+4a0VIOBTdl2qsVNNp9
afL8cXZMmMZ9q+jaswrdZGdePOVjzdhKFaQTROH9jMxKVNsd3X8F9I2DEywlfn0YkntUEMs/Q8Sc
eViIJLvyMrPNhkW27+zMmuPBzFpgcwInDJdT31ufxPnFn7DqqdckqdwfqAOq/nbCan+akfI0TEgJ
QjyTbFE0UGdT5yrpr4Qw5AkLKyZ8PYZhsaBSxIMz4kNPnIG1buKONLe2qLd3E2VuIuamhgI1dit2
vk3Axbts03WROu48qD1bx1jlvkXIc+O6y13viS16qXczVU63Ffykkt26gvrGrWrV3T2HBlr/NhON
hi9cMA3Nh6iXTFFuMr77ZctRzC6olSLyHeEadSZuil0TYkrfQj8gKT6Q8v3riSl8KznW0s48Z90P
dEncImI2i77vTCv6D5eN3y5QlZZIhhaLExju4weVHgCafLyMj3aX4VqnqxnHDmitj5ouqCgmegE5
IudpL9lUTeNZ1uFsb0vhsiAp6XG+Lh5i93Eoxnk8mSEPn0EaoBt4qBYRf3VN43DOd07fEjidDQUV
TPlNlNChSCI0C49hLwOsPILU5YmqcMzIQMgEVX9USL67zBDWDx7jBC6XUep+liZNn9wpwFONbveJ
0QfDj5TEKncoTxlL9rTymuFDtkm0npjW9ARftI1Aq4fJah8V3zT6N22A9o2aJKtnmjiWx0UHjCkZ
gbMTGbe03nc0ZrYPrLrCCyReyUXnE9oBudDCnV7prakuNWg255Co//PZ5zAET9oCwx/pyNpFa+Kp
Q+6B9fgPl754NDOHwq1DJYaOhYLcxelrAbYRYwDJKCuZTRdUatNBHCgP5AQngpDScgQvL8+p6CFw
16dJuAHqb2mGpxp+G4rxKMlwvUubXoDvGkSFf4ngzAITi4JUO901zDw81Vv+a81i8bouHaQLNE+X
ZSgvRAMDKayoPl7hDHBh5xPavoO55gWkgmn3ZjbhEwdLr92N69xcuqGyp610PLLr7cqB5JOxKEsP
bA0mpPBSDOfIhZq35bDhRrtq9Ie3ZtGMB11mG6hDSy6PbYDmvBNK+L+EhDUPR83rY9M1jfgoJhFe
QE8Wn2FLycWGihZNX57y++9W2UzUfUvdAlW4OGY2kgUZE44zyitmzoS2vKAdwt2ohqYl9NiWJxeT
jT4ubTt7B+QZmoM4QrK4nUuc1gcaG9qvlQ5P69O2F7rWLah4FfNMMh1pL52vESFfDBZWX7bfloVN
N47AHnCG9VushJTwWUgfmard/2DZruVppFDgfgCwMm9Esoz/oFoU/nb1XOKyq0+i+0gPhfF3qGdt
fZ7MeosuAGDCtkoLXMR6jyA7Xjc5/AmcVP5kXU/UO7TGaiVeR/1zNjVkJUipVtkpaxzriXS7IpQW
Yrm4o58hsS+czxOs0IvojTy0lGilJ0p6q22tE+waMeSjpD5GEUCSi3EXMDTwCDCyeQjaMRNNnV3Y
3C5PSc5FeiTOufBu9jMaP5XkFYqlD47OnpM99rg1ML18IRZHbWed6szdET8iRoBR1RjQGB5NTJDV
mFzyAf0cIrqrs3wXjJVPewacomW+jRDkS8CUqPUzmrSRJ8uuhvxPWZZEFK1aCcpXwPHj5dtwflw5
2fPPwdnbs2EtlbMtCHS4O2qi6N/zW4+BtmacWwFBEA+kOYp/8ZZgFZZ9ABHjjtN+9FdjIx2xH/cs
glqPcWEjGfvRcVSVfqRug6T56LOGSV7oiyNnCaQxIrjJTYIR5rJUQ+f+5RSyFvuJF9Tfli6cr26k
RPsUhT00K8OCZsXYINiacAU20Zl4hTrTSpAm564fnJcx8mtuS7YVzr4iT2XOdEfM/2hltv80qEDV
7Yapwh3hG58l6Bh261bZELrxElrDA7g2Y72JiShUsuSoDOiNpcugnOZYtlDHSv1aA5ix75MULfu3
K6kLOCxYEvlOwVh5n1yAhC/iAdJTcsz48cWP8kfbOS05bj70rW62qmMQuHZJeFV4/xiiewz8Mz/R
OZl9mmS3luON+CM9VLhfSxYcwEPuPcoSkkHZJwhYBIotrLzJ0Vm4KM8JaVciHQLzKE8kAY0+kbbX
BTS5YreO/QQpV2/FDC0WdAqcEzZxriV5jWmXl5CdZJZ/3wFmhjcacejZpRHw9R3YDd9/dpyevTNx
lynf2xN/4wfc0ZizzCDVybcs3z2tgazQ5DyfqNYEqctllrFkv0/7oHrgOk1oOJtQ6YEelwBogrH2
dzl0LI+vlGXyfLYzTHhoxDIM3moyDoDiKhW4LIhb/Wnnnfju8c5ErwPpRMD4LAjPkRk0bbt+ETzz
nLdoOFsMUitsguZu6jyKOPu1xqsPwSY6Diyp6LV3RveiwQbPB46YDNudFYaoi+Ra6q0MZ0/usRgE
1YdbsPo4ZYYj+WuUgTDZ6DHN/HuqJjBBw5X2c9wFRe1nL0iykuG9RCjwD2MPxRtpt76BKSIJnxV0
esDuZrumFjPrJuhpNX3BYOXVDyucqnyPkpb8NC2QUjKL2NH29UhHZlw7hoUUIxI9fnPQzZ/WOs2f
WWB869jJLvDu0dTI8mGlLLcKSMlvozsPO6NfuPBcB8exNjXZboO30EdoWvEqlJtlssnMF1rPZldT
fBPRa+V1zXG06LHcSRXS6WoDYbFOrT8pfebN5EzH0GX6eiZJM92yhTWj7pjCZM8jlvWblaQBpWSe
Td1OaCfyPw4PPFGGhpPYQSwIFpsEQwPW2oo6o0MdedTME/AEdSpGaa54r8PqLUC2u1UIa3HhAywu
T0bsItsyiSBsui6M3qjqluorIqi+QBjo8sl69ocGm0uugayQ8sWv8Q6w1wclSHIHx73BHuDvlC6G
/JLQ6YwJ1/Ky8rJ0xmu+Vp/evm/+Uir57qToA+e7GdidHkmjp9G+dQf3YQyZX4h8Z6kV/4+jM1uO
FNei6BcRIUAIeM158FS2y0O9EOWym3kQIAR8/V153zq6293lTJDOsPfaUwnU4sJ9s0KfpATk/+mq
xnkuYFUxnlk7vY4vthVtifrbQBy4GPhk6mACRmAXNhNm+Zt55fRxI5mCmrHrxNwxScQOTEMmGdm4
dZqdcVGHDgTgLkQFOqaTuDq9UNF2Jn2wu1PVRLJizAiOAXIu08YSfsbZCcYC8ly2dcs+erhtXVAt
FXkNWdIA9Nog7A2vhZekZIhDtEH2Tno4PTFiKACvt+6lndawOM5RXcg96Te8PGoA8gI5kQfhhTlz
BFtoiTnbwZc4djunaNbQusaSW6wd0+QfFpYp/tX13Lx35bwqPh/Fz8aPhTLL8EoWXl/8Uuhzbuoc
4yZUDeTk4F5mmXlu4F6B4oPMh7e+WHIF0QpT8iGcY492AXJ9h6wvT5JjqzJg/Rt35nPCQpFDUV13
9ez3HgHhoWzeaXTnX0L5jQuINseHwIBMXQSLJIcm3pEI48PSeyF9eyWry1aAO/ZYF+to53Gs4qjJ
u/ZolNbhbxnndJUsI9cDNmxcDhrmz4jsm00N2yfLFj8PvfA3xytqcJzDivepDw1xiJC2/gxT6H1n
4OTQFXFUwiGNGRchsxDiPWPwSiQlikGiyUUX/JnzktRqShGS4ekyCZpMOoJ4YJtwXT6hAiLJy3cb
/1EvKiBRDdo49WI7hJxjG51A8MF23sN78Mo4F/sFWdMt9EQF4rgCaH1l0cwepUFTXR4VIw1kYOn/
I5GB9uEKMb0nLnL24gL6vCJEoK+pZFgQjiSUjv0s/6BCgVbCxgyP4RIxl4e0qoPqGtd9cPAZUhDr
ois17ygdPU5WsuhQlqtiZulmDEIvzp8OLjvuCIbPXM/JFqpG+pOPQhO42E6gpePV/zY5KXxpleRf
9EBgLdAgfkOPJdvBxSN+9mtGZRsCyAvni3MYKX8y8BDuKRKJ/qwcN0RSVkEfvGtbCY9O+kY3p3xG
FYsIDlD5Q0a7/admVlXswj4sXkUnH2czx9VjX8zeXRiact4ufeCTEbOEYBzjxRH+SatZgvpgHchM
HOxDzhGBVvOFPn1UB3arK2kGq6HMqaqloBKtB+orKH+rbbBf1vSPUIoQAEKwb8pfYedN+b3x1vKf
u7bS3dc11gbDb+bQ9mzp39evckFDeKxXv5u3qFOJ3k4NPeHFZfQ3bJvQLbqNU6oWyUNTi/d+Ku27
dnWoD3Vk3XjfF67jX9s0Tj54JiZ9hGMapO9TBZB7GzoDA/IwXNR9vdBT7CL0fsREz11KzJNOvIUb
NvFe48gSTtfF4zq99dqC4LRxIO5aEk7qHaASkkEZfPnzrnVl9tYsAueVX4LJwGrEfjHezTF6u62Y
h6G+x1vSUtE2DaqdxV3EVSwBYdUdzlPgGFFqBGq3oqb2exU4/8TzhAUrvxKQ1jV/GJuPcKH7DKvU
wpM4J9UznW/6AX6P4RpWLGZaJkxSuQ1S4eBFTGvUvvVuIGYAkV2r4Mht+6x1xru1CU23Xeh78pcp
0D2H2BwG8S5GYoaRcGLMB9YMT8qMzLjXSSU51I3AGzc4hj/jTWOCKYUBKygoHvDJHdJj0w64X7uq
7mKY6bCZOtYYOi2YnRUd/h3dWYaTTa4MQl/rRC7ycGx4NBXV4LutOGYEmtj1HtdxxkJWO9jt+yev
y7V7oPPq2relESvJXb7fjfGhzJMBH7nK8CgPCo/zc91JwwcLWQ7oBCJjg9uSZXa8XPoVGeNhJi6n
vtdRo9RdkY+cj1c3lS3JKii1owmcHeechHvQBebIWt6YL/ZQc/CRsCEt3vqsRstMBAqshK07EGq7
K/pube4Ew3rUZDUTXDBhUTKCi9Ih7viJEXp1dBt+/CWr8DuBWGNVgVC3M4FzKQxz6uMq6ix/0hVa
zQ0Nv+Zfqq3NgNil5AWgeZ/6u9Gdq/mzSFuPADZnkcQ0iKrZxp0crmTRyPVFwJnzL91UAYdy3GUK
z4ZGeN7klKDEh5JHwYyhUQvlrtRgmI6W9cE/+h+LN6AMXURmFJEoqbikGyhAKdggOinooZeelarZ
Jsb3VvpjkNo7F8InJAQlbLMbWzTEu9hzTPUsCjL/+o1WhOfe9wsXF3KvEWDTPesHZZ4Lzx+aewqp
ZXgLLN0vs80yTXeBM+Ma9BHiwi5R7fhvDPw1e8A17901rulfkXmL+uRrDzqYwgwiGBi0xNksPpVg
1XjMglq3EWyCcj3eFbOBg1zZZEZroqcbEawFFPXZFKhjsQGV0VfJ+2X3gEVVRSQLJedmzACJIUUV
MQR0vhgZHn0do+rOQfGq0xKvA+s2EjOrLYotwlBBNeNGiikDCZANgfaxare2u59bjza90cCkidqd
0Q6WhK7E53KUJvpwGdu+tyh/0bwgwrnPqiJfH5xpEvUfECN9/tRguIS0AyZmRQ7eV3H4YujT9A7W
gv3bDg4lextQmZzQwycfaIO7M7QyVPfo4gQvPe3U3VRrVIzjrVAj1pGJ0ysLBx1eAeriKxCIL92t
1bM7nwy6Am+va3dUTxkPL4awCsLHg2PIdNjNXHtfUY+c/uipwGQ4IBkubno3UsXObboqvvBEk04B
4e+Wz2C7TzYjVb8LFL0AJJFhucx832JrAwbLdxpdAaoN2LPjte+6dDWnwKxu/b0G0eJc+D+E9Uvu
6vmJ5NdZ3DmeCN6pDGVdkd48F+A2oTOgLdl2xRC573Mt56U88l2UKYto7IMBk0UiTv90mW+SQ+WH
xVvOKpWYtZKXD9veDaD+wsIyzlh/x834OynStMdi7/WYKEHhVe4hoEKr7lk/J8kfXt7VB4bLQh/t
gs5SsaPDvPn2x9oSl4y/qQ9rMABeUfwdS4Cdt7OSDqgIPO/GOimD0Nt5UcVgz1TJgIbS5LnUL5a/
rM5lwCnMGcrkWb626zhfsrgAwaC5W0i3KVosyp2CGQ8kOLg9amWh/tKGyeG9xlh64QmzqOinCGeW
1ykaQRLVJZTfFAjxFz6sQJ7CqCCjPoNs371XbE46Eqf41jHzLy5CMw1i8OChEn8PiIt/QMpAVCCs
q8EeSBrzRkQWSTczCgnrkRFVJN9ARCoi26rJ8X+j0Zft0SI8cs/ljQBEOUWG0bMK8PMYO07VqQJ+
nu2LwO3wfSKOu9qsS2OilHBZ7H0X5x+li5OcRTfjMRrWovziJe//WGzu0GSV8D/YH5FLt0BFjI+Z
8ghtZovWfTRh4hJhOw3p26pr8wRmisl1i9sBeRvB0jg8Wjk1X1Rlsf0pHZ/7pQuIxdylps/nC+aS
+rmJTfRfBn7Eksnu2QgxbAQZq8jGptwiDZ/Xt3CW3nlY8EpuHZ+t5XZkItuxwuEqOrJQTZACNwZK
St4E8qWN+qXEbQWRqnerW8XUubXP4uIWqY7mvJgZFxIzeo7GCVlN3U11fcjHWfU7S2VGFCREdhKF
ERqT9zt3rI2zOG2RyPQ5s0vwlIgZqc3cnoQS4x0MMeXOvgyC4N4rHYPmY/WLR64XNvFT7Hmw5Psw
YHHfzkqH29zhdDqQojJHx2QOb2xw4NrF+J6UN9pQ1Udpj25HYMQcUjv8Ld0c7FoEQAjDL2kIE/6D
gbmp59evDcIc3nMKObmxGFWgxmKP9oZna2LkABu09qt3P2El/m/NQYVveyudclsvzHIgIpCFU0N1
S19cz8dZxTO/vLHZo4KGAUg3zhxigE+auy0S3tA6P0Oh86us27i8tGvaZSdHpc19UxKcjelPT5O3
mfPVJ7tbMtXZTRjKPmcccuklVxD53qgciqsRfVPcLLRxe29JjhD/lsAjeQqfbgJyx/H6Dx4buNwp
JgW9ZX4cgDdSRfrmu5hrjrr2UFqeAXvX8+eENwD56hzE1dEwOXuGEBh9T8j40OFPtSs/bTKa+Z6Y
H6I80ccCbIbF3xICNmLC30SZ17FpdJt/uCyie6JyETD4uDxeQuuRP4xmQorHyGHopc/uKlb2mwBY
zEPjBiO5MaKv3adgnXP/GHAbxUjBHVn23cFMZWU1InRSEwzwMASEVPBNEInlGlP5hSDJ3FBOG4jQ
pUOzwgqfdaEW0TeuqEjyhyD/+YQeZwqJO0aau6nzgfEDfkYLDkcMC3bp3B0A2TeLgiIl6ZZw3NW4
Xag857u4I5n7IK2ILpAlkq8pBKm5M5Xrdx/UkVNBpj1nxV8PSMYbGBNDLEja/IT9ZI+NnP03LBnh
T8aNTNSFS0eAR5xkLoLOH2K0BXbnaVh4GFPm9j/662k5zaIA19cRAPKGJptDH0Mdt7FOBJuQUHtM
aTKrguQKJnj9gypl/Yst0/8D1phfxotY6zDBw1J3CJEQ3aJ0MN3lhLmsp9VQMmzxk2BdiikFP4iI
dlc++TieTyRxmJtTkOb8kblxoZ5QTzUCmQsVl74Pck+td9AKnWWHWzDET06ECuw/98bd6hu6JN7t
EDBgj66q/tKdssO5A9AE2yD0i+qawLNyADITi/IcCH6q2CSoMhkGo7Xn+AQZ4d4DcC2xFU59+Lx2
IykbyPRzEqwNvjbeBhKRc67Q334nnG+M8K5/CuGTiV9zNibc3qgJCE3Bl9buer+ui4ebuv03bwl5
MkNRLVswOIXHKnYpT56rS5DVZUI81z+8LIg/x8STJ0MsCgvSQs53Ki4GeS4I5YTJRs0PzR7LEekq
eczavn1zqqKmEcvpmsmyxRC/96easB1pJm+Eu5bZ7s/ce32487U7rkcWt+VyiZhrsXuHuNx8oyOO
+SAK3u/2s1aABI/4Cnx7uIUDLW9B6Uzjtihv7E/gFqSJsNbSSfzsF7znVK5S4RnD3g9kKQJj0Jcd
abWbAq3KRrQO2blpSjl1UXE9aEC8aM6Tw+06BwZTkaTlyfGmbvVd77VhXZaxBV2GZusTtO5tVwI6
p5eKSj47wNESz20KenMjbt8yg816zI/Ye8qYEUfLiVqlo0VJZGtxJ0RUn4idJKuCFmnVJ8A9CAUK
SvvPYgkxM8SctKcJlSu/L/KzJ4A0KvmCPZbjnUmVpuRJevIAWS8t9+wvSK5IssCBfTkFkLoijtzf
1lsQ3Rnpsi+dld9DahydZS88X/tP2TKt3DY4+REDoZ9+HTNvwYm45vp+ElzPsdfZ+JBJl8kUC9lm
RelbSfJu0Xz0z/QTPSZefEQ/Ua19fSVjwJJVMOfmjve+DtHliu4VYQbB3+g56F96p7QJQMLFZHvT
BsFjwZ5whZ+JYTTv9frV8r6ndFcGrjFj+cDFtcmiDxAKTNsEagLOV6IKwhOeG3bggGRg7mnaPyRX
fuwVR59TpzkPdGHTvoe03JgDy5Pc2/O9upjdMxuxW6qMv+4185142PUtmxZ1RNUxcj6KHCSl++yV
BV2e7gPHOY6tv/THwBv4FLycXQKPYoo+pHAW8dvIwFY0Ww5KhE4wc9qJPE/Cnxm+S0IKFKkdCM00
4LwGDjYaKzsPvGJMVqtnhIvL8lB02Kt4lsHYtmbquExJSrhnGWoYiBpOtyOAhOAvSw4PISx99XjU
Dcj5M5JJFFZ5CVFhG+DUeL0ZwTLuZ0djk2im4b5wKHDJdlzY7TizNzIbTkeqxrHyEPsRcpDiFELP
MF6sw4WxwwTD0UneWpNeFPm3wOqHKH1kqg4DyOLTsfswkuv8eypGMlMoGzLwdCmplB9RKar7OIVj
QCIzzhkM20jBR19uGZZynCeOjr4kghKIeBoN725gXs6IocnMrzUdSDhh8hBdSN4gfbErk/Tqlk4U
v2lhzKkiA6TcqGhCGkES2IKajLH8TRtg+1WK5giz07N3bF+z8Bn4EQRfpvTRQ+0KgqpavGk/KymX
4w4BpZVbcbMpnFSdzTCNgpgu3EG6atFV+fLUZQsUVxOQNkAB1ETRgfrF2MeOVKR9RYMe7lNAHP7d
EMW93vcEmcjNZMARHMrCo+KayFMrzjNYtB+dzijssCMC2iQX8L9+JT/ulKkQrDfEFhJVTiyf8vWs
JwuQMC8o2HmTJcHqYLL69DiyuWGlG2qu6IcOPUno820M3XQqy2H4MxTzGKBoIu/5lvINzoF7uzdD
3t3hndXRdFKk8Q2XUniVi46H6/TD1R3ug9rCHEKSpWu+GuvNbDY1nsUtQncAjj1tzF8dduWE4mDR
y4QwE7zLZyKq9ghOrBZvEjF4+Qy/I+kfZkBYK+c+tYWdYS6qW1BqnmCz81g9M1tcIS2gV8MzvNEM
2ooXVYeoD0JytSMW9xkVcUHtjk+pTAf1gGeCHCA2ADdGy0q40LJtvYEtQ1lOw823Updk2uUlA0U3
DtSvJSd34BRmEWfWRlXMzkmyG4m6QaXL8c9mvFpYzSZ7WUUNbRRPpUyKg5cRcgmfxYAbfi5r4cY3
AIszzM8xEn1kFjro6nFTEmG5pAcajErq3bq08Z/Aqcpsp11nHX53JLeVuwpF8gOWs/kld5LCbvC7
MuiZ6eKj7QC5+L5hIPlc9xTK7CYHe/EjH5VmgHH/OXXSnG7GEtJ+IDSzOIeIppdjB6lWfjp06wUZ
Lah/iu3kFCl4vzWv4FIO07B+rtIixN3ycleAdIVnO9SzcMi+xtzUt/yr2Cr94DPe4j5kAIqGPQrK
KmFdiqR0GTd10qFnEWEOj01mjIgfTIi85BpBkWMjWCfoI3fcdYE8kNHtRKRZEE/ePnAAJhJRZxqw
f8RID1hr23MsSfLFwxSyDGAqaKA7+rfWeBuPhSPkdnRsefUv8lGhcVpyLqPDJ2sLgFpJdCOSROqA
zLlz9Owt96ZJg+6bYeDM9CZxhcK83nq5e2zAH6HSqzC0Y5CH/LxG4x75fZn+bd0o9vZyzub06oFa
MSRbunOWrB8z19V3hhpupowaRPWLcBf8CLsOhchMsTtU7kORxzfvFM3vW1/j03tm7+jLj84fHSAe
npzc/K4Vax/s5xmcyx65cGl+JD2ETFiqZrAx+onLN3hgbxvUaBnbBI4tlY6fPUbEo7somvKix2xX
LVP/gJtzKvecg1XzCCBKoiUEcZfe5QHSjafepcH+SuYB7tPeHeScsDxG1pnhlWdJo/4FlBPeTfqb
VB8+NxseD8MU6xILmMsfC9Y8JPD10ImcvVvLrshaVnvdzsO0He8p8mHf8F8EN/w3ns2q0leJvYGl
IiuWPDy2rJanr0FGbo8zN+ucg2175R4jPVIzr2ABM0hEIRkbuwFFWEz4VZRYgWm6psTaeg4ZKuy5
s7C9QwUep4Sr5atk4YKqZUrPg9sHAm6XVnb5aokNDo+TVKxIIfLiTP4sC+pmhJdelu4m2XYL4kob
13dzqb2W3PSMDnpKYIB8uTaAY2MZRY0IH7gEkkeYH9wOePZcVllxJqDuNt2E/XTIQVmGUwfUBTBz
1HnHtVj7+QEGbSiZuEHIQfAj5vj3zMij2g91vIRHg8dmOHRos4t5WwdjTeI9pBvxQnYQyZoMp7z+
LPxuIFc4l2XFmYelxwdg0iYTg2dQk05IcvhMb4aZYvVyQIKIgdDkx9Q30HDhMRygCuqmPNVAHmSL
AYPDkPS0KXR5a4kOKsRmYTfefZbjOKpXpRHKkrfUK2KJbEjq5bYtbOYPWMnpaNkfMwmLu11YYC3h
b7Kt+GrMUjZb3HaD3cxpIuRnGWV9kV15b0IfW3SJLr/FSwAyf0NcCKc0I2FBhl8q+gRqmQIRt4kK
raBg9pK8BtZhM4AneEV4C+iYO36Znov7Y2b24d+xryjFj2pQ1iPFnR3wxYilZUSYRMk0FGoxaeZK
IJsH2xjKk9+lxkdiuLBSuNSKSevJyii/uR2Fz6lOVAiZV5hn0OCNzPy3AVKOPxV13PSNvoGxHxFG
XmRIQ9FQUiSEloErz1rneSQEg65KWh566WqlFP5v9ur3Iehx+RT5EHQMTF2ATjhB28w8G8ovHV+Y
Zg+A4ra4PnPwOw123yp/CCEG2eIBOGFro0MLZE3rPb5frwax2IhQRFuw+fikF7IPLOr1qFinQ9kU
YfWZUAdM14gnbzzapiebok7j3LJGb4b4NM3uaI+dcEngcwYJroixBUZX6y4L6Uo3yuiZcf84IQPO
0HH2Q+2BB7NRRKJ6Cu1rXxs1nyt6K9SgfEj1rkavxiIZtQIDs6LKn1HKaub8wVSSbKRpG7YLPohu
1zTU/DvHxiOlEfMLurWsIZ0O5bS3GfxlzE4MbILlFLL5EztWWuLV4wGKT4JQ5S9OeYaMdaHkXeuP
hNh6/fquK+GZvajLxmILH3BvScwizJSCBBUBbgPmot2cTWciopKfofWJU+6CJBp+kIcEwV9aG7fj
K0EBt1XIWIIT4cra/kI9R+yNmX3oCm0x1OGBuR4M5FIPzrYlWo11nz85E8s8TqRh1+HpsxhN1kh+
lZFtr2hDCoB65UoX5VK1UxBVwYzJI/Uws0UgSTGM6zK/DkPfxlegC1OLm7lCx5YSYu/tWU1RqoVp
SmRJWOQ8WKHTFqg32zlYORQhNyLljbIPZ2zz9VSDbBx4tt0muXIKIJMap2j8l7F1fBWVmFn54jhD
Ke+21MONRP7BbIo6gaE4DdsmKqM22MzY5YBKLIp3wAF5SrxSrOI/LpCA4GnxKUT2VDcKAQoNSnYh
XSacHpGKF/l5iINRXMO5WoI9yRDZ72GSUYT6lx7wHn65fisixJV/VZMylWsCcFq7JGAvcOhK1/mT
RkH1M+Iob/g23OG3cdYFSxWZf/XWovT6AhaDxZ8cXlYIXXLL35yU0M9YkmvvvJLc9q9KVdeCcoIw
jp6vW3MSA1PrseYr7HWAvvkzTmjAoJHG8fqL3KzssYX4tByTug70lg3vLbymFWG7D0lzJmSmD5sT
KuNM7tyujTUzUESOv0aPXdNh7ImlelxHJvsvbKtI4eDzyVqOW+KRNiwMgiMtErS8bCjfQCj4/wVt
XpyQVIO5x7iVv0ptUn0plA/6gpwduOgqcsTDkk44f4kWrZ8nIaf2UKvFjUhYiiVReqBu9UaqfHjR
zVwynOYwOhSIm5tjlLfpYyRZbZ8mn2kXsTtVjC11Iipy7wxaAY+SWSI2fsgA+jFraqtAjRuJuWEY
IwYyaeFslZtjQSADQIZnZizzOXRcnN7GhpI2oUkx95ABrR/g8hK346gQx6mLeIiQWqwxxFDEyjk2
fUIqRolSoGT6LHuievqcPTTBos5TG81ACeHaFP4GUVqKKhOn0+20xtR20IrX+G+SYmTbhYkTPKM7
AlpvGpv+0rUovqVTiLuGMTmDuP9Dupw4QLZfruvtQMR7jyixXkYY7GPBKA0cb3MXgKlAHzYO4qaT
npOYDCRwZuUNWjheYQ2EyM2GldtGlbX957rUwCFJBlA2wjY/T0QR3OZMuP+QAk6SbC5nrcedUJ1e
rmjb0+4OcRqWiLnIPqn6FkWIV5e+GrwewcUGGYlXOBvK98YZu6+C8PjvAsqme7klOb86PZLLLVvG
5qL5lfJdhpWccY1L3sZr6w7xW8o5+hzMZVeh/+LwFWjwe/Fag9TtzqTxTAf2fnzKURISROh3gd2G
iM8HihvAsTPw5+SLsZWPnANKWXUUQeF7J6Gj/N8qxPodsVwicdGsxTGGYIsrz6lEdKLUW1hTxvz2
JFSLFKsqr05MkytsuKsRfxDtlQbD3QhIULId50lhbtIGkDtlycyMBKb1Ys0Uwt9CaH+P1GpMz3yD
PtBmF+3zrhFByaKji+noZqdMgHSP1eBeRzyM+cb4M74qbt7mYelzO2FPsC5UIs9tdv4KXeduXXv9
ZqLSfOBzBKcTO1FZ7sOUOnJrRvfWIeZp90czDIJ5kjNk+2ycafjuV4HxPh4tYUiIRQoVXSuvUdMX
zjvGs8CH1VdqF15K40k9b1juiR9iT5cfNq2NudNrghxzo5ok/eci4Snh1K2Df4pykr43LcAdTlPU
8N4BGXnU3BsdBc1hoK3zt36og/5F1gmLcGLt4gPyQEPGB1Gut5e2H19tCoVlzxr1hhJEREFAEnU7
CWrwX+h2iybzcRwhdNvaUWKYSLPM+1Ssg4O7gTSw+bXBPQ3Uxs9qYnsRLWF2diawPn7iuOfIxBVx
LmVPWazGJGiuyMrICAU40f4rnJVpdE5h/xK1svzASZZ+JXDw7L5ZuLtRc8R0puMU4mzPZf+YdFSJ
2zSboKa3Y59+gtbGfgS2SbGaaxPNMChliYfoMQDsg67R7ILQJwuLoKqq3pYSlz8B9+EtlFA68hnx
DwtHlRPEPBPPHT3VrvK/AQZMgM5l7/+tMvQkJ+wWdMR+i9iHsK8l3CvijJpHH9tIyf2di/LBFRj1
HmzeBzcKKvwDTFQR7vJdFUTrGer6DKKwnkEmijru/F0+u/hdOlsOkmpeG9CY6AvHk57aGbAZNA33
6MYoBPlT1YQXjaBIdhm2YrHB3RGZX7an5dlEPVbVSzsExakxdAnXRWcaQHjPBGCz0gAF+8wxRXjg
7F7OtBQSMTBRrsp5sBIbRngSCU3PHoOpP70zFs3EY92xR/gPWw0+7b0JO2CjhwkxdZ7es/wjRPrI
osEfxn0R4iml//CmoOBzLtMXZxZBDowpTkx/15jA/80hHob7IMuKYbuEVfo54JgYvtcFf7XcM8sd
3a2yeLcJ7JZ+/VdnlbqaEfsA9hKkBDUhUGiMd+Uijb5HiLcMB2OXFkEhkhhn3gVUYglPu+fggtQJ
o7tndrw4IgJYuXpTLpUXw2gIvf5dwXltj7hwu/ZhwRnqYJtM4D1vQXA12RPJX7nH5HtlaIPqZkE8
zOIUqgP+chJxoI6pals6crVXy8GYn1YOaHRexAameJARGZ3Rj4w0kzKcbkEDKubQwPJWbddAzL+z
Ne4lbt+h7g/Iitx676JIfA5STGa7sCY/iHGKU/0uSAjw7pNOUbwykEBuymS/l7+ZypmfmBeYWjkK
JiIBZ8W1jPdHCbaBBNdueWpux3/Y6vqoumAKT53LaJmtFgibE8sdL/0m3gsxJLhCqQ5tlyH0DjH4
ZicSdBafxbnsRXMNMjOaby54L78HCsHnVWDYu0F0Wvni3er1Z5QQafICZeq2UVxWCZygWnisDzfH
eHawK6gv7rg08k4ySBFdUsWa93DJlvyYppj+N3qYMZXRkSNZp5cXDFYyl+ZFUTJCplFVVG+LiJp3
26BQcp8Dmnp2CzVR6sVjFmFQ5QYAIVWukJ0piqA+Am+IoiACTNQtT1Q9HrkAEVSoe+COwc8AoGO5
Y4wRDa+TKwh9YyauERCFTniuSyBJv2xO6fvR4ZhQJz9lOISEqrFYz7N12ixp4Jj3LAui9tJaBLVb
JqudIN5K9/Gj386D2DOoFNwNxFO2/3kuK8ED8rUAxmnWZIxAfTieL+jbp+o8ZZaRGfOYGOlTirRT
/vIRoH4a/GD+fU9q8XhwEwoMGAoedp+l5Os6TCS332gR/Wz1FnNfRoJ23yM6+ceEBN83KQHyDjHg
7AKLJ8oAWaqTdNlrV0fLX+qKZfqlYwKciSiybnBEAedhGXI6GdUbtOZNd5+mzVBcSWsIi4euZfmz
iwEYsrLG69Ew3AHa7WPYxAYIgN/zoasyAI/gMKHH6nRMVAButeGuRfky9r/mOkiKV1NOOfp+vhYO
raVgGc81EyfOU67csO9f6TQs0aOpm9ZsoJx1JIhCy2RU7x0GlRmIhcGzzj+J/Ph9jOJl+C5i2ugT
RigTnKYocPN3rjzXeWJibpNnmRZ6OFHGkCxo59DHM+67XCl1MMjmaUabne1vOx/3JAI8b3uVo9yi
p2adza5JkEGSSOzmSR1QnFLmDMTMQrpwekRH8sBs2lJhe4QZRZcuxXCzV0E+1P8AEsC1mLMw/9DS
pudZYmNhoOSRi4VoZPrtKSYdiOa0nc/uVOAJk6lV/xLy1odtz2Ca9KHS4RIN48l7YBROFElZ8Kzu
bjeYuk1d1XvsgRZi4A0nigVgC5YGmRDwzWZw+9M6CXOjVWkMVSJG7snKZik7oAIRKNK+idZLEmJl
YuY1w4zUUyQ0gEBLHs/AXCjdliMClb6K5j9Ok1e/lizOMoxTWYBiEyk25GaYeO9zx/2IJbJPf4sM
5gvTeevcO5gccCoNvFBbBHlU84jW5HSL4M3f0FuP/+W2Q43kIMFno9zlAT8CIYOBupODLKcA/MZ4
jQU5QE2csEPG67cLEoMVEvk30uTGrtF7qcqi3Wnk9h/o+lnu5Wq25MziM/xEU+MRGESWylkFxNft
Jwbjb+N62/EMXr089Dyk9zANGWxWZRuZd7Ci1d919YYbUs0mzjYLjf8LVJB9tl4yfpJZ2fznDbL8
SsibvXieNUAcO4T5m5nLHJsb0qK/DEdRXvWL7rt9D4fB2cd1VXzEpgGB56J//szxqb04aOMz5M3I
T3YWy+JDnRGYtYn7Fv0VELf+31BSrbBn98pfWGn9t1j43n9lnv8/rcmYcLtGdY862ygtIF+6JdGA
qI/Z3qWNu1Oux7k4Iz0td2yR62uEMhPyETHHeoOCEaayBVfacOhp/IuL1KQXYY9kkVEknGukorA4
qiOFSciTBeftWizYKHSGeG0TDYKOgG7PqXD0yfa/XnaD2pKm2f9QZ7X53rNNmFPANFA7i8YLryOi
Q4GTSrIJj9qO31UTbpPTVoRxdVF+NWIs4rwyhEUhXI0EGhX0ikUyHTkM6h87afnlWM7bGxC8di6m
U/pfyIovRsNXNyS/xgzk96kD+WpvVqkfRt+NXrhzUnUiiY/4hgXdLDCMhs9pYzhX6d6cPOzPPSNQ
8H5TWr30eiCU0uO+JtG3ZWm7d1m5/CcH47xaFMGnVXfeI0zlG10HLNPAzqzMEJxwtW9tXHj1MU9S
TGhLVkXXvlrj3w0UDLM1cBxQN7YttpHco0hBBYK9N2Yj+D/SzmRHbiRb069SqPUl2oykkcZG3174
GINCikEKd2lDhCbO88yn749ZaHSEp8MDqa5FLTISaU7ShmP/+Yd7A9JMdT1k2nzs+zZ8qHzJWRjY
BGhhOhCMH2XT5xhzQCW3ViHmZLeI+ubvoqc6X4cWWdcrZ+QWTodVoqi1+3F8HsSETyaXUfqe9Kxr
2NlWDiYcetm1guzUr7tatQ+01arPcTAVd3FOPNYKzgzAmWrc5iHF9RGYJnDH3zKJ4Y7QCXP2VtKm
xa4V5JPvDIME+jW8cwIsdTXO35BPVU+67gNIJGLRBre9zLMddROJ5qz7ol8Lg3Jqm6toHtZDpLG3
gkwnVmB8yX2ciPA7sicXjGgoVLRBwxg/elxsXapGP3vpLMP94cVtH2+YCWRklVzJHj3cfvgZEh3P
liZCdestMoX1HGQGSNtcJl9qb4KnkhmD+hCUMjd3HpVTtXKbmA00qAGSiA1iX115mJMd63F0ER87
fH+qBp+pwYEGQYi9AW/2rozkPVmI7FMYcsmXgD4Rk6ro7H0ztelRdWZ6xLgl/9q2FsRKKSb7Aw2H
+LOfO3hBtzlw/XWfxdk+HXH724z0tb9Cw+GG5LsVVP5hhgRF7RBT9rpmgfOmCds8vMLlgeZ4g7y1
v7Zzrs/ah/CNvdNEn6tmMWLPVJaUAwTbQLKSrsDNmLsjeZLJ7P4gy70esDFT9THjtvlkOQahywhA
NHKgynqYUAuNWwMl1rc0DPtPg0akR3ltKoq2PrPnhYgFCoalXPrFEDC9VkhHBZzIIPCGDWhPE28F
JCCInA048KrpvMV+nW4LaE7hymfN+qWh7uQJ1uMDl91VUAdduwYc6kv64jABthAn8Hsm1zg5KIK/
xGpOBmLNk7rR2Mr1IckQVeNzBQuwDbN3GVvlR+3OwS3EmHLc4H8fB1/jJrR+R1CdnBUcrgZ4PW0R
YWRh8RJh1XAromEx/x8k7sTcOgJNsMqUH/D9ldMnwNoa9w8YW3fhOJrZtYxHnEww7ciwKjIrnD1j
Li7FVV7HC/ESDwp8n6paBFsD6+X+FqtKmol2DcMTsEKqj32VGb86yNh7tfx0/FqDAekciaY/nCmT
sN+7hcBu9WqhvCY1noReXFZPyZi53726GThF2QPRqeIFsp2EaeOqBBT6we5sbDa5oGHVozFNS/ek
HuIbxzlZDavaNLOR6AMM5KCHIiPER6dK9yQWFyiEqsAPr1RZ4DSiB6r3bYj/mGJTV8NviwSjYCu5
CrV0sRtjESWUzTVSTnnEYJ0e7uhwEq0j8Gr6uQY26JiR9m4O4CGUv+JEozWC2Rfdhy7S3iNUNY5u
ZGvBHT1h2lhC9NzthBzyQ0o4boy7fuE/Q9RH1ukHg7UvWxqXfBz05JJcwiUzc9SLvjrn7maW2dc6
zfLwlgLC/sT3r2CFl3H4HQly8SXTGfBz6dtBdhPgsAEwbwgQgohWUrOre108+STkUD4ngbqzUTlh
vzM6w9cgaDml6XHY9SaUZuBue4cc+5UwsxJeD4j1ZqDTpVd9jEISon5Tf7K4+KLNV0b1nZVOHobj
+MXvEdUPebJQLCCq2l38oj0U1FbHTXKXixAfKJR57YNH3BBQY1zk1xDYyx78ySV2bCk6ATvc0Tyk
mMzTD6FXvGiZiaHBrlLn12kQLvB/k8AX7BAJk1dA/5XTqAph21rWyCwlYCb/OGK4/SPAp4iwm7mK
qnXYJsFzA510ZOHm7UddZKNBE4PFujKTDvVKatUtCQee/4sJDpyD03AOuB6LJ3bG7CmY8zrfqLaZ
vkmkFw80HFq1Bl6vsPrGD+ujP7fLjCGz7uC603BNUq0t1nPjicWPysc8QwZ9EmBMMs5HCdX5DjUg
wgrRYaTB6xPAbq7qS3j6hE0PuIqGeDzyMrjtT6PEu0vQWKVoSQxVbFLPsO4kBRhZLVGmb0n/RqrE
5zSLjVVbtA6n0aIYawmYFGtjqE162FQnSIHk7A3bOjGcegtJm7fPNuQ+p3YEZhtC7gH3qErrivnP
o5WZrA6Oqbm+ZWMPjtFCeH6YskUqRXGrNzn2+vEC9CCLrShp0Q2lNteyDtHAVY3qhsCWqO+/EGqY
P3Hx7r+PYZwgK2qIyTGAGsp1DmaZrUIixcU6mDO5N1vCDqlXF/FubeXJM5T1+rnBeS/mcFyUDJEx
0bH2MPPGjyEm0MvqI/c3m4p2N2hPYr0d0nZ4CXHFOswl/deVY4HibomLi5yrSiMs2wfUrJ8a3XH1
gh0ew/0a0ujZslEvYMVJMP1N2Bj5I7zCEK4OAnl0Wn4+fg1Laq11mINUbvBqlNfsXFzoG0go6caA
LjBcISUIPiLmoqtlgXzgyhhx7JBMlql4jdbQ8dDgRwFnAK1uTNKDYviepXR8diijmq0kOoAuYQXZ
Brizro0NXfw+fARfDii3ysLYjCghxcd2jOW48fIUntmkadNetySMfkbP21xhGChoD87QHWnX0mKl
hW3G3TbuZh/rBaaEtcGJx/raGS2+kTUJlO11qBGz75bponi9rKIt3Ww8N7iA4lYJb7Amk8twnWpn
IHvmAkUc+ISXIKnjY1FRXqXaxhtC24QbQFIi95XOaiOwQPSKYa/lUHVrik+ODmTK1aNLVlmwq6Qz
fmuicXF8qU0Ew7RcbRgM0D2I7Wq74gWs1ca2wESGsjKgG3+JMbTBJUaSobeqcsiXGztJ8OIRIoIc
UuOojU1dVMiXtsRkes0Wbn6a8RuCJqMGsqN6OFsEsbb2RDPfW2xlmzAZ5ms5xlGzyzMnPehpCtWq
xGULAgb1QnrVNqVHijRKPn9PVhfXENBDrEprrja/4y5GA2m2sLmuM8NtcCuklAF7tAfbvwqASpC2
j+Rf4zeU3s1TbxscL0Gff3Zc4k82yCZ872PM/vytC4eQXlFRabmpcn/g+kqe73eAAbxGurEpAZXo
5VkPeMOU9Qa9ZXwfJbU1QGvgjxsEyzPrAikJmduaImdjKSM8znYG6zuIrOA+7XOr3ZLuZO97V5Cp
NKqku6PeG6O9yZUyWtkcRILV3+Gm0xiJ/IHBU/wiO7xe1nVp5PVnfNr1QyY6OovDbNZirzqYofCW
ay539BAi/LtxoALjMav4Bdlp/gtxuSzWqfDRbBA9KeetYTuhgaILdQfbemSAqXBPwWmP4i4k9bLf
cGDWVDI4ex37RGPUV3et82I7s67RxlgSImYQLunUTtdf+Z2yIUISYZfvNBXvLwsAMtjE8MgpMJG1
3CMX4sBVBW07RFjtLw1EUwNJmC5mSqji/H0vUN1jS6GyZxhDtO7KprW3ACowQkD0uMilOC18Bm8r
P1SAcmis0jofPmcYGrorCDl0W+DmkKoMjdkElozdeLHrJ3o0yFR01QiVuczibML0Hri1+znDrIq3
TQ3FYiPhaxwTdvefOdvR04QFbbTOlTNvNVdO/PGLQD1bXZzfioYkk41dWHTRLVV8y1wLGg0eUuU9
xmbhp9nSNkKDLp1+g9KOvwRylq+Uk+WNBm+NNyUWf7hW2W22TXEbfQ75wI80qWAKJR3QfhQWGNdX
Xm7DKc8WpM0ru2akiZMRO4WYJ/nICsPTiFq3H0os34l27n5SfIGhsijLOH2ANBM6cFR10ZtAEWzP
GxlOHZuIMFXvPXlo0fJdG/aOuzLlNCTIbWrh+v0q0/Shu/Usx6n9ECVmQX8ZolXzjRwAXpOb0GMG
4G4iYV0H+PR3tG6KqYJ5BKxMnz2fTRCvtTQyOsAR83OJ0WitaN8SFzjS654EK6WSgZfYnHpwYa8X
mw6L1PcK+5A28azx3oQ2g5ZCsYNV977pmjRv8BZwyF+LnbQLnk1HikyvO745CtAqVhj/45GFjeVT
TCg0JvlD6Xa3RNd59s7upljtHQIN8x9oWk0XvwizbAY8GMvC2WLsgEnijeXhzEr9H8gO0/kwlQ4q
XkDPsb0Ldec2+ZX2yFxybtHr04DYRqGOeCGjVeK4s20S1BH2FivCERuVkNy6lQDfF8vtgRs+mr6R
Us0z5vsUn/5sD+Wb1h0WnmySmd1y4HNCNe5NTH6gsR5lXpA6AdmJwFWEVosX2IBRe0z6+IxhDsnA
6zBEso7lgsn2g/onPMQeDmOruIaXSmUR5RINraMs7ufUehubyNKPCmo9efc1VJG0YX9aob82vtUA
br8d266fwXLrZh1jNUBBlRHUsm4jXx1oapPg0xWmhIOnCD3fRAUCmo0IdGqt+96pfy+UYTIABjte
bE9qhQ4fKjtZ54mF5SgG5DbXsXH6rR2E1gRhZyMdIWj9VD5IGpItOixxBaXQVEAQZX1XdoaaVrh9
e9/ddJh2OL2DzhOp0cI86lpQNNe2YMUNXRt9HaHofwsIyou2Y27l4E5c1kgcoy+mrvgd9N41l4b5
CsEUVT4GwRRl5Vhh4R7MqrP5f0Pf2VmJ8Tf3OhcS0NyiOBwdqtU1DqB+vcXxiID4QpEqEvW5dwRZ
h76CFDZzbhxa+FAqmwQCpNdmxqNwbPAZZcXV7xAQdlpns1LdrY5r84maD+ZW4FEYr2ZBcuh2sOG8
rJTCWMkWwoqvyT5BT1LmNFTWiB9hH0WmJsPdsg23ummXKbKJkc0YezGMc4SDlIS86/uxG6wJMIux
/JCz/uJwo6WZCo/CJDuvNxGCwf0kS6RKSFMfJvhhI20sajgT0KcsEYCzPZB/xiUYgjduBDnBIV1Y
a+eqqfP2JvabwNlEvTn0a618wAjsV/i38dVRqzgv/O8wiZqDByuUIhWRxS8lK+snBmE908SZmNml
2WIWP+Jbu4pazEs3SNvsgydAf3c5KPUDhDHwJZ4tuerg2D9gsTR+V7lV3pkOgba7iB6OvyWqxva2
DSFsnJjWYm1k1fStN7aJ8HitKj4w+QxOna5J1QBVw8vVEyuctvAs0L0/0SyN4595mpPNmje58RFT
pxTvN1fUN3mS46/sOrraZxEBjtcekvtb0dbJ0Q3ZkMkIxUhwg98BHETYzfCXZOvY7sqfo+wAx0Oi
88OM63sYJdOPAQdj7tewTZqVmoIoWgEMc/fhOozpLK+Dk78BE/3ihObw1Zzb4t5XfCjwxRwgIjfw
rSdCzMIudxrES5ypnDZ9Fz0mckFYo8yaekzWNfPNJnMO+d0IasNtDxEBxSuCADcY4hdRYNoqk6hH
s2Bg5IDuaY4O3iRdZxPCJfR2JQ3qckVBQKcAU2WFSE9yWGNwPoQYRRCwhfIX+RzJbe7wg8vfRExy
Nba3fEdkQ7H0o+XWBRq36tiKMLMsTaUXTwX3q/LsRZY8Z7jRcPfKocORR/GJK9bIjd2IVHcFMllX
686R6h4bn/EF/WL9EnNj+UEvN+i48M3jMUVb/Ej/sz1i210/jXiU4zIUSux1pOXwxJhA8iL+C+Ub
7Esq/W2FP2l5VQk3xFij9noyuLqSRtBNBK+feCoHHYG5/fe//sf//l8/xv8Z/Crui3Sizf6vvMvu
iyhvm//+t/3vf9FVWP7p9c///rdrKSFsZXuwKl0ATzio/P3Hy2OUB/zL8r9CEYVN3dBoLq2sveux
wi/9sL+/PIj7dhDFBUF4tqelaSvPchz9dpBZR0pjFpEcm0JM9+xGJHYaVfBQ+9peW9MMfx9fmHB/
edTlv/rq0f4zqmOR3GLRgpLWyahc3XvdYVt69Fy3fUhV7DxZVm4YW7LBIhRdE6Q9nTpiT+2Ikvry
4M65wV0LZ2bT5avYJ+8VUgkABGzSY9zU04dFX6YfKKv8Dzi3+vl1WdcDUqbLY559zdrkOoPTvGu5
y2969S1lRs6v04r0SIYWUukZ/O8nLdXoaz8jTJtCOezyQRJ/c3nYM+9ZCoYkeVp4HvHsb4ftIZqV
qoqSo1ONj5kPsNzrBJYOFR8d/JE76SGRCw0JOm3qrS8PfjJ/l4/M4JqmpkaoJy35dvDJnGgz5k1y
TM2KQrRA4XIDBTvtri6Pc+bdSmE7aENckwd1vLfjODXXTYbhIQ0ybgwjZF/nQAJYGfr2ecDhcZ8T
ufD18qiK/+rJFJZQPinWHNe2UWK8HVXTbR793I2PTPLFdhRR5kR0QBlDOyzaMry7PNzZl8lyYcra
aDPc5ee8mkCIHAjoMcrkCHOI7qeM1SG0QryvLg9zZm1I4QkHprl2HFedThg5NyOOFunRL0b0nuTp
1ASq0ztzOW7gT1Wh6e8uD3nu80nB9IStD+NWLX9/9WQk3luKaNXkGA22GT0OOqGaMxhp2gZDaRff
dBWIHgdPLsc3l4c+91JJWWKBsMW6MCfeDh00ONFjjM3TlhM4fYztboXVbdD/wQx9Pc7JDNV9MmsZ
KRQiEO4QeFfBE5S3akv+GVKDMMJftwii73/wcIBdpoPFsskJ8vbhZKln0GIrPbpe0fafkqQy+wcH
KtPmT8axPAfGquY9nrxEFHhuNiL8PY5cvzD+bsQcPBY1/Md3JsrZr+VIuhvawijt9IHozUMq6vLs
CAF5Cb1XY7DF0JT4xcsPdHZCeqagESqkq82Tr5WmygduC/Ojg4rqCwVEKLeWsDx8+OLG5YanrEbC
ooupVi+PfG71Iab5vyNb4u0nYw9DjwEn7oh5uPgk3RRvRbYeiegEY+DvTQvOdXnEc89qChPzHtjr
Jsvg7YgYWsVkSDb5Me4g9fqUHHdtPWYPAmNjjBsLmplARsk7o57bO02mJM1/x0ENfDJqVNlzOTR5
fiRSxaPBIubyOx6E5dElt+HH5Sc8905fj3UyPWntFiMiN75mZLXPntEuploVycQjAuKHHr354//f
gCfTx4NKL6w+zo+ZTmseznCifIu2qHySjWl/rXIUrX8wb9i9MCEGsOBiefI+QzIkzZKou2MxpPae
1plq73RMsN16TrXCPc2Nner28mOeW42mljbHrimVfbpKoIYjf6279EgzuKnWtU+47Hakef3O6zw7
Q//fOKdrQuVxJWOdpviShi90YidkDqH1EOlE6c9EwA7RNRG+7nsF29kp+mrYk92zxesj7N0mPfZ4
VUnQk8yHl1TR9NuTSW9H7+xt54bj+NPac6XJpzyZNGGLpcYcRRnkPeHvEnRS11SGAQbTWfT58oc7
90ItyWpXjnYEASBvlzzHYRkgc6X8Ne3xx6I9uMktqAerVAd7bqtX3LO7dz7iuUXI9qKE4n8m3Ii3
YzoZAL4KOQAHukHuGvOj8hqVk3tLVlcAgJhX9YfLTymXvfK0PrMstIpwWEzP1ObbISfsClvHsDmW
dBu+uPAO6r6/NvoCUgZMqgUeQrgKHjTSNTR02e7UsARrXv4ZZ7+rA2kLz0zP1Wr5+6viZvbaWmWW
jo9GgC3GCvuM7hZ3HaTY3DjAXC+PdvbTaophJWnp8W3fjqZig0DCKYyPPtTka0TBJeR6RMaPTgYC
WKaVPoyesN/ZYc/tBBaOokv9ZlsIrN+OamOZtqCxSyUcCsQEU99sGpDEcXP56c69SwoZKmCNIkrJ
k4mbovKGZ9InR5swoNtu9MtuNyZzJWEmVP4729v5wRSrUZvmUg6/fai+GIi78Kb4iJup/YINtHEj
isDBqlV028vPdW5x2JYjuOfTAfDsk6Faa4JjZVh8NSk0GfI0ftZjWE335H1Ap0cgWL3zxc7NE+As
W+FyoIUlTpZjlRUic5HnHru2xqw5LMbh+9Q4wCydhZiYAL96rPfgMXgyX37Wc6+V5YCy3ubqLcRJ
haMbv+JAlBT7IPbkfEal3M65soaNxu3hncHk2dGUSQQ3Ic/M0JPn5ET08wnm1xF6a70uAck/m9LF
48OtrL2BmGrDJtCh+Ham4cnGRBkXyNDR9w0iwVv6hgrHIyLWaG2B9T4nRuVcX34dcvkFp7sUdeYC
wgDwUEK/nWYkrxYpgafpEf08RG3fITvNqOdfCQJ1+GsygbSrrIfeI68S90/ZElHCvc/chaRhXP4t
55Yx12fPZXE54GMnn6YdBiFxMI+PaUGMI4aCAmOSYhBN+Adn3euBTr9KbI5NUhZcZTPRfJtLXFo2
Zi+lvO4KmOfvrK5l9zl9wy5T14W0YCpk9W/fsGgUHE1dgULQFyrWEGUNuEe149L2we8NcI5YT0ja
0UeMiJr15Xd6bnDsg5Yjb7nemstCfLX9OxYICTlT+uDiHQVzOkaffk+6g208Ya07xfuKjmd8h+dq
0n4OXUht+8s/4MwKoLxn/oM9oY6RJ0/flUNYN/yugzJxqMJ1Nu2cK7tV+TMUqtD654/L9k9zn5MO
WOT0Pp32+DsAoXlocbr6CdNLrNdkhcPITsH4jzZu3uBwkwdD/cGoYev9wflnutQYFBp0aAHI375u
c0RAmFS2d5Cw7PWCWLO1AuBX3sMkyazxbVjMj4qUv/yds+ncVoMbjWk7LiwemlwnC3lhh1UxnY+D
0zv02frOlGwxwezdlxkk4x2YcZA/oh6Cc6i9wThQPSOZEATnbQ3fw7Tbavth/BDg2EPSSDl11t00
omU4Xp4Q53+oXnZf1jm73cmUtGgVojE1/YOH41KxB6Ejm1qofrrHz0NgbzLRFJO9poOm23Hurn2x
UD/CKBrpnJe98vdBxXFFiLWXuHtmg97LVMTv1G/nJi5okMfpa7J61cn7rBEmDn4p9GEwUG2SdN99
iIig+IGBSjf/87LJpBTmi/y1B59iawmOmIEgSftg9Vgg0wab6RmW1SBvjT4PKpxFmyG012UnvejT
5c+xPMbJ7rSsTsXKtGwuwiePSVjDaFKBeAf47LgqdC15E0MqufHbORyYT02tit+o/dNvTSnTxxHf
8fjq8k84UwwADineNeIaDA1OtmMi6RUCcd87wG6jR4tnDNrisrC/dP6MLMbsY/0N3+5EXV8e90zZ
Q1WMpZWyLBbNabFKcnaHxE/6B7QxA1wTztx8sZDD+zqYk2iPWXCUv/Osy3Z3+rpxGpaSo0DTeTgp
tWY7we2l9P1Dgq1ydFP29NjipDA9Ev+Qw6Jq7Gr6S2iocWAL+6+Xn/jcnCZOjyaAB0ot1cnoeKPl
Eo2YcYgzw5w2KOxSCLWmrqz4qrfbenrn6JPLf/DkcbHx4S07lsOGqE/W+tAzewhb94GKG9nAJNDu
9ewnhXwO4lE89lUxPcXttNj1RxWsutGMr7SRY3+YESbMq8kLsTW0L94Bs8+VPVQ8QMxCWtbfD2WS
SgidKi3joPDceA7qub9LeDe0VrFvjDd902dY9LUOhoR5isiUtrd3n4b4N2FttLyuyx/mzFTkIBbu
cnmRoDMn54bvAlORRGkcUp+WAZdCFdu/5jSCKwcqVW8o3Efznel/ZipyC5cWHjO0oJCHvj2rMtcR
JDAG3qGrXOumIDaeaFtCrvXGc6oEmhpRV80e8CPwIX5Gqf98+ZnPlHs8LjgqyLeQtr1M1leliUxJ
roOQ4R6MIclII/VKNMdTD1/q8jjn3i1dC4VVFX1xyzzZXiTMvQpphHdIowzeVD5J8cENe3I5GqxR
sf4v+v7h8pBndjSLPQX0hnHBvk8ebZS9V4QkGhzgUjW38WAN4b6NzAQ6HIGDa8hTtJiLYGDXuTzw
2Wf9q3eCsp/dZfnmr96p6qCweMPgHRpMpm+y0q+gRZk4FrvCdb/0MsB64A9GBHpnO7OkdPTJLOpp
X094WvgHvI+9GyMyg6/IaFHQANriRUzoqdxdHvHMJsZJxRV86XtxaJx8z7orIO36rXdI2Ex3AabT
t4kZfU7qsftyeaRzM5RKkp2LJWmqvyqZV2+T/nzVUsHpw1Tb0QYlErkixjDN5h98NWSqcHwFncq/
7ZLYeIKzZ4Y+2FXT7kVrV+EabYHzaBn4tO7ywpDfLj/ZuXfIgoAU8VdT9vTIdUbZRagHmCeLMx5i
H3qIawOaFQq2nkCpf45lWEp6vEbwxQWJejstxzCMYsK1AX8gtUGmLGaYROGAwYnQSFIuP9u5r8aJ
7sDHoMqkoHg7WIxdMz7YkXfQTMatokmzkI8wo/yDr/Z6HPPtOFZfjVbaz94BN6fhMfWIvNsVFgIU
LHoW/wRtttnPy4925rMt3RbtKd6jpGZ7O6ScdE/siKUPhmm+2H7iHWZrPtRJ5TxcHugceMlI2uUW
ysmNQ/7bkbJ8xMYDm+6Dp4mSzNpa3JH+FLj4+tb5HnMU4l6Vh9C2MCJ9UAO8erMp01+Xf8aZ7cwG
DaBaURSh7ilY03KVI+tpZN602NFbsSO/DKQ5rhkv+yjJP33nsc+8Xy7JAKUgNQI138lmVhCLGnW+
Zxxw1KcAn3XwkPihxM7G9Lp/Pk2XulMpLuDk8omTsbyk8rPctP2DMec4qRP/NZGYGy2I6T9+iYo4
OgnQRsEJDvH2U2LiR/hYLI2DrRvYtzjKw+msM2U0V8Tq5c0XGUO/fudacaa4YMtYlrsFW4DW3ttB
Efv4Qd3OAQ0hAqqewjzQW2mOZJWoAcf6DbElZnhXhkFEPvVYvTdxztV3jO/C+qApDBX4ZP6SuOnU
1egHRwQvst+ZTCQPbUC/RBHA9XuQKjCvgSUiuJg5YUDJmOZfEUFjK40snIiHf/4N+Ck0jj0KRWGf
LFwHdoiZu0ZwRHaCYlDiH0tTNcd9IoE7H6tZfr48oHlm6cB/galMNcAxaS9/f3V2QX8rcZNy+QDa
wAkYXEQdMy5B1dU0yNDFdJBIyeAeCqdFlnhZxvaxT/t+JjaNhKWdwHszvgrIUsGRQM8y+ojDKSa0
A92weuc5NuZNMrMDnP1nTv/hMHKC3sW6MeQn3SxyK04WkUDdTAdoqX5pu9sSSkfwAUOwtv5++WnP
zTagLAFygNMFJ/Xbhw2wv2oGuzMOxJL7bgIjs/LGT5mc8s9jn7sPmXSz6zF13A89QUnby4Of2zS4
3uBziK8fE+5kqlUNbPPIi4MjNvDNsx9h3kOkW96sElDOd8Za/lsn9ymYTC6lnQvCxeXl7YNiAoGK
X03+ARMJrog4Lfg1VhQ4F2HAPNyRVojMXSEPbjAHH8Swwg7ejt+ZzGeqWzq87FrsXiZw/AlOa5lN
V0/tcqnDpIwEV6Kugic/D8UjG3k6bDpE6XdTq8bs9z9/05zpSwOGFwCc+PbpAzdDneO2/sHH5W3r
NAhoiXVFiyZCNe8vj3XuBFSuBxcJ4B7e8SkwUlUKejGqGWr4cMaqocz8D8KAPInhTjzey4IkqJ3W
rYnHmEISRUghvGVUkvVYvgNFnbtGKw1CQsuJ5uzfSFE5QamSpC7u7Y6OPnTEs92bpefs9SRJJvSN
/MkloIFIDQdnl0xZz05KJGlTGzNLD2+tVTQGhffOuXJuGvAxHFAD+psUkm+/RucBGHS99g+lmWGQ
7UB4FlcFse1iRaxCKVcCH0Q8dVz3D+aftj0FIE8Na5+SNwLXq2RJ4PIhSjXyPbcZu08iXDLaAuD7
9WzAttqSPE2M8+U5cW5P1TDgFImyCu7IyUkahoMK8Af0DlaCs6PGlmglujT6lMfyGnv14Z3PfnY4
HEepwxb7ntPrh5gLVM5tyHT36uyLMwKArsrYMNeji4PJDSdf1H+8/ITn9hc2UCpnmrgQt06WNi4L
Q+nFHd+0J7p5FfkOKak4QyQfS1pxKOoqO0MMlnTpl9pu8p0dtvrp8k84t53ytPjmUqvg3L2U968O
rgJBVlOPjneIiHy46imSWqxM3Z9dHPbFOyX8uXNjOS4oEMAH1CnsEiUg6c7I4yp8Ua6Q8aHL4RAc
f2YCGosk99p4cOYWT2pdwvL8gy3GAfRRDhgBHGTn5AYxGQUe5x0nx1CD7oRE4j46gWPHW5vEQXvr
JANrp53842TpXRBCgt+pAm7n9T9+4wCScD5AJR0OsZOF3EgICjWu5Id2kYaNZulWezW0L71RVdE7
b/zM1+XWKYCcwB+Bf06+bpbMWGMRG3Ccszq6TvDCwXGSqM2dUvZQvbNDnVlAS5eByoOuG2jr8vdX
U6nrxUisTRQde6T3DwsFbTX5WXrXo4wj2Kt4r49+ZvX81UiFbYG65m+MD/RwMXrMKjp2VmIhdI6j
EUfquq3TD04w/eWmNznfRTbbN6gAwvB2FB2Btv/8ay5gzIJZ4BH/NzYkueEJGRzwBoyltQ75rfg8
QPg82o2w3tmh/upnndQjzuvBTqZO2yMN6kYzOuKq5/2I4CSLfRbLbl9P2OZTauP+sKKUwEBEcQd/
aose5/jViLgLpQW6HNBnSzkv2ihmc41Ed6rfmQPnJhz9m+WYgrThOdbbOWAlNrT+kF84CXvEZqkO
tb3PrBbfcEBwXJQuv/2zUw6uu2AHpQ1pnQxHPp6CaOcxXI00epeaxE/tRiypcY2E6BN+sJ3u++Uh
z38Ez8Gc26WBQsn/9hH9MAwCWCjBMTc9mFUr1GLOI6E4E74C2FMXV73Axue6xWboQ555DtE4npu4
4arDvPVaULsAa1UJZCRyq8qfurMH+Q7P+dxXAItZDk5AO4DCtz8x5/mJXoWrHmK8EGPJZZPmQOrA
lVFjzvPONzg72NL/hdm5MJFO3geWz27WOEZ0lORzBp+a2Wjb3UzcabufsXT7ffn1LzvW6RJYGgjW
UglDMTspCqpeTS5BA/Exq/Iw3agGvuIjbnHzu8eFeW4kJjFUEiXhzZyMBCtdYauS4fRZGXhwJkDd
L5g2oB8zCT6u1jCecH0wIc0CNsfjtW/F5RY+a0Ego6quMJTvd5ef/dxsV5CuOTlBi7huv/2saVt2
oTWI+Ki/xVHd36jcqD5KP4x8AiLs5r39/FxNzlkJie0/46kTeLuxm8DCpyI62nYs+2vytrps11kj
qm/hhLcVKIt/T75FsHaclnwgbkAo0bOwKsI/2GUduKfA/DDd+P5vn3w5S6igMCgz86yaVsTYxps5
762figbq+p+/ZQ5N2wE6FdSCJ/N5bgdvRigaI91R2P83o5uRE9lB61uJviKwgNJMvFObnKmMAFA5
RSxAo2Vreft8IyFcpiyy6Jhxt83vPH9M2r3E8vAOn9Qg2UXVEEz7rsT0kriUMcd7/vJDnztLWcCg
j3SFPcK73/6AEgdgSgJqI6NpF7Qi60vskWjwrFvLQCoqQn72dgR0/EIQS7Ryjdz+AwouejSeHhwU
ENRaNppX9YNhOJ0vWN1HqzD656GcCGlOPc6prM+Olx/33J4FBEO9qShF5Wkvuqa6h0nYhMcQP7D4
xsGGb0uGhLXL8qITV5cHO4eOQY7hHoMCDTThr3X26sGGseyQXwEJktJAkkKdyZca3MHay6zg1Mgt
Md+EbYqxAkYrkfe9o3rBBzr2Wv5Jw0O8U0ec20eY3xaiYDh5ZIm8fdGR1eVu4U8Bdn+GexPMVEld
ZbvRtpww/9jQh8nuL7+CZf6e7trANawmKl+GPpleamzsOLY4MzO/xa3Y9M3evsFR0ym2paGCdWXo
Hm8EHEaDd3aO8yPTHPzPyH8Bd6/evfATQVCopgLWurO2dHZV/4iQ2YPCPhruXeZlELU8CqJ8+wfP
rF1F2Q1HCmbL27dsk/picLgExwkh0wOMQ/9GN7hvvvT8adXD+9E37iyqX/982L84nkuBYrruyceV
MBcBItsQdq5sdz1uYKuIbfwqxAXjuS+HscVYIU7mP3haTYuQ9YQqzzy92+F1q7oxAHItcP5/8kmw
eWpI2LupBL5ouyQj/2gVpAZ5eZcf9xxYw2bBKb9s2dCclqX+6gPjZqQ4fSPj0GHTNd1qjMevMXnA
2iYQrUtaI2L4VEe1ewvFlghj190YFZNhLetuxiBAlOaXFmp18Ac1GJ0cWuHMe5Mb59vfZeFitPDD
gmM7hijpyI4YvmFB2P7USet/vfwSzi1o4EHLhc2zbDInYzlYuDCL7eAYpJjFrYveHftNVaMecnvZ
bVIMl/7kc9vMa1ADRNjOUqa9euuAXuiWRBodlwycx3EmflZH5fjbzJL+/3D2Zrtx41y49hUJ0Dyc
SjW4XI6TOE5c9olgp7/WLFEDNV39fhT8/94pueCCu9GNHAQNFilycXGtd0DEl6rCRlWu9hovztOk
Igu4cgnfq72NrkKCZnUcn9I5mU/0c6T6bfBqY34IgTU1GxNJ2Wsd92X/rEMX2S31IAoXXI2rtUVw
CAFhq09OSIy0z03aLmqTsysCxyhceeUavhSteDkzlEnmyWVxvqyVXpRJA3UQCm3cou2Bfcp3Xg34
PFSj0eS73MmQ/2iSCimrz2+hBQpMJYhSAaXP85GNOe14sHH5xsj9vPZZ7N6hT9Ujpq7HL/VEE+FK
mnVpXSn2ciMuOFU+5/mAoZLriCkY8QlzBHDXOt4z6m3WWqLbIhuTJlcgSBcyLBqa6OfzSKR7sO5Q
oSAmFoEens4809u7FpsqQTCIJuTOirmd7qXMMAhx8kXrKMEOVew+XuAL83WAHC4EQ9pStMTP52sg
1lzNWGedUCDTN0IXvB06y/1nAuX44+OhLhwT3kZsoQXVDRtmdfNgWYT2kVmkp9EscYidZ1MTtwq1
IKwF3RH45+CVU31lA13YulQWbG8hUVKeXp9NW2IkUrZmwnOp1zae18QeEoma8y96b9axifJ8H2rg
XK9soyXQrI4nTyHL5QHAP9Ruz5fVQXanV7BefQJYuziRqUkvvheyhkv18aJenB/HnxnyHoIoej7Q
ZIe6HTUjWGcTg/cgzx18JzLKyeHGRec6/95Wht0G9OtB93889KXvyblcqE2UHDR3FWzNWMfgZcqB
WERDdYcImLnrU9Eh7G/qm05TpitR6NKaAh9ZWDc8Njk051OFp1Xn2GQBNOiR+D1oVgZI1hH5cAWn
cqmUgkACAAtaTAbP2tWzDu2vUvHQwnsCjzgcUuTRkc9ThsPkTEqAAE/2qBfIIe2jpkLAeFD+odSD
2ExkdzZ6eZaNqtfsdDUerkZ/ZV9dihfwHA1wECTY75oPdTGjLy9b9wm0kKfe1hiERje60w3yMcWZ
QfFrxZQPACmMem/SnYoOn//mZA1U4yBa8efqmzt9byG7B1oWkxe8X+J22kxA9nbTaFsBJiv/gRjs
AP8BFUnk0On3nH9z3iSxgb1Y+NTCLn9ThaFXGHHZWDFsEjEriW93VI+P44wn9vePp3ppu4FZ4Fpf
bh5gg+dDh8hF06EolKfQAZEVGEote+Tunfb3fxiHOw7i2oICWcNxQyyLCpRA6SfNyXiTicbJA5MC
3TUEyKVIT58X0QbqVI62LhBWCPqisQEcEf3BLkAOqziC2sWkVlbJz4+ndHkoCpGkmbwv1z2rsugU
hJcZylCy7KYv1LcsbIafouUu/Q8jgWsABkU6Sxnm/CPp6FXhtJuET0USd5usrPCnFb16xx4Or1zV
lyZFxY1KxPKp3gkZ1JnVzwXt5ictQRt8KtoCa/cEy1o/Et5w5a68FNbJQkCr8jKFHrv8mL8SWfSp
WwMdYuXJjiMcphJ1wPPdEf2MEQLe5wePtuN86xlzdeXTLQdqfXF5Szz3VNJnc11xMXLqsRaA4BNP
k+aV8yF+5I76JqTu3WlpHCLQbi/a+Imo77qsa66kIxfm7arkI4h+UAl4129XQviwXdTzPCm88ofS
FuMUTL0njrrV5y927SU/Gg/5xyth9cJVxmONi2XpYnOVrgoBGfKEU+Rm8Sl33PJ5uaeBXrZoMdtK
Zj6QNaRXgsvFAdmySwjnRbzetx1a5b2wUvJarHJ+oYEdfhvb6IdWyEzjIsmjKxN8H8zAQVGkXJDu
jLiGedeLsG6FMNbThKDaA6qL3FckYcbrx8fx3eeDOsKXAw9CfZZ26jLtv7atkapFqeBYe2oRK/vh
lZrb+f3oiNh3JqNDcM5wE1QyrU9rZazGXaUGqHSko4aXxAl+N5dC6FjfkTGs9vjeD1gsJSpC71P4
2btwGZT6jaZ5hAMQ9OeTzUc2Zoytyanna254+pmbrEFqF0cr/QGRy+qzsY7xeF7SJIYvu8Tw8/E0
OJBUSpGnsOGw9/AkhKH62L8K5WsC4Cj/7FFchlvqgpTGXG7eVQqLWUalO0NWI5zuIkcTD9UGp5/y
JmusZl8J0w4w8HWunIv3G4jjz+ud+AzmE6TQ+RynsRKFaY3VaSmfHEbdO2ZhgvKwPVDtLuqUymM8
NFdgiu8iu8GgvKJtnn1EW2u1a4ewamKUW6uThomTs4mpUD3kU6pOm7q7+gq6OBigXT4lTA+a7ecz
zIQ1ofaRi1NNvvNLVpX47gg6/Mh+q+NnM+ZlYn+NtcrW+sRtBn0qxSmfsHHZol2ODC9gQ7RKPz73
78LZMtACYCBRW/qsq1ekPouUttSAcooQ7vchQ40V9+ksCJ1IRwTUlVdS9EvbBBa6S02PxwAg6PNF
HLkNGiCL5amDcn3o2BwHpN+nwcdf1Do6Vat8r5Nu+/Ek3+XeTPLvQVfbRLMSjDSNtDoVTTXfsTMU
DF+TEdtuF7uXX7LOo7cYm0y/x67pSmC9tGuQHALbCMjQsJ3VAmML447oNVSACsoWPFfu9puxR0F7
Q2t7fPp4ou8ui2WipNto8S1KGWtNsdDNHRDsXXVClr/+nmHVjBp6VZbXiuAXFxQGPkx8BxbW+rDr
iuEocyvL0zzRnvQKrKUib/5fo4ZvY+WoExqtVkxbTZT5ldD9Lsv5M8P/f2T6aef7p557PcJerzyh
Lu/+Ei7FM3sG8KrLCCsN2XuPsyFGLOyw5AoXsLTy+PESXzowmsMCgxTV0ARYxTlTIr8ucEM8AYo4
6row73Wsp7E8wMSwH/Xy5ePhLpwXcDZIORJTaSCuy0zCI2hz9lE6qsyOasRYYJTpUpQkeGSPyIS6
dwOmDLuPR70wSXh1vAAYG/rsumyYoWZSetItT8D1nWOiVuEecl15C+kRy8MMSZD6s2kO8CUuYtDV
oC4c7pDVdxVD0y6Z46kUXbYd40avbxq0b7tPX8Xn46ziT4VGy4iwa3lChDrElgee+b6Xve7gKU3x
4+NlvLBZeWzz3fgYIIvXuaIsEhKCpCpOrSFqDU63Jw+abNrfC5L6VGcp1GRsA3iM+c3i9PKQYiHp
7T/+ERe/pQUNiuyD23ldiG1krSUUf/mWCKtTWsrmfdSF7g0JybyfO3DzH493IeCBQ3M1EHmM+S7Z
kZoC27k3ypPIsAJROqKc39J2vZlnryyvbJuLkwNTjKKhCoFtncnpVo2tahhVBKJEYj5VzQ/01NVD
08baPe6X0ZXjeHFyvLAWPBonZC0KpDkRXrMzk6uyvrkbpam0vpBDXG6UZPSMK8fw0uFHe5LyII0f
msrL7P9Kym2hO03eJtWJ04EzbooDyxw66nfNlfIbl/q8DY3W+ffz3w/VP9AwaHlQvFllj5Gtlhku
7ZwQU3O/eEKD5oVy/kvpFNcUQy59PTgVcOfpMakEmvP5aRXC1MOEw0/XoW9+VxhpotxWuHlNX8iR
x/BFlQq9xSt75uKqwloF30Uxkv/OR0X6n3I17J1TKlT1ESSZa+w7dczetFp3H+sw+1KpMRLRHy/r
hStTQ42XOP6ntrIu9zqdCWTSaIuTGrbJTw83Ur+TunA37pBoOJKWlhf78eTq1U2MgXV8Jc+7OGnY
YMgELMJOa6wqvZ4q1BREu/IcHfQwDGO/9+rQ9ZWu0bYynhG7znvUrT+e9aUvbEGc+UOLJPaswjrC
BV2Muy7BYGgKEE3uHHBHipu0XgTWwcv8h2kuxArgXIQ73rHn3xZGm1HiTYhYn6bnz9hW1JsGfvK3
We36g9WBKA0yPRJXYNeXvi17eFF/oE9BV+Z8VFyWQgOkKlJheoiu9YQuEGlQ9KSpmCqOg1S20jC7
31kXZz8+Xt9Ln5U02qVaZ/OHutrLeMPgE9kiUlb3nfMFyXJ83TAhKHwhxLTRm0JsPEtc00a7cK8R
XRY0AKPStNXO59v0KgIeScR8SfZuLMMeHgZcejflBKNyk7QCI5YMl2RcvbzQeoib3nn7eN7Lvjkr
di3qsoACgGqyoen4nf+COes1Naz5BaU+u+lt0hfxV/on7rj7eJwL8Z5xlncKXQvtHdJGT2OzqR2k
hmoMSjBDyycpD83cZBWObfgS3PyH4WAwUk5e5A3WgDxqMDrleDs9IXvBTqrgb+l3dmiGM1yzKkfQ
7/NRiX37/wZcBft5mG3ey6h3SyIthj+OMvpS8don0fAIxMoNu7cxKd+yepivQHguhAaGBkhDG3Wh
A62OqtNUepY56CoZEXZBvi0xl9/h2iF/1d7g/ZOhMH9l01w4LIy4gKpR0gMyvxoRlfKxMzEyPTV1
E39VjdgBpDXifopPU/MvbvUeRl42/jYff9RLp+XvYVdrLHv8/TRTyU5e1LxWonKOpdlleMlUff0q
wuYIkOgrvmLyFq/Uqt5+PPrFZaYcDawCITMSpfOT0pYT4KiOLzz3IjqBPTzWRTS9dqo57c3OGT6f
X/NcALbDE41/1zsYye5MSYcsP9mye2ubCm8oI9JOSq9Z16SmL0RdYH0U9BEbQ5pr/UjRpAxLT43R
gM/V27AWxa3RhKP0WyWS+6RLOoyB43BxKP48HnoJP38NvfqkWAFmCfrL+UlrUmg1Tu05W08xraeO
NPDKil7atdyTIMOBcRDxVlcoeHR6/5mZnqpC9piizHrX3+p13mPppzjeJlN0DMz6Gs+nm4+3zqXg
R6GLNh58CHCkq61TysjrcgXUN+jW6Tha0NFciAG/TdnKK3nCxaHIAXkF/oF8rYYKUQWXWqykJyDI
zcGt5/bQVzA/c9TEH/7DrGijMiVoWdxg5wdCqSYrm/DmPGGKm+5dzAH9MZPmfeJwkfyHofBSXjQS
KeKvyQvOzMbVFm+EZq4xS+yzydzZsYkzVJw71Xglzlw6D4i+/N/RVhulm7IR+UekEXUM6nBsE0C7
vmjhYAZJjkdAjetR6CMh7OyF1ZZXUqD32G6OBOBAhERQN2C/rJZ1BnypRj2jF5KEEDP0IUfFU9cH
9BSgiTlgrEf9jjKc9aPAxRuLDlD+tzlu39c4HJf2EsJkhDyYWbxhVrmBXssJU8a0OBVDO+z6OHOO
NOabrW3hCu1//guDZ0ciBvYyJ2UVCDCUhm2lKTlXCpYPSSFTLRBJC6i67mg9fzzYpTUGh2MuWpTo
fdLAON+6udUKZSqr9ETftJvA+WrZsJ3UWW77vMGI17A1OQQt/q/TrYbT2r2HuZrYgPqqv3/8Uy4E
Jd6HxF4MMHBNWAMEIy+NxzZHXC6pcueuTAbDCxxl8K3wd1hkyzcv9Gv7+8JNRvMb+0C0YxYs22qt
6YTZ+M8C8KrBnL5ZQPO0nYNXrvM8pE2NMEDiltnnb0+6fCBkUKpeMvxVytDpFaqr85icXFmmt+E8
VvhMe8N4A81UvY96Vfm0FDcIn+VpajHcopKzioRIOqiYeIYI/k6K40Madg8YcebfoK66gZ1Gw7UB
L6TSYGb4kKQISGesm1PG0FWq0zNgqqV2IDt9rLaZNmjqlaW8tGVQpuYBzKObC221eVstssdIc1nK
Xsm+62mL93dRmUN0HGhxRvtauNQWQzQmxs+OzImhNbXg1ygTgWo4PzZJAlpC16D4lIPHw7qnbh4j
32SIHCBvFqFHAo62CSyvdP755DFZ9g3XGk80xB0RdDgfGfEhFalhT54ijfZ44GCPJelM2zGU7sQe
jUAr52439dq1UPEuBjLwUjUClAJEkerK+cBp6bpJNRYDgvhd86Wq+ttIokOMFXwxfLYktiSViyIv
TQ6NZuNqw+LyhNW0FzunzGynJ/wix4cEU6nA6yfns9F2GYqWMBEHgAOn5HxWdTNYY6+lzknS+hy2
lQIeYGvE1ngsSmzgPv5278LNMi2qYGTN4G7ATZ0PJlKDjCo182cXlvo2aqP5X3Owp6e4Vaufyz67
ls++OyDL5HSKalT7oTquJdxnYeRt02Xl8xBbxdZs2ibGOcsrjrkn5hdEyMYDUpvef5gm73hgabgo
QYlafb4w7OxyhKD+XHuNvSlLVVF9uCcgHz27uMEFt9P+04gWdil8JYROVy0cwUlMaYbnz4WYB3+E
4/ulcGT0JcbkcCcqd7gy3ru8iHUlb3YXxY1FQnc1w8mwxaCMbvE8wgfaTjJRtp1qjT/ptsgd1q1x
7RfZmPJw8MJPWhhxYfCKh2ELHpm4/u7JWZRpjHXylP4QWoMN5hx018yL1mQgUhxyLkoUXIsQC0l6
zvcpciKKtFtDe9XGetpVjeieKfVBDZhVCMpG/CzGVtllsAR+Undo71LZfgcO1T1+fFz+SAL9VZLh
dwD3+6NHuAAcibfnv6OsOpAi6ly/WHpuK8I3lHzsj3gsS7TWpYfQlF/BKUi2aGGo8CSyNDJa38Gm
fvg65+Zs3kTSreTvrkOTY1N0nvvLwTnvzckAdsFvwRYc+f2kAsgAttXr75vBbv8HVtd6wsBYbX3N
LPp7Q9gy+X1laktcOZ8a1mYgYyDTLaFuHXc6uxtEEmrJyzgAd74H6dC9YGyLTTRpL9j6yVGjbYZK
tHWTGLVpbGt7VHNjWyZlPh8nVWjaNydR4tyfY2eIN1OZRhNMz2QWe2WqsvBeA1JdHdKIogeGlWjs
HEShF9r3LOMvHbs3rCvIiVV0464HOMGBX4jmi2LlUrT4q7UwA+gLHaeeXoEaVw+69BLpexrWCp3u
RTu77K9QxCCvrhcR4VKAE0D9KJCSPK7jaTKUSg4T78XKE2HtlXbiIeYDjK/t27kYnWhb90hdBw6w
GO1LIyGOeWgcTVsrrLQSG23HLHZNGrkvahwr2ib0piL1gX/1blAntohxqo+b8qHA/jLzh2qOvloS
7sed5XYG9vGdN5T72K218qk1wzA6NqgazfXXeexE3X3BFrbYmwY9loc5RVTyJqsk5pDYEigCh1+z
Gfs93ZjmVk3LosXyd9SSb7MWDV9Ku9FdCIwyfbPbGNPDymzmR7NEg2fTKj1nMnfyepdO09jf4MqZ
hfsq7fU2GPOowj4ur9N0J4U3ytvRnRsqcIMxhfZ91Rf574yyWO87etjUW8fASfB1MicE5dssd9Ig
LzIr8ke0OM10Z+dDmPyAB5I/exNLdixplDtBbRV5+kXU6HVLigUmrXm/s2pLORp16Lw4pEfx1qi9
/GvdzLJDYgEb8r2FhFq0bb0pNw8jzq9i0+ngJrdz3wxii+Ns3vldPnoPyKvqwlcHq/X2IPWy0J8s
qOrBGLUGRsLCmLodnB6ZHBqFOg3KBrPy0HKZhTcVygOFD/xqjB+9ehDuttTs2N20EnTrXamqIkdy
2y68fouyh5oEYHFH59iblebQPEBdLqjrMIUeNI3uL4MyqX10Jt2rH3k9mfLeqqzSBAMwZ7e6REfg
h4g5s3dN2Yz3qtVI6edWnHho1c5NdKh7ffS4AJva2ppGpRV7RXpO+kXN9My+F0lng+5FWn++aRM3
9fzOjUGxF3MJQd8clWMiacgFvZoO5UuEMpoMRq75N9dunSmo7Up8I3wuq5aa0Yi5tx5PRwNtifze
qYb5n2juYrSyu8oRmAsjo4L4Q642oaP7ok8GN+DOsqd9hHlMcT8PqqLlvpERXMVGKZAQ+GKSmISP
WN1o8lDXkad9MdVGKQ8hvtRjFRiyLotHvOyVaDeifRi/ar1dl19b1cm7atN2eahvh1AXaFE5RaKm
v0IllrHuD1rrVHpQDElh/VCBHtrHogJidXDqKqpoGvF6CDh6sntUXUUvo50+G4bApz5RnN4fCtsM
b4fBHnEraZIoa2B397mbdj52Isg8NqGexRvdnkIq6xgrncQUR+rPOGrUh5nmYOQ3xIX0kBCatR2S
//r/QjzDjqaGUsAGtji+o3rfqMbjHCvT8KoZwgCO0qsy/TmI3ro3FSOu7yzJ3eQToRBOdt0If9U6
HLwxiCy9aza9ZwPOGfSqUB/wLU7/J4G6WveqyrtoorJn+6OSFnOAW6u1n5F51ny1cew3ey6Npxo5
DI3tHeOcbU8zzsOhMIYcEqjTtn6FylEU6HWEOWnttFWL4paLtIRZiBHA0ZxoyObO8reLMXYRtJlS
fGsBLrp+bFfueFPSbJn8vo1CrHmdsipuayyp2p0ad/FhNnJD2zQdTua+N3VThxKekkp1S1JVFRsU
at2vvTIrtd+adqltzNCq4r1hprqJ1bGFC/GugTGaHXqYSy1YBEwcrWeESYrfYW9yrnOZt/EGUdre
/Aofr5O3eYMe7R2K9Glf7FJ1Nu3bpAnjJytPp3aTz4YVI9av4xnu1JH1CA09HTbKPDmYxKL72FeR
X7u8owMd3eyvkZmF3Sn3QC4FtIn0FIdAdZldJXplQ29fFzuyAES6hCREfa96vb9Rh1Ln0dbAJQmK
MS7mYzvkofwK/xrBhByG7qmhefQv15sZ/YzKadqNGupWvzvHjvTAamegXij95+3eEnP5TfUyzwoq
u0mtrTGaUuwmWk59IOzaHHcKzU0Q3BlOmP6UgXy8yemSxJsyNJ0n3FmT6Th0C9vYzS1THmTnLTao
VVL5w9x15V2TgfnaCjsZ7UOpDexnWNq67dNHrJoHMykTsQfL1NvbUC3BpLfCUbS7vkdvSNu0SFZp
b1OBTNW9Cs0UKr01prl+Fy2FVNAAEesJC3yUQchrRjzJdBBVsoenjkfzJhfxXAQfZ0OrdgaNv8UP
CTgLNS+qUWuxe5rnofSmbH5NI6vtb6qoyx9rVKbl19AIOeMu1wiu1kxx3FVdZwi/KKX7SZmc5VdQ
4SNvoVqCVMua7YfXgYY5ta29hkaOlzFB/6R1XlZCMbkmRvkuVWIo3u5UwGFr8qI2z1MlyAtpHHVC
fyUqlqd26qKjEyfNSyfmqd8LzcmuGZysXixMzqZGCiQYIUbe8euyQYZUVkZiG795uRlbvuKI4V7r
C+2uU5BJiwSOAk4lcFAYO01c+byrysHS16W6SLHiz5vQWgPsSmugM9Qo6VvXibEOsslOngtKUht7
zPNrb4Zl6c4Saxeg8J+eHEAh2Narkl7bRK5Ffyp9jeJOeUjhRHVfuDuqaqPBZ3A3VkQhd19aveV9
LQro39ta7ep+20QzSVlmpDAL4JTVhxBQ/qMJGrinzNt5/b/hELuVuYGqL5NfgxKr6g6eSaEeEq9p
/6lL286Jm25RHWdAjv0NuV5pXMG6vts4kPWRGOFpxmHksbuqO/XpaLdISlmvM9lys9zmWvQt0+Pm
OCh9w6atZdVcqXW9+3yMudDXF+bkIjy3eoU1snQnnYLv63JrSR9+xJDcSoXSiV95kbymgmutn0Ys
DqWRpe4PC5ats5pjNCA3OseJ+jqmOKHthNBK+W1UWpzKLR4yw9ZqtBlWD1/P2pR67r6Azuj1gOYM
bKkJ6Y8x91MYnfmPuEaEz97DJJ2be12UUrvB7Nr2HmbcvQV+5Yu7cukLw4jF/5JJhBbpeQ87YfQr
hD6Sn4KbLNqG6HAU956bF0WgA13MtrrUtWc0JgfNt826Bjsp6KLxyBFpe1sV8Rw/mo2wmm9RqVcS
L3VjlNUGlLcaBQpu3oobINcZpofCBFTqV0moY3gMaVPZOnpmpX3Q2b3m7FADxoE8GM3WQTuHYEGB
fFv0Vr+Yi1ddSRMtTEXfPpgzV9iTF0ZF+ebEjdV+snZFrFqIgjzvVGgx1K5WIQsV4jQZmmF6pl8Q
bZO5xLEoTtx7ZzbesHhUrvS51leCDfuNBzJcLgqpOi2t8wjZNfGoDXGnPisVb4WdPWXRblIy/Zua
W3m0V9253+hubqR+FiPa4bd2lZlXNv76sPEbUOYlRFMCod22VjUdIlWJcq/UnyM7MgLHzbLHcqhi
nwq+ScoBle1KMfJd4eXPiBxs0BPoB1AZOJ91JjRp1WmrPzsmWUXSQd7P4ybZDVUY+spgz3vUObSg
TLpfSqKkR02aUeDW+TVB/QszZ+U59AhWUGjSV/W0wooLDnhuPIddkhxUmFdbs2+m7wCv1KPs5HDz
cQLwxzf+76jNxBcSKxfUoq7KbXE+8WZy5GANtvk8pV77j9Pl9r3Hu8c+QqdxVD+Rqettui6b8z32
XwpP3EZptlLvxbwJB/BpO7AW4ZWCxqp6SrOEH4WmLDwG6rXmmlgQYcEjobqZz8CA4kBHa2nrVrVU
/bkvh5eiQotgNzdGqD5dWY1lederQQcTug235ns50zabwLcRGZ/j2A1/gTFpig3imuKmjjvD28ZV
PM2bLEzj58yrmie6p+kW4q2qffK2WRYA4h9RGKAxRI7lZviromN6SZVaw2g9y7Z3v6WN7gShF9sd
SWDtkHS6VSb3H8/9wprj+EPln4rOQqldBX+6kaoyo1r7LJLk33Qwq6NqVrhPFdCuNpTrul84Eemf
ww0tHxqBEBjFJkrCi4jG+Tx7jZKEWkj7uR8H9cZUY3w5hnkeHyhwm75rZdE1Ms6F8IaI1bKoiD0A
a1mtrEeOnfeitJ7Lpp2bbTk18xG/F2f2keUO78FndVlgpFY/BPCBqkBtjOlKe32dES6TZqoUsGkM
LOKu55OWRt2pecukVdQA9h3gj1ty9CoYeWRt1AzqYZEY5WYarWuOR+/qdsvQ4EZBaIFfxftoCT9/
7StpUGDDvtB9TsYwG76kJTviIc5NCzRIZulyi35Y1txD9TaCyZause15wQ9Bik75fYXkXXwo0kG5
6e1Qzv9iPq/LxFfpOiS7tnW08fdoDp1MccqJtYcZeoUbCMhcd1CDWvHpS4IKJK0q9PTpHgFQP59L
3VQIVFU5yyi4wlNLdqkfj2YOWsLLsnsNRNGVdPr93mFEwG30kVx6EGshfTsyQ62jRv3cD5COZlPp
TqPSTbsuLopbD/uqm9ZQp73gatvnXKRXgsKyNc+DE1+PwOiQpC3nZXVH4UjYmbyN7Wevj+Ved6tu
E8XeiBrtOO8+DgYX7kOCL0cSDVqAkjQ8zhc3ppo6haOwn+2hQdFNot906DxNxn5V22a36V2ZU8WS
2hcM5UvvpuO4bXX6WsDuElFFnw5O/ByuKSDsqrt0089/DqJIZp9Pmv1cT3r/PbbDehuLKd85sdD8
GWbp3snNT8qVEpwYlAWHhoXEO+Jz54OOrgL7UnT2Mymis7crdXhLHQdQSAt/53ON1/9vLDQ8KOAj
nLd+PFEiNtomzexnrdLTXwNqin6J6v+hraryyrd9H36WeSGssdz44MdXMbf2gGUpfPnn3O6xt+IG
9vtIb4Ipqw6JFSlBNKPkqFtRcmX/Xh4YFS6A8/Da1nOMDWpCZm/Zz8rQepsx6csbvClwgSo9xLRl
te2H5jW0tOJKvF0ribC4iOowKA9wckokT88/pNXLxDLjOn8xR5RKHsEXe5pvuJFG61equV9ZdHt2
U2EM5q4uzNrZsLcyDXMcMRRHM9Y6NvwgqCK3vZFuDRxXrpllXjhw9BTJ8BcMLYTmdecvqboqq4rR
eIlF9xKGebaz+jQOjDzXN1mEBSFYTDMw21n4dTTmQTtG3j6ldLf5+OS/DzJYVYHCxKgDwQN7nYB2
idrKOO7dZ8S6YoBH/fitrXvldRos5Vr16X3KAQIStQhe1ibd/TWkDoC5KGxeYM8ZHYhjqBnNIYyt
FNC9qvyatS5DX7O5dqqXU3seRekTgXen9kNvniTgfDOkc+Tks90nL41u0LygCf8s8aloeVSZEv1F
Of7z8YpeGhD9ucUmYSk7rf2dKEsMcWSq6UvfWtMTAN526zW6uofQMJ1kp759PNyf5Hg9QfILqCmL
mxst6/MJwr11hHSc6KVOXGH/qIpMFwH1tFY95rGa+IqgNIrA1j/tGIfHxsBa0Z+cTtsLct5tb7cZ
SMohkfnOGnCiPwmorleW5MKHR8jMI46Tg0C+XGVAkzdORhK27nPYmGJTWSRe6djlVMOy4bdZSNdv
4pQL5uOVubC1EWyFX8bbAsrXmh6ttHk9Y6/NqGi8AFfK9LvZG62TqqTtNbnS97GOvfVHVpJsk+Rk
+S1/JVpKbqV5jG7ai+okaVC3Vb8vmjb3S9L3ox2r8mHSpAiiDFLJZ2fJaBApAJ7hpviOdiAwKWgH
GecvSIo5hg9KqQyGFkcQPyvMa9K7FzYbo4GmA5oJRRk95NU88duS09BmL9hmqnpQdvWIc6GJEO83
JcXYcWt2lTVtohy1r22eDa7zClV7/CrowYa+pYfqvypCiM5xEn09bdGhdNPHrGvZp59cFt5SYKsd
TJAoNL+r3yXYYuJW0sVvycSlE1TYjW7IkqdwizD1NfzEu6+/ZCrIevKE5QULmON8VeasaLB58uK3
Qg+zu97O8r1bFPTJWR6/rxTjZ2Mnd0bbN1eu2HexZikTUUAgP0WeCkbG+cBxOVIpo7D3mnI/vFKi
m499L8bvIq/HV6gh1+w/Lo8HiIs8nOrUu2JR6RiVOWb6a9gW5Y2eY9fVj2W+LRHMq/0IVeYr1alL
A/KCQTue5gxX5WqCTpgPSRKO5itADPd17kf7W5nTHVPxPdwYvXnVyvldTZTwhG0TZ/jPq81Zf0pN
jRtp6cpvt2ikvamGuuPFo8e0wEMvKY9GE+f9W65NjqUcYgjP1QOI6K77URpTHe0SY+7r5qbQxqm9
8q3Jx/maZ5F+4QDDleASdbT3eU2rRmnTocb8G1RAjHiw7rUxmRRY3sQJhrF0rfDOpXazjxQ3n7+a
Dd0g2oItjzsltWLvXkR6sUGEpnQ2o2YVw30nJNIwpWOq7U1TOkN5GJUIoaEcojUCjICirJu5Tczk
psG6s98Nal8opy6UwB8pVBr51pVd/NsgV4ix6enIzodeS8qHLEcGPg5ggJZTurWF0dS1X9I5/kn/
VplOXtw5z4bFw/iLZibmM7l5mv+ezT6S29Qr8zgAsJC/xV3nJL4oHWz3BI6hey+qUdkf+nGKv9V6
Q6miEwb/a2CpPEZQ36MLOhyqyLaSBydN5QNaleF4o5Rh8cMEzzT5yoJj2kypQxtQyUZxnPROf5y9
ttNepmLGcqvKsiL92tMCONpoQib+TEcxXyxB7OJna46qenDHFqybP7fgpjetbaR3HpRX99aMXEP6
TqQ0GKfkTYaDciK87kCnJK7/1xZUjoK21ho6MrNePaTwkU2a9EmW3+EnZKh8Pi/8aTkSf5dWqybb
/z/cfcly40i25a/QavPeM2tkYuKAtvfSLEBSEjVEKCRFRFZuaCAJAY55np61WW/6I3rdq1r0rpe9
yz/pL+njoBBJB5ikJMAq0zLLqqwUoXR3XHe/fodzzx1PbBn0QbnJLYiP0oBLUDVzt2vXLZQ5yad+
9DQJS5PPl6kcBra3nKzByWuiF5Bhzi4KQNp/rjiLl7e2mVn5BXER5b1QQk56lsm68l0UMs0UBMwn
OSBR+ZkHuKMWaTiLAr5h36JutR3WExSDJ27Al1uoiOTSdPL0gsiJcUG9ajUC/g7ku2i5zZPcPuMC
dGaeokgMIFrkURFywTPA6kV/AmoAt8zk3STn3QgEE6grWgBBJ3xGfsn/EgGdg/YTiH76ymWCtvFI
HJx+fjqhAxgeIGUB0xRwg7RQjl1A6RZk7Lqe8ZyAo8/4LM2S2c9cLlQwxNzoE2rOLeumCtfR0jJT
9wtep/KMXd8xuYCzRewAqUh4Xsg2twwSpNsED46LvYF5L1wS9LQxFoFXepIK/pKPHBrKzZBMV4Jz
oMm2wkY0EZFMGNwwuanR3fK9nFmYFEHETzYlKNwvwqoMV4E4Cy4dsI+CITFEB4zTkpZbShFpbLBO
gKYB2U/gb9u9HFPHAN/wtFA2YGybVsAQZY7K0Tf6DAiubU1S1DuQtniFwOcxQUiR3VGe44IKr6yy
QaSIqHIRZ09j33B1gG7GbyRGA/0TCAqoPQnrRaS9oNi5xFJel0TM1xseXaGurLhKrmMS8uDFBT1L
mJ2lUq4N8MOXpZ4QsCQU/+GywIxhJwQltuMQxVeQtB6bn6eZkn1az1CEnPF5sirR+M1Q1wFiBm4U
yCspDDQxCbir0xvZcYnrRaCmC3YUTi6wAewiokwIkNh2lI0bpmK0WE+qmUpg4X0xk6y8zsuZvDQn
lr3NC2Oti2aVf3LGHu+qY5efXZxeS1t/7JeCUDXyQ4gZt4ukHS/liyrJlE2gzNLJSskyL1KzFE1J
VSUHi81CEsIK6Uff+iykpfH59OzdI43tB49KM3tLECDikscp6D43Ye6RxSSelcZcMs936+3eVcwz
g1mFEnTEINrFVqUkFrmSxBC4I9qPsoKanEmVjC/xNOY3E6JUZ9I8x+YDdgX1z2gJBEhuSyf52WxS
Kko52xT5WAKba4F252WZz9EhR/4lCSNy5v05dmVRvAHLGJcW8Hgq5wOnLKNI3sI1lI1jRON7sYiM
v3vmrFhVsuWcKyY79m3IpCPUQIuNYD2yc9kRLMIInY83aFQ/LS79dOLc+BKZVSrncAra9jpj6cub
jwmwAgK8G4RtQGbUEqcsePmMs/z1hlsLqTGPkb0yLngbT/kZFXvkNtC2Bdg0ZCqRqG05fQF6f5To
ULDexHzgz31vrQAVEXDLCRr2XolR6cxDfx09WVYUX57+xCM7SL0MlO+j1ABx6dYOigkIOOUwUjYC
2rgrlxVfWehaJcvVki8AvztjNbTfTNx60FHCgQeJIhi/2lXtEyImnCMY3MaROTmmAdnSUWNxYm7X
AefAikhc1ZCU9c+nP/LI0YGSBwEEImM4pZ24M7qpIMI8hnjXkQGiCT+7gqtYrDg0MliO7fRce5dj
86FWBYUxcOEwJ7VdDq4FkoGRI/Alt6H4iGsOVTmLzEcV1ZKbEetWhhTOpduPbSPlwYIdREtkxNY2
Iu1kKWtQmGwMcG4aC1TVruecOLG8uWda6zOn9Yj2xFzwlHD16/wX+3nOODfjwMzWG08OUhGJZBnw
MqGo+DPa5dhpgd0Bfx/ZexyX1o1XsiiU7Gq63kxdI11VYl4ubccm18hbr2+nYeWsorJan3kkj01K
G5AjqI06PGA22I8r/LWv2HFqbDl4CnPZifIl+kijoYcphFdpkMp3gUisM7ewOyn40hDMFJFABZtG
u94gX2c8WfMTY5sSE+Wx7jjMkCFCUdrFrDDCW0+MlEBFFbi8OH0xujuJeakFhLgWyoDajXkQsY4K
w5ziTtiJFKkhNgImCUJGz6fn6R5PKFBwNEGcwNsgT8sKFV3RJm7sp+a2yKfKrVS6pWrl08mDLHLK
8u1T0SoK4D3gG2DB7FSuQWwLjQcJpsrd25ITrSf0lgS2GVQWb1YrdQNGVL/gzaWwGnYqI4zNGGUd
+CpF8u5cLuZWRSngKmTm7cyM/YvTX3bkkICbA48DdCgls2lpFXkdTN2UoH4n5uPxgkyL5GeFk5yV
q1gEmDlJBAOtf46Yve1mQYjIoIAnHKkLhPna3wh8S+TJnk+2PJ/nl5JorRcSuqSqpLSlj4gwJ6gz
LMSvAHkUS8XmJ2dUzbGDA9OChsJo9Vabi39NwnIaShzZIjqXrfBMWnN56jkP0yojq9Pi7SpteAWI
ZIMaHXcBp5XdzbE/y8bVJHS3ceFI4ZJ3iW/fz0CZL35BhCr5bAQouj5HPHVsUsTCcNHgTMK0ae2p
G9g2IOy+vxVyFPny6GP8GXEh6bYsPPMKJBvFGe12ZD7ECeA4o4EnXLm2oeEpkyoC/MnfStF0rALK
TMAtmsfJIi9z+dlCmPjMi9/dQPoKIiEFjj0ENdvxTACDLM9IC2fLl2J1MfON6ZeMSGgMJGTVG3vH
YPtQZAfKYmQjgNJFtJjdQZgRvpnngb3l1sgUPJV2BPd/raxdbuWjXODp9HnpfBn141D9TomtkP5t
ixIsk0aQSyTZUpqnXxJwH6kCDFQ8vpyUvWMueGZASNBQB4Jh7JcBPRZM+IqkW4n3x0AJgNZqiTcR
BR4xR86lIDp6Bk44YrPUN8KXwU9kJ8tk1CyHa7HYKkUc30prMpmHQT7+VGTWKlOsJRE9+8zd67xD
QMsBDAx8mohroLQRmX4wW3uOYYlb3uZhvqAnXsgvRcQKz/h93T2jRX1oNo5MPaJ0Er0eB4aZYmdx
Bj9N3CbIUaC6Fj1Grs1inSVzh1fOWYFUTozLj/2iWDvUn4J/GTlgdjIhHqPmJVWcnTNOJYAfvfEX
1IVa86pwpgCAEm+OQjZladiitzt9NDvRBtCEgmKBslyDf5YHQomdWiomkptGWfSMkOlEIyA6u4Fn
VT6EFqqNnMjIdwHIA58sWSiu0W1y9lV0y/yMrNutwijeeSqBqxSBdNg1+C+7COJxxdqvxokuScB2
L6uJtY7UMUmNEHGxMgW9CeHBfQSyf/kLJ7smQHGlJFy5+TiyETN2RS2xgX5fObzg8xdnJNQ+cbRE
A88ZiGrhJYPAorU4iYBAJHHGog6yIukhk9eSxgFp9TMi3hE6mAkoZysQPVqG8ERvQsvLpnNlzAm0
ptGnxoScfY0qu/iGKoz0HCNDB0JKFwcAKe2whpMK+DArOSGaOUkmVKLOR4lyR5B5+llAH8hQFeOZ
9ClHjWCuKgloldQc4XpXRXbCNBdZFORXiWyihNaUQ3N8Zj/bTwddFBxhWALwami1NruoaQY7MbMn
gl6VTqGPQ8F/HjuIqsrYtQeQlZ3reXbk/OCCIkZNW2HC+5bbljgKi1xTKKa65Uc8ulHkXgJWxKmb
qKEZG5/8OPD426lZ8qrsWOls4eOpflh7cqaiPtDdeSXsmQtTTFxrcfrwdCWB0C911uEAAdPd9ktm
jg9eiVRY7+x0rHH2ZI10v5flt+spuBtdK9JPT9fWx4j0IreO2nwcNTgk7VjlWkljlEKIhm7gEVAr
Hj1iYi7kbqIgTla55GXXcj4zl6cnbSuvelL07kKEH7hdRH7Z3Ua5nIkaM0zqV4CsJpIpXyLlpaAg
0BfuU/CeXhbgmFnFBip6T898RLrQ0YhrI9BNwcqtbc8rMxyPU87QwVOU/z1IZv7CtIh0I6eFvShm
5tXp6TrSRQUROEehpfHagYOk9aGwlHhCLMvScXFiV5VArLUtpLSMQdHh5iriWmDoHcvZOT+z/RSB
CgRSpQERgAq6AWEBXWtSdI2w9cjB1UHJjb8wlGg9Rq9fvHtvPbGYDKlNVJbDFKPc1exuBtFUzGZe
auuAVpBSDVHTyi0dCdEP4O+5JYg7ouCNlju+D3F8lJ5JwAXBlmjpMBRJWkiUZ64+NgzvKlrPZjeo
Bl6vKgII6+ktPCJKTAUALh4akNi0a+4qFHUHNh+4uumIZOkqAndRmKLooSwRAYIz39U5nvS70HGE
ephojtHmIUEU0hI4tB3TgV4058QupKsUyajLssy4exc9594zH4hqZjAyAcxtd8zhE6CaLIH4OrHG
BhghAj9MVrxYjG+MyPM5NQhk6Qx0snP36SfiNlB1A3xoe+tsEzl5zp66+sSyis9rKwyWkW9N1Ci1
AbjhYzG5DeUxbZMc5OeMpiN7iecFPEg4O9Txo39/YKGVYzgMBko9dTMtfJQzZaF/FYe5RZDpdif3
pw/Okb3EZHBLoMdhy7dLNTxPIq4jxb5eeba09NG9fglIYXGZgZVxnqP07oyuOTofXk6kTimWrC1Y
VxRTM3ALX08ja3KFgISNboGRe4+Hy7uK8cyfSQd0hQl2JQFxXeCjafOhljDDwp0auSvYejXN+YfQ
SMMFAszlPQL557DjXZMTRhRqm+A417xnfEuPCgHwnTCWHN2YhQGa8FSiA86F2eSbEovWZ3SMR82Y
xYdATmXSpwlqDi/irArPpBC7AsYikCDA6wEeEkS22NODqGTJW6WPyzmtrMux7Vugm/Ck3bQI7KtY
8d+K1sFM6NEFOCyCBgg1tePZ4DXOgoSrPD0uZS1Ow+TKkPBwBdV0QeAqXZw+rt3tBDQMmViEJWnr
8jZtFUqEUltac6ku2fL6I+ErENdYClnJUqa/fSYgCWF2ILmP9HbL1iMK2mQmXJTp61wMbitRMZd5
ZpALNJuPLk9P1Xp/AesCpSXQsYAwCKABa7fjKasYVB2cKz4bni+jXjgWl4iqGV8DI56s3NnYWKxN
Pj5XtHJ0Vgopg56TYGDTg3SgZnIANfPETIRnFDzI8jKZheLXRE7SSyB0pK0UiM63FCQrwtuUOf1Y
BEOQ4oEzj+e/7X8iMwtEtJCIz6VYCujC5a2lBwOc3J9NN14LqmVH2ZmXnz6zB07ofkaQ9CH1THVA
Oxw6KdA/RjQ86dkskEUyUr/6KlpT7kyUp3Xv9rPQr4KNgZLeNjzPTRCY9DxBek6A41mBcAUwyZxD
6adve+gyWYroG/o23BqmrKPzeKLgYsLebum2WZEWCufK0nPoo8v2kv6vexmWBCUcJAVIqoLBcfqk
tq7ffkZob9QuIEoI35Y9M0HogSVQdORnQBDJMlasyYqYYCvlMplbnp6qK084W8gDIE2G/yAtx06V
5gqhnblMQ+WNMiqBEKvIYhz7a5CI8y5KJ6R08+YZwawGh1iSAd3Af9kZBWPm52MgZwxVtmLlOp0p
ny14vcrCimQU+sZo4HbmZHavICjHIEc883jwUcPAzliu0YDUlkHdoaYCeNXuUhSigAiEK59jp5gt
0e/M0CSg4Tzt9JfSh4i9EZiPsg7Ch0VpdhtIrNhjc6I4EYhVgfrk74wiNVdgCZupUhgY3wzXFu7B
dYOOJ9NYvpmU/PRc1+nuOQJvJWqd8FKCaAIiYD88EZVskvC+Zaj2WAb4BC0dP0HKKOGW/XMVIp3r
T3lQAXOhcyHs1W72GXh+znHxNDOQbwF/ChDbYPHJAtcI3rqbmAhFNjg/KKPCfaS7faBQp3lYlFHG
Fzixa7eylwp498WFk4DE67MHlThRgahLjOtUBAPHGe1Tg3CZLcXksONo5BB5Cug5dvJ1ODHzoJJw
lNYoXyovKkQRxRvTCYx74kogInNm04QHNhxgw0XJhbxyLaxBTYYqpMqfh5Yx8dTQ88tEFe3chRdY
CLBVLBXECES+913wqs1BtZDIKpCyEzTHBcsH0cZW6nOfJ1Fgetdji8t4FNqjWZ4qTfgSdrFQgCwp
UNeoDSXFXJaM2QZMRd7PpmuCjXFSTSMpXa6raCb5CwSBKtQLRWDr+Pn0ae/cMjw2tDcSrGmEjUGz
zIoGEeVQcgpJMNSJ4sYrL167d5IcunPTDLxf4AgWP8ezWXSuMqDlQiBrBJYM6DDccLjXcCPYabMx
iGbk2BUN1UQJUbzKQ7+M5nkGJr4bJ8imzjVqpfIbMLoF7jJEEuScH9HRoCiBoYzDNDOH2tQ28maC
Mi+U9+SSCSYqUSlVAF8TxLGB5efnvuKlm4lsjM9o7c5HY05QW4KzA5YTDfuyHw2kOIh0MvApqfLY
3/lo5fbJAz85Ere5ci0WhXw5Brr/YlJUkzM34MjXwupGs2o8vbQco6VL4R7ZY8UGl6JaRuRqmhih
fWWIYmU8JESK5VsfVrB7xtbunCzkyBGMogSgKLRC0Qn7tYIhp1aKQKEFBK4sqwmYCJO5EI0FV3Vz
I5hzAafcRQCwrM+omjq+xlx3eDTAQNLKPiBJUPLLzgyyJF9xJQklJgmfJd51AXcyjuZBKgnOtwS1
/kAYy6mQXM3QEZAk8+kM8J3bYkK89G7q5XjCL+BRg+MiAu/jpzStOFMVIhEwdJdz02AxUxL50oSx
ijq+IAZ/NIxsEL6pKOU1pjvTdibpQoZ5zK+mEpxVkC0hZ7e+URLcZlHlvKlA0C+Li6ul7Lo8+Tix
EWRZgJ86ChYOQI5vpPSGdQedhy7w8HrAc4lAPisPG/YzD79H/JYr6WIsflEcU3XLx7cpkvYkLaHb
aZ5IlWCK36RH0GVwalGq5JNy5ky1z3F7kpYTmZjo/j3mDPEbXDdVEuYGdx2R1eyF//fHbfFfEZC8
35+V+Kd/x89bP8CRB0FO68efPgW695hEup7cacG/03/1+6+y/+JPd2Qb+bH/nLR/i/mXMP7L/Ast
0Zgflh7yw+XnVI/KBz1OneT03+5Xig+hA937xEue/M4Qr/ql+kN+d6CRXq/rqQz0//jbFtQtCV2f
QXzvby9/tdr9x99ocuLHzkD1x5wawNHwzekOI3Pi+AeEy1HKBP7s/T9/Gzm+Z7z8PQKEP1DsGTKb
MrKowNvVEx4I8/dk0FnVETmd/p1TX7CXTi0CmproJQNR/AG2/IymnPb/4PYciGCq/EBLi6j1VEuA
ssNivj+TCCh/Sy8RcLLwA2J6qKMDlqP+BwfrQAZIeP2AegKkgCmh12u//hUi+n5T5iZxdvVFInp8
cBvP/kJzhroDHNwTIOIAYmZ+ld6s/eC/3bSfmItWb/HBX1KNdfAj87tx55dfPr5e1stch3/EfCqz
sOZvmj+8InqkRVuzrP+ifPmqj5qL6zvXPG0HF2u/LHodKDpt/9NR1fH9lJwa9RKK13M0mtj+bWAa
rus78J1ekK3fjFPfXspt0HfYRw1qeHQPOUX6CMse3ZEw1XF8m6HpTChGaX58v2S+IOOi70aPiZbo
cTNcPTpFV/f9jjkGiDRn9MHVI7JltrWOYJ6YAYt51dbOtYhsNrrGiIbmERBKhBvwu1+wH//YAf6u
CbsXsHlP9y//2//+ZTlUvihiR067uRKHl+rEpfxj7qSqmREOZCPM+pTjyfhd0b5258ogSpkzR9O+
fUe91CoNxzkiQTNWvV5ae9l36FXUOmXCABdwFUea7jSLq9dKe6ENsNawGaUelFIJ9R302o92LRFQ
eEDfYW/SXCNJM069Whqq7jvsrb7RPFZlwiDqP+4ntyUDio/ru9jPML6jZphaBBRF1XfURy3dkdGH
SNsQVvnSMGTvweHpsKNSRoa+o748SHTNo6VLos67RCO3fSf5psfJSNU8uxmKShyQjObH97+nf9dd
ndGUKFnoP+pHf4RD9y/xqG3DIMfSf/RLdFX0Ro/pZkdiKM4tcxURuh5CLT+l3ma0iun6GZUP3mBk
OGi8rO+eftiko7s0Zk7ky+gDyOg/H5aPy4evy8V/G9HDo0cQWPv8o7cIEH5g3qRoLZqrlc9qmz/O
/gAaEbScr7E/4LZ72JyO7cHaKf4WNtiZ3/kzOBgfntuW6JRmttnT9/LJrzRkPnjQ3dukZeCiRXhn
+984btzSr+ho3G+lyzTyA70Zo35mkOLvXL63LfOjHyXmURO/9lH7iTaFRtKclhwAfugpiEcfNBbH
1ozENe3s3uc4fKI3gV0xmCIRJwdNJiL2SEOi8qnzuL9N5vcwFwy/PQtCssi+gGEYpSFTABppx232
S9Lfom57B2jvyZzynXFmtNZBBBMD4DeokgHaHJD9CXKLA0ykasjPbY+4omAEwGWagXsC34cYPJiK
BpjuTo/R3zcBUTzzZECJ100zkdpD5p0WyHauxzuEeAfS9EjfNMumN4+WVtD/IJmBlDRKjWkksvdu
fXeHRx/1xASas/3gIhkMrCSkCBAqIK+oMpbOTvvHvVLHduM1b9bBFnXepMOvOR/HOvztJS5pwkbz
mMW86e9f9vo3JcwM9bIw9o1l3s/Od5343T8omPfBgQfGXq+Obj3YqVc/tzs/iphLi/i2TvemfL/h
/oG+NOxaKQ9l32FV3QEAyG0Gqv2MU/f8lTJQ/RiCrUODV3pU6YafEYpM2S+3nuWUjnztLLqjtUI0
XQvk7RuogsMFUTtmuRQq0lfWC91ztYjx6YZwvlYRxMCGjinirO9ql3HSfsApT37fYeeVvjVZ2VLI
T99hL9BErCUE2k6+97Ba5OvH/MKTr+4rj+8F4nVbvVkkvRQUqdB3yZdkA4u0Fa2hfTN7D4yMrRfr
ZTMSXbDScU3S3yy4V4rhUo8QPGCHHUIOyKmw0qXIiL5CmEc+UrmMakBtaP9xr1IPOocRAvgA+4+7
2naUA6pzBxg30Rx2tbSWua90r/WodcDQ2WiAYRE+utNKNvAFRFL/kW+1JGudBooV7SuHW4L+fW3T
ROg6wm+/bI+On2l2e8kDyPiWQK8nuofYUysVQ1sg9BZIWujuBrR0RjMW1T6gJGl+fL9hdec7AJ+x
N5pi1fou+c73tFbqdTzAFbmjur1ZXS0ESh/Sd7G/44yBH2iAsf0o11hdMcTTDFxT68FHPW7/1d4j
WpQaGpvxGiIV/+DjlWMvHpAf/RdMb7TeHpjClPqeicdaa0bEY/ADoB4aYOigla+Frz/AqJkGhy7a
NSPR2wEChebH96uIx1zfsY8HaruGGJYk1T4E0gy2X/IAF/qLTVPijHFZ1y31PRQv6a8b4hk7n3Ub
u2Hq9M224FcYV1ucO3TAYjSGeDIK9EpDExoZD5RuROyBHsKredSjdgqTdpnsK20kpPSR/wzjhcnZ
CYBTD6OYEWS+07b6ru3pAT47hD13A6Boxkgb9V4o2x3AsP31f1D1f8w1A1s1CrwU8CKCRQUcYnVR
8umdOBZE++fAbPYwo76htcP1v0TmDv9oeRgXZOZq/qb5w1OBdoSKSNXSKP2P+NyPE2300EpOUcqb
01v2isSAM3rUnExDNK4ZjKpXSvPad+jLFGl/V3MYQ6ybTkvfrP+ufG9H8xnNEmsDbwgc3UcIONKM
lFkxWkc3E73/cbwHItJlhz0fFTh2Ov85F26fQGvO+3txbX/CWHZk0FPNBlkpK03fs46e46Tl4w7x
+KiRVhHGyqaMUH0XS/eTUVG0lLn3oD46PLSed8qH13fc5TZtK6chwLkXke5tzdFlSnAzm1XWmm8A
WVxojv27D+8Az/plWrZWjVZizUe8X0k9pvBjAOBuRqr16hAx3Pu9VmWMVZT5NfO8f8X3epQ2o+xX
O4CH9CVK8QQwiwU1WjPN+xf7FWZ1BQA4c9yQwz038h/3DFBQzV/wEXAMANmZXRjAkPrgGYi1NHtJ
D+PZjT1vnal+Euftqz7EuIiFMM6SOEDQTQW7hbcjhyKQBhh2bmpMsGKIAO+DHqQbBzgVuI0AWIxA
j24wHhhtSNf35Vrorr8F9BXTnJ9vgBM4h+qO0ImyWTk9g+e1y/lDOEfHBBQzHg5Lq+X7iud7WUmN
5fO+y6gZmS7/JEbolQGNuRboo696tGPetZOoqleOvLAIou0Jc+JpIVpfySyNMkiaYagYJgO8assQ
7pgPvedQo8fTGVVFSbx7rzoiKI1lhh0iurNMTLRQYtU1ZSTou9wnXPtLrW2xUpr/viNfahv2Es4G
2L5Ls/UMDBEe6h4E1Fz1F8D81/+T6KPdv6wyn1Diyr1A6UEWhAEO2o3ulcwxO4KoTd8cVLglm7ZV
IAwRrL0FQjExmccFwb1GKO+3JrHelhRoK9++Z/cOdZuGFiMM0oxVb9sQzwhyy36SsMdhkIA1Ikw5
o4NBydms/v3yRQqxNegAt/gOD+m2ne8c4ErcaXDdEsIW4oF1dwgx0JHbOTlhiGfuzq+o/kVNbLPM
+qwNAcv6SGDiM6MO8WTUo7IvEUjqm2nef9T2aphTSRxraTNcLYsuiv3tiu3h13+kXpugYQiUzwM8
E7bKG9y7zfLfL41HvdyauuPojMUJ7q0Bht4XDHSKR9AbY4DBadaMTYmDhW2AcWkBuTa61UFB2YxG
D4dIGSb66ns0nu4UZgxREPuYtmpMgVHvv9onn/XSxCGioY+//i9/9OS7v/6jRuLeR7/+b29L2AIb
8C0PsHpcw1YNBvJuA4yreVVbQYMgrP/AX9CcuHXBh8BtIU5gI844utBixiwSh8BAgYCCtKLQaBvW
XxZLxGGQOCDNSPUNHOKB/aXjg4Akvpnl/Vr0F+JutE3Oaowhapz3RVfd+z0ECEol0egJxhyT8agZ
T/vquQ+bUmf2Dh01kfrmwVeL3h0ogDpSjNZ+av+4OGxdhfgXDMQeLblEd4Rzx/+P2wnQxyl/xZD4
s4H4AgrHWQjNAHroA7BbG41Y7MADGM0fItTos8b4AA4a6AQMR9vpsdmcwVrRDyCIO6TsUNjCDDvE
gs20vWkDvHag5fdYfUnJWfsqYQSoN/6O3bMhDIrHiIxuwQPBBIWGiN0gUc4mh4ewUIBeMUY39H8e
Pzw0Qq29vSG8p5UHmJreMjPBP91M9H6LAiOzWweS4P6jXmsBqxrQzav/qDdlZIAFvnUz8N73H3pf
KH/jt0LdAmUc7XtB9rbVkbEHuNI3oFSyza5IBrjXtxqbHQKksL8sgLjU/M4VGQJRAoQrUrWtszyE
j4CQ4Y5kbNyibqDR91xgYK1s3+khkkIf9YCNWKDNSP+to3APVFQdg50Ks0HGtzumClhsB1g4gFEk
CJAdi5vB6ud/EHANwOBaALXBjCwMYAk9mRppV3mgz2Qzz/s1/pMGDuiOpOE4DTE0QfSwGWdvYw2x
YoQWqFnYVnNoFdnM9X5xfKk2+hFxDFFe9ZXoCZBXzRpreQyh6j6hHN7PRqsE0Ixg9ONoiQywn6Qv
N/NwOnSjoQyyfTXVy4Q3qafFJrz5H0fN/yXHJkW3wgFsiMcAKAunPKZvwDkyhO1zR3Y7FBkstThp
ZET3aE//+PtCgxZ5Ff3li9QeTWKDy8SD1L7/3z3b1uGkYCQCpckA4b36VdGwQRFx/t9//5+xrZXa
6DIqkQLECq6QxXa1ZtcYfQjmnok0RA7ziQBZwiFDyqYFafdfNOVtPvr9N/ZRh1NgN8c9/nFBNL+E
v0RGn4FU0pjoI+08ik65/Sdd+PbOhwCfNBtuJGFR32iICfqbs5v3xwU4vpOu9g03HX4C3UGQGh/+
0XKQaosPUbphvL4BjHAQgRHgP+tkgKpFG2QymkNR6+Xmh/cfS0AFU+KwYMEhDAG6WmClmbs6RIES
hcqAPhYFDMzQQzhqc61EwecxzT3EszpvnY4hcAEL30UagKVBHuIRa8Y9DoSjbfj6vs3gz27Tcg9R
C4wynx1YrVM2YzZE5voKhLJM0L5uatVXDNc4x639Q0+Q/uK90yKaIGrDGYaAStKazJhmgRnrA62m
+q/6HnwliU9Ly5jXEG1f+4+9J0C/IUkS19r0o54RVoMMYXLuZ7lNt6xHj76S/b/gCQURZKft6uU/
+RvQ9TWD1m/BEOwYT/BZ9vKZ41z68TFlKA7B2LQX1FcCOh3w0tO6UAp93muFjss7BJhMpZik2Bx9
JZFBjip5cK028nz/c/rl8eQMAxxkFSwVLSSjOESF5BxVjIhyNSKoj9QQJuijxlpF4nQA/fZIuxks
QbCGPHjKXuMhQFD70wkTJjF//Yeju+WhVMbDAGnwAXcaZmBpCpAFHiKWtv+A/Ssw+tc9bdW/HX6E
BKrGP3NqsyZk7Wv2/wlrPiknYBvkNAT1BzIBz2i3fCSuMQH1ADpXKJMJCvln6JF5HgF+zDc64TEN
2MPiGK3tX/AU7JuXgPBbc33GoRtCtahgZ2v7iQO8bI+0ptY/+nIOkcqa+9Tc+NcbHZwFnvFvxwyP
IcyAOmNGudahG2m17bF5huCSmqM949GxBzAEL4jFeCJDpEkuwJdDOyM0jXtqDhPaN66Tvz3ZA+eV
McaXgmfa6K47/gA20sv4dQqTbja1L79zqtP0/I6xGYao/oXnyYTMu3zc6ZvLQK50cCO9nKL6G+62
C1h/TvNnzEfUjYD7+qM3BL2PYFMdmgrCEHjTuRkhEYKgzcvnsBMM4Dt+1PPRXHOOEOMMwRb0kbQK
A4aoJvuqeSiDSxlRDGEcf0QBBjvqEHeWCvgXHclflrgWxD3NB7zfa7onyRZOzdHHBWzwA0ygBYii
0k84UmamDOCQ3EMwrMyVAQ41HqnY1Jzj2esh2Gv2fsKV7iAa919GH2J44zHKM/YhBnpjEQ9FBmae
eiZjp4Ckv/+mPPk2CAgYqaGp+BDjIrvdDFP7sUPgYZ5SkNW1FjvAyfyG7SX7kMtFmiBVySx8iCBx
x8gUz+d8XlGITcEJNFzXXNrDdY/hXU6n6AowBnsYjyzTEPSRXw4bC6J/oedHo08pcq2wF4+aWujf
LaNjpzyewf1Bn4zzhcV/oONzpNNGX8fn8GvOZ70Of3t5mBAb0L071nfjr/eVx5qZ/HO/cn9954f9
YpsFnOKLu9R9BEcZDTQEROohjVt4MXGIhPrTr/8XtTulfqh40Kqm+fH3rJFj5/yfE9w41p+l2ZZ6
r14u6YmwVadFx+HX/Dnu+LF2MH+yrzwU2hFV94IO2Dpwv376/wAAAP//</cx:binary>
              </cx:geoCache>
            </cx:geography>
          </cx:layoutPr>
        </cx:series>
      </cx:plotAreaRegion>
      <cx:axis id="1" hidden="1">
        <cx:valScaling/>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IN"/>
              <a:t>BOQ vs Actual Amount Waterfall Chart – WT-DC-MUM-01</a:t>
            </a:r>
            <a:endParaRPr lang="en-US" sz="1400" b="0" i="0" u="none" strike="noStrike" baseline="0">
              <a:solidFill>
                <a:srgbClr val="000000">
                  <a:lumMod val="65000"/>
                  <a:lumOff val="35000"/>
                </a:srgbClr>
              </a:solidFill>
              <a:latin typeface="Calibri"/>
            </a:endParaRPr>
          </a:p>
        </cx:rich>
      </cx:tx>
    </cx:title>
    <cx:plotArea>
      <cx:plotAreaRegion>
        <cx:series layoutId="waterfall" uniqueId="{00000000-C835-4C6A-8F76-F9EC02507C10}">
          <cx:tx>
            <cx:txData>
              <cx:f>_xlchart.v1.5</cx:f>
              <cx:v>Amount</cx:v>
            </cx:txData>
          </cx:tx>
          <cx:dataLabels pos="outEnd">
            <cx:visibility seriesName="0" categoryName="0" value="1"/>
          </cx:dataLabels>
          <cx:dataId val="0"/>
          <cx:layoutPr>
            <cx:subtotals>
              <cx:idx val="5"/>
              <cx:idx val="6"/>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microsoft.com/office/2014/relationships/chartEx" Target="../charts/chartEx1.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26" Type="http://schemas.openxmlformats.org/officeDocument/2006/relationships/chart" Target="../charts/chart51.xml"/><Relationship Id="rId21" Type="http://schemas.openxmlformats.org/officeDocument/2006/relationships/chart" Target="../charts/chart46.xml"/><Relationship Id="rId42" Type="http://schemas.openxmlformats.org/officeDocument/2006/relationships/chart" Target="../charts/chart67.xml"/><Relationship Id="rId47" Type="http://schemas.openxmlformats.org/officeDocument/2006/relationships/chart" Target="../charts/chart72.xml"/><Relationship Id="rId63" Type="http://schemas.openxmlformats.org/officeDocument/2006/relationships/chart" Target="../charts/chart88.xml"/><Relationship Id="rId68" Type="http://schemas.openxmlformats.org/officeDocument/2006/relationships/chart" Target="../charts/chart93.xml"/><Relationship Id="rId84" Type="http://schemas.openxmlformats.org/officeDocument/2006/relationships/chart" Target="../charts/chart109.xml"/><Relationship Id="rId16" Type="http://schemas.openxmlformats.org/officeDocument/2006/relationships/chart" Target="../charts/chart41.xml"/><Relationship Id="rId11" Type="http://schemas.openxmlformats.org/officeDocument/2006/relationships/chart" Target="../charts/chart36.xml"/><Relationship Id="rId32" Type="http://schemas.openxmlformats.org/officeDocument/2006/relationships/chart" Target="../charts/chart57.xml"/><Relationship Id="rId37" Type="http://schemas.openxmlformats.org/officeDocument/2006/relationships/chart" Target="../charts/chart62.xml"/><Relationship Id="rId53" Type="http://schemas.openxmlformats.org/officeDocument/2006/relationships/chart" Target="../charts/chart78.xml"/><Relationship Id="rId58" Type="http://schemas.openxmlformats.org/officeDocument/2006/relationships/chart" Target="../charts/chart83.xml"/><Relationship Id="rId74" Type="http://schemas.openxmlformats.org/officeDocument/2006/relationships/chart" Target="../charts/chart99.xml"/><Relationship Id="rId79" Type="http://schemas.openxmlformats.org/officeDocument/2006/relationships/chart" Target="../charts/chart104.xml"/><Relationship Id="rId5" Type="http://schemas.openxmlformats.org/officeDocument/2006/relationships/chart" Target="../charts/chart30.xml"/><Relationship Id="rId19" Type="http://schemas.openxmlformats.org/officeDocument/2006/relationships/chart" Target="../charts/chart44.xml"/><Relationship Id="rId14" Type="http://schemas.openxmlformats.org/officeDocument/2006/relationships/chart" Target="../charts/chart39.xml"/><Relationship Id="rId22" Type="http://schemas.openxmlformats.org/officeDocument/2006/relationships/chart" Target="../charts/chart47.xml"/><Relationship Id="rId27" Type="http://schemas.openxmlformats.org/officeDocument/2006/relationships/chart" Target="../charts/chart52.xml"/><Relationship Id="rId30" Type="http://schemas.openxmlformats.org/officeDocument/2006/relationships/chart" Target="../charts/chart55.xml"/><Relationship Id="rId35" Type="http://schemas.openxmlformats.org/officeDocument/2006/relationships/chart" Target="../charts/chart60.xml"/><Relationship Id="rId43" Type="http://schemas.openxmlformats.org/officeDocument/2006/relationships/chart" Target="../charts/chart68.xml"/><Relationship Id="rId48" Type="http://schemas.openxmlformats.org/officeDocument/2006/relationships/chart" Target="../charts/chart73.xml"/><Relationship Id="rId56" Type="http://schemas.openxmlformats.org/officeDocument/2006/relationships/chart" Target="../charts/chart81.xml"/><Relationship Id="rId64" Type="http://schemas.openxmlformats.org/officeDocument/2006/relationships/chart" Target="../charts/chart89.xml"/><Relationship Id="rId69" Type="http://schemas.openxmlformats.org/officeDocument/2006/relationships/chart" Target="../charts/chart94.xml"/><Relationship Id="rId77" Type="http://schemas.openxmlformats.org/officeDocument/2006/relationships/chart" Target="../charts/chart102.xml"/><Relationship Id="rId8" Type="http://schemas.openxmlformats.org/officeDocument/2006/relationships/chart" Target="../charts/chart33.xml"/><Relationship Id="rId51" Type="http://schemas.openxmlformats.org/officeDocument/2006/relationships/chart" Target="../charts/chart76.xml"/><Relationship Id="rId72" Type="http://schemas.openxmlformats.org/officeDocument/2006/relationships/chart" Target="../charts/chart97.xml"/><Relationship Id="rId80" Type="http://schemas.openxmlformats.org/officeDocument/2006/relationships/chart" Target="../charts/chart105.xml"/><Relationship Id="rId85" Type="http://schemas.openxmlformats.org/officeDocument/2006/relationships/chart" Target="../charts/chart110.xml"/><Relationship Id="rId3" Type="http://schemas.openxmlformats.org/officeDocument/2006/relationships/chart" Target="../charts/chart28.xml"/><Relationship Id="rId12" Type="http://schemas.openxmlformats.org/officeDocument/2006/relationships/chart" Target="../charts/chart37.xml"/><Relationship Id="rId17" Type="http://schemas.openxmlformats.org/officeDocument/2006/relationships/chart" Target="../charts/chart42.xml"/><Relationship Id="rId25" Type="http://schemas.openxmlformats.org/officeDocument/2006/relationships/chart" Target="../charts/chart50.xml"/><Relationship Id="rId33" Type="http://schemas.openxmlformats.org/officeDocument/2006/relationships/chart" Target="../charts/chart58.xml"/><Relationship Id="rId38" Type="http://schemas.openxmlformats.org/officeDocument/2006/relationships/chart" Target="../charts/chart63.xml"/><Relationship Id="rId46" Type="http://schemas.openxmlformats.org/officeDocument/2006/relationships/chart" Target="../charts/chart71.xml"/><Relationship Id="rId59" Type="http://schemas.openxmlformats.org/officeDocument/2006/relationships/chart" Target="../charts/chart84.xml"/><Relationship Id="rId67" Type="http://schemas.openxmlformats.org/officeDocument/2006/relationships/chart" Target="../charts/chart92.xml"/><Relationship Id="rId20" Type="http://schemas.openxmlformats.org/officeDocument/2006/relationships/chart" Target="../charts/chart45.xml"/><Relationship Id="rId41" Type="http://schemas.openxmlformats.org/officeDocument/2006/relationships/chart" Target="../charts/chart66.xml"/><Relationship Id="rId54" Type="http://schemas.openxmlformats.org/officeDocument/2006/relationships/chart" Target="../charts/chart79.xml"/><Relationship Id="rId62" Type="http://schemas.openxmlformats.org/officeDocument/2006/relationships/chart" Target="../charts/chart87.xml"/><Relationship Id="rId70" Type="http://schemas.openxmlformats.org/officeDocument/2006/relationships/chart" Target="../charts/chart95.xml"/><Relationship Id="rId75" Type="http://schemas.openxmlformats.org/officeDocument/2006/relationships/chart" Target="../charts/chart100.xml"/><Relationship Id="rId83" Type="http://schemas.openxmlformats.org/officeDocument/2006/relationships/chart" Target="../charts/chart108.xml"/><Relationship Id="rId1" Type="http://schemas.openxmlformats.org/officeDocument/2006/relationships/chart" Target="../charts/chart26.xml"/><Relationship Id="rId6" Type="http://schemas.openxmlformats.org/officeDocument/2006/relationships/chart" Target="../charts/chart31.xml"/><Relationship Id="rId15" Type="http://schemas.openxmlformats.org/officeDocument/2006/relationships/chart" Target="../charts/chart40.xml"/><Relationship Id="rId23" Type="http://schemas.openxmlformats.org/officeDocument/2006/relationships/chart" Target="../charts/chart48.xml"/><Relationship Id="rId28" Type="http://schemas.openxmlformats.org/officeDocument/2006/relationships/chart" Target="../charts/chart53.xml"/><Relationship Id="rId36" Type="http://schemas.openxmlformats.org/officeDocument/2006/relationships/chart" Target="../charts/chart61.xml"/><Relationship Id="rId49" Type="http://schemas.openxmlformats.org/officeDocument/2006/relationships/chart" Target="../charts/chart74.xml"/><Relationship Id="rId57" Type="http://schemas.openxmlformats.org/officeDocument/2006/relationships/chart" Target="../charts/chart82.xml"/><Relationship Id="rId10" Type="http://schemas.openxmlformats.org/officeDocument/2006/relationships/chart" Target="../charts/chart35.xml"/><Relationship Id="rId31" Type="http://schemas.openxmlformats.org/officeDocument/2006/relationships/chart" Target="../charts/chart56.xml"/><Relationship Id="rId44" Type="http://schemas.openxmlformats.org/officeDocument/2006/relationships/chart" Target="../charts/chart69.xml"/><Relationship Id="rId52" Type="http://schemas.openxmlformats.org/officeDocument/2006/relationships/chart" Target="../charts/chart77.xml"/><Relationship Id="rId60" Type="http://schemas.openxmlformats.org/officeDocument/2006/relationships/chart" Target="../charts/chart85.xml"/><Relationship Id="rId65" Type="http://schemas.openxmlformats.org/officeDocument/2006/relationships/chart" Target="../charts/chart90.xml"/><Relationship Id="rId73" Type="http://schemas.openxmlformats.org/officeDocument/2006/relationships/chart" Target="../charts/chart98.xml"/><Relationship Id="rId78" Type="http://schemas.openxmlformats.org/officeDocument/2006/relationships/chart" Target="../charts/chart103.xml"/><Relationship Id="rId81" Type="http://schemas.openxmlformats.org/officeDocument/2006/relationships/chart" Target="../charts/chart106.xml"/><Relationship Id="rId86" Type="http://schemas.openxmlformats.org/officeDocument/2006/relationships/chart" Target="../charts/chart111.xml"/><Relationship Id="rId4" Type="http://schemas.openxmlformats.org/officeDocument/2006/relationships/chart" Target="../charts/chart29.xml"/><Relationship Id="rId9" Type="http://schemas.openxmlformats.org/officeDocument/2006/relationships/chart" Target="../charts/chart34.xml"/><Relationship Id="rId13" Type="http://schemas.openxmlformats.org/officeDocument/2006/relationships/chart" Target="../charts/chart38.xml"/><Relationship Id="rId18" Type="http://schemas.openxmlformats.org/officeDocument/2006/relationships/chart" Target="../charts/chart43.xml"/><Relationship Id="rId39" Type="http://schemas.openxmlformats.org/officeDocument/2006/relationships/chart" Target="../charts/chart64.xml"/><Relationship Id="rId34" Type="http://schemas.openxmlformats.org/officeDocument/2006/relationships/chart" Target="../charts/chart59.xml"/><Relationship Id="rId50" Type="http://schemas.openxmlformats.org/officeDocument/2006/relationships/chart" Target="../charts/chart75.xml"/><Relationship Id="rId55" Type="http://schemas.openxmlformats.org/officeDocument/2006/relationships/chart" Target="../charts/chart80.xml"/><Relationship Id="rId76" Type="http://schemas.openxmlformats.org/officeDocument/2006/relationships/chart" Target="../charts/chart101.xml"/><Relationship Id="rId7" Type="http://schemas.openxmlformats.org/officeDocument/2006/relationships/chart" Target="../charts/chart32.xml"/><Relationship Id="rId71" Type="http://schemas.openxmlformats.org/officeDocument/2006/relationships/chart" Target="../charts/chart96.xml"/><Relationship Id="rId2" Type="http://schemas.openxmlformats.org/officeDocument/2006/relationships/chart" Target="../charts/chart27.xml"/><Relationship Id="rId29" Type="http://schemas.openxmlformats.org/officeDocument/2006/relationships/chart" Target="../charts/chart54.xml"/><Relationship Id="rId24" Type="http://schemas.openxmlformats.org/officeDocument/2006/relationships/chart" Target="../charts/chart49.xml"/><Relationship Id="rId40" Type="http://schemas.openxmlformats.org/officeDocument/2006/relationships/chart" Target="../charts/chart65.xml"/><Relationship Id="rId45" Type="http://schemas.openxmlformats.org/officeDocument/2006/relationships/chart" Target="../charts/chart70.xml"/><Relationship Id="rId66" Type="http://schemas.openxmlformats.org/officeDocument/2006/relationships/chart" Target="../charts/chart91.xml"/><Relationship Id="rId61" Type="http://schemas.openxmlformats.org/officeDocument/2006/relationships/chart" Target="../charts/chart86.xml"/><Relationship Id="rId82" Type="http://schemas.openxmlformats.org/officeDocument/2006/relationships/chart" Target="../charts/chart107.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11</xdr:col>
      <xdr:colOff>0</xdr:colOff>
      <xdr:row>37</xdr:row>
      <xdr:rowOff>0</xdr:rowOff>
    </xdr:to>
    <xdr:graphicFrame macro="">
      <xdr:nvGraphicFramePr>
        <xdr:cNvPr id="2" name="chCostVarType">
          <a:extLst>
            <a:ext uri="{FF2B5EF4-FFF2-40B4-BE49-F238E27FC236}">
              <a16:creationId xmlns:a16="http://schemas.microsoft.com/office/drawing/2014/main" id="{7F22C573-E6F4-E133-8814-918E3ABDE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19</xdr:row>
      <xdr:rowOff>0</xdr:rowOff>
    </xdr:from>
    <xdr:to>
      <xdr:col>22</xdr:col>
      <xdr:colOff>0</xdr:colOff>
      <xdr:row>37</xdr:row>
      <xdr:rowOff>0</xdr:rowOff>
    </xdr:to>
    <xdr:graphicFrame macro="">
      <xdr:nvGraphicFramePr>
        <xdr:cNvPr id="3" name="chTop5Overrun">
          <a:extLst>
            <a:ext uri="{FF2B5EF4-FFF2-40B4-BE49-F238E27FC236}">
              <a16:creationId xmlns:a16="http://schemas.microsoft.com/office/drawing/2014/main" id="{48999381-29F1-30FA-E8CA-B63A1380C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0</xdr:rowOff>
    </xdr:from>
    <xdr:to>
      <xdr:col>11</xdr:col>
      <xdr:colOff>0</xdr:colOff>
      <xdr:row>58</xdr:row>
      <xdr:rowOff>0</xdr:rowOff>
    </xdr:to>
    <mc:AlternateContent xmlns:mc="http://schemas.openxmlformats.org/markup-compatibility/2006">
      <mc:Choice xmlns:cx4="http://schemas.microsoft.com/office/drawing/2016/5/10/chartex" Requires="cx4">
        <xdr:graphicFrame macro="">
          <xdr:nvGraphicFramePr>
            <xdr:cNvPr id="4" name="chCostSqmMap">
              <a:extLst>
                <a:ext uri="{FF2B5EF4-FFF2-40B4-BE49-F238E27FC236}">
                  <a16:creationId xmlns:a16="http://schemas.microsoft.com/office/drawing/2014/main" id="{8CBFB6F1-F44B-8EFF-4E28-F838E68B59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5260" y="8290560"/>
              <a:ext cx="7848600" cy="3291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40</xdr:row>
      <xdr:rowOff>0</xdr:rowOff>
    </xdr:from>
    <xdr:to>
      <xdr:col>22</xdr:col>
      <xdr:colOff>0</xdr:colOff>
      <xdr:row>58</xdr:row>
      <xdr:rowOff>0</xdr:rowOff>
    </xdr:to>
    <xdr:graphicFrame macro="">
      <xdr:nvGraphicFramePr>
        <xdr:cNvPr id="5" name="chOverrunCountry">
          <a:extLst>
            <a:ext uri="{FF2B5EF4-FFF2-40B4-BE49-F238E27FC236}">
              <a16:creationId xmlns:a16="http://schemas.microsoft.com/office/drawing/2014/main" id="{C0A7F376-0A5B-B00A-CAC1-737352BD0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61</xdr:row>
      <xdr:rowOff>0</xdr:rowOff>
    </xdr:from>
    <xdr:to>
      <xdr:col>11</xdr:col>
      <xdr:colOff>0</xdr:colOff>
      <xdr:row>79</xdr:row>
      <xdr:rowOff>0</xdr:rowOff>
    </xdr:to>
    <xdr:graphicFrame macro="">
      <xdr:nvGraphicFramePr>
        <xdr:cNvPr id="6" name="chDelayPareto">
          <a:extLst>
            <a:ext uri="{FF2B5EF4-FFF2-40B4-BE49-F238E27FC236}">
              <a16:creationId xmlns:a16="http://schemas.microsoft.com/office/drawing/2014/main" id="{FFC86AFB-42FD-0DBE-AC49-6DC46612E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61</xdr:row>
      <xdr:rowOff>0</xdr:rowOff>
    </xdr:from>
    <xdr:to>
      <xdr:col>22</xdr:col>
      <xdr:colOff>0</xdr:colOff>
      <xdr:row>79</xdr:row>
      <xdr:rowOff>0</xdr:rowOff>
    </xdr:to>
    <xdr:graphicFrame macro="">
      <xdr:nvGraphicFramePr>
        <xdr:cNvPr id="7" name="chDelayActivity">
          <a:extLst>
            <a:ext uri="{FF2B5EF4-FFF2-40B4-BE49-F238E27FC236}">
              <a16:creationId xmlns:a16="http://schemas.microsoft.com/office/drawing/2014/main" id="{B927BC88-6308-8FF7-FA22-11490F2CB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82</xdr:row>
      <xdr:rowOff>0</xdr:rowOff>
    </xdr:from>
    <xdr:to>
      <xdr:col>11</xdr:col>
      <xdr:colOff>0</xdr:colOff>
      <xdr:row>100</xdr:row>
      <xdr:rowOff>0</xdr:rowOff>
    </xdr:to>
    <xdr:graphicFrame macro="">
      <xdr:nvGraphicFramePr>
        <xdr:cNvPr id="8" name="chEVMCurve">
          <a:extLst>
            <a:ext uri="{FF2B5EF4-FFF2-40B4-BE49-F238E27FC236}">
              <a16:creationId xmlns:a16="http://schemas.microsoft.com/office/drawing/2014/main" id="{E4C65094-042A-08FC-E9D4-773E231C3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82</xdr:row>
      <xdr:rowOff>0</xdr:rowOff>
    </xdr:from>
    <xdr:to>
      <xdr:col>22</xdr:col>
      <xdr:colOff>0</xdr:colOff>
      <xdr:row>100</xdr:row>
      <xdr:rowOff>0</xdr:rowOff>
    </xdr:to>
    <xdr:graphicFrame macro="">
      <xdr:nvGraphicFramePr>
        <xdr:cNvPr id="9" name="chSpiCpiBubble">
          <a:extLst>
            <a:ext uri="{FF2B5EF4-FFF2-40B4-BE49-F238E27FC236}">
              <a16:creationId xmlns:a16="http://schemas.microsoft.com/office/drawing/2014/main" id="{178A005B-613C-25BA-937B-1EC92A411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103</xdr:row>
      <xdr:rowOff>0</xdr:rowOff>
    </xdr:from>
    <xdr:to>
      <xdr:col>11</xdr:col>
      <xdr:colOff>0</xdr:colOff>
      <xdr:row>121</xdr:row>
      <xdr:rowOff>0</xdr:rowOff>
    </xdr:to>
    <xdr:graphicFrame macro="">
      <xdr:nvGraphicFramePr>
        <xdr:cNvPr id="10" name="chCashFlow">
          <a:extLst>
            <a:ext uri="{FF2B5EF4-FFF2-40B4-BE49-F238E27FC236}">
              <a16:creationId xmlns:a16="http://schemas.microsoft.com/office/drawing/2014/main" id="{41D458DF-F979-821D-F8DB-4477B5CD1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103</xdr:row>
      <xdr:rowOff>0</xdr:rowOff>
    </xdr:from>
    <xdr:to>
      <xdr:col>22</xdr:col>
      <xdr:colOff>0</xdr:colOff>
      <xdr:row>121</xdr:row>
      <xdr:rowOff>0</xdr:rowOff>
    </xdr:to>
    <xdr:graphicFrame macro="">
      <xdr:nvGraphicFramePr>
        <xdr:cNvPr id="11" name="chAging">
          <a:extLst>
            <a:ext uri="{FF2B5EF4-FFF2-40B4-BE49-F238E27FC236}">
              <a16:creationId xmlns:a16="http://schemas.microsoft.com/office/drawing/2014/main" id="{9AA16E9E-B744-C67E-CC73-9C533D27E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0</xdr:colOff>
      <xdr:row>123</xdr:row>
      <xdr:rowOff>182879</xdr:rowOff>
    </xdr:from>
    <xdr:to>
      <xdr:col>11</xdr:col>
      <xdr:colOff>0</xdr:colOff>
      <xdr:row>141</xdr:row>
      <xdr:rowOff>182879</xdr:rowOff>
    </xdr:to>
    <xdr:graphicFrame macro="">
      <xdr:nvGraphicFramePr>
        <xdr:cNvPr id="12" name="chSupplierOTD">
          <a:extLst>
            <a:ext uri="{FF2B5EF4-FFF2-40B4-BE49-F238E27FC236}">
              <a16:creationId xmlns:a16="http://schemas.microsoft.com/office/drawing/2014/main" id="{C8B18446-36B0-63C3-D9E7-86CC29E79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123</xdr:row>
      <xdr:rowOff>182879</xdr:rowOff>
    </xdr:from>
    <xdr:to>
      <xdr:col>22</xdr:col>
      <xdr:colOff>0</xdr:colOff>
      <xdr:row>141</xdr:row>
      <xdr:rowOff>182879</xdr:rowOff>
    </xdr:to>
    <xdr:graphicFrame macro="">
      <xdr:nvGraphicFramePr>
        <xdr:cNvPr id="13" name="chSubconRadar">
          <a:extLst>
            <a:ext uri="{FF2B5EF4-FFF2-40B4-BE49-F238E27FC236}">
              <a16:creationId xmlns:a16="http://schemas.microsoft.com/office/drawing/2014/main" id="{9466CAFC-42E4-2501-67A7-473A5BFC6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0</xdr:colOff>
      <xdr:row>145</xdr:row>
      <xdr:rowOff>1</xdr:rowOff>
    </xdr:from>
    <xdr:to>
      <xdr:col>11</xdr:col>
      <xdr:colOff>0</xdr:colOff>
      <xdr:row>163</xdr:row>
      <xdr:rowOff>1</xdr:rowOff>
    </xdr:to>
    <xdr:graphicFrame macro="">
      <xdr:nvGraphicFramePr>
        <xdr:cNvPr id="14" name="chVOStacked">
          <a:extLst>
            <a:ext uri="{FF2B5EF4-FFF2-40B4-BE49-F238E27FC236}">
              <a16:creationId xmlns:a16="http://schemas.microsoft.com/office/drawing/2014/main" id="{259EB071-E845-F021-1D84-FE187E290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145</xdr:row>
      <xdr:rowOff>1</xdr:rowOff>
    </xdr:from>
    <xdr:to>
      <xdr:col>22</xdr:col>
      <xdr:colOff>0</xdr:colOff>
      <xdr:row>163</xdr:row>
      <xdr:rowOff>1</xdr:rowOff>
    </xdr:to>
    <xdr:graphicFrame macro="">
      <xdr:nvGraphicFramePr>
        <xdr:cNvPr id="15" name="chStatusPie">
          <a:extLst>
            <a:ext uri="{FF2B5EF4-FFF2-40B4-BE49-F238E27FC236}">
              <a16:creationId xmlns:a16="http://schemas.microsoft.com/office/drawing/2014/main" id="{E689C3E0-6B92-F601-F07D-992A5B00F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42</xdr:row>
      <xdr:rowOff>0</xdr:rowOff>
    </xdr:from>
    <xdr:to>
      <xdr:col>4</xdr:col>
      <xdr:colOff>0</xdr:colOff>
      <xdr:row>57</xdr:row>
      <xdr:rowOff>0</xdr:rowOff>
    </xdr:to>
    <xdr:graphicFrame macro="">
      <xdr:nvGraphicFramePr>
        <xdr:cNvPr id="2" name="Chart 1">
          <a:extLst>
            <a:ext uri="{FF2B5EF4-FFF2-40B4-BE49-F238E27FC236}">
              <a16:creationId xmlns:a16="http://schemas.microsoft.com/office/drawing/2014/main" id="{A6EF56FB-BCE5-0A52-CCF3-E7A7E879E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563880</xdr:colOff>
      <xdr:row>63</xdr:row>
      <xdr:rowOff>22866</xdr:rowOff>
    </xdr:from>
    <xdr:to>
      <xdr:col>6</xdr:col>
      <xdr:colOff>670560</xdr:colOff>
      <xdr:row>82</xdr:row>
      <xdr:rowOff>53340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BF73827-C24C-A444-CE07-C1B3BA456D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84960" y="11544306"/>
              <a:ext cx="5661660" cy="35051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10885</xdr:colOff>
      <xdr:row>186</xdr:row>
      <xdr:rowOff>32658</xdr:rowOff>
    </xdr:from>
    <xdr:to>
      <xdr:col>13</xdr:col>
      <xdr:colOff>26125</xdr:colOff>
      <xdr:row>200</xdr:row>
      <xdr:rowOff>177437</xdr:rowOff>
    </xdr:to>
    <xdr:graphicFrame macro="">
      <xdr:nvGraphicFramePr>
        <xdr:cNvPr id="5" name="Chart 4">
          <a:extLst>
            <a:ext uri="{FF2B5EF4-FFF2-40B4-BE49-F238E27FC236}">
              <a16:creationId xmlns:a16="http://schemas.microsoft.com/office/drawing/2014/main" id="{4E6CB942-95ED-E13D-B284-B848B29D5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10887</xdr:colOff>
      <xdr:row>105</xdr:row>
      <xdr:rowOff>32657</xdr:rowOff>
    </xdr:from>
    <xdr:to>
      <xdr:col>10</xdr:col>
      <xdr:colOff>446315</xdr:colOff>
      <xdr:row>124</xdr:row>
      <xdr:rowOff>32657</xdr:rowOff>
    </xdr:to>
    <xdr:graphicFrame macro="">
      <xdr:nvGraphicFramePr>
        <xdr:cNvPr id="4" name="Chart 3">
          <a:extLst>
            <a:ext uri="{FF2B5EF4-FFF2-40B4-BE49-F238E27FC236}">
              <a16:creationId xmlns:a16="http://schemas.microsoft.com/office/drawing/2014/main" id="{14487D36-67F2-5234-D7A9-78EE7FFFA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xdr:colOff>
      <xdr:row>298</xdr:row>
      <xdr:rowOff>21772</xdr:rowOff>
    </xdr:from>
    <xdr:to>
      <xdr:col>19</xdr:col>
      <xdr:colOff>1</xdr:colOff>
      <xdr:row>317</xdr:row>
      <xdr:rowOff>21772</xdr:rowOff>
    </xdr:to>
    <xdr:graphicFrame macro="">
      <xdr:nvGraphicFramePr>
        <xdr:cNvPr id="6" name="Chart 5">
          <a:extLst>
            <a:ext uri="{FF2B5EF4-FFF2-40B4-BE49-F238E27FC236}">
              <a16:creationId xmlns:a16="http://schemas.microsoft.com/office/drawing/2014/main" id="{85BF68E4-8432-8EC7-1B20-9387A1637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21771</xdr:colOff>
      <xdr:row>376</xdr:row>
      <xdr:rowOff>174172</xdr:rowOff>
    </xdr:from>
    <xdr:to>
      <xdr:col>14</xdr:col>
      <xdr:colOff>21771</xdr:colOff>
      <xdr:row>395</xdr:row>
      <xdr:rowOff>174173</xdr:rowOff>
    </xdr:to>
    <xdr:graphicFrame macro="">
      <xdr:nvGraphicFramePr>
        <xdr:cNvPr id="7" name="Chart 6">
          <a:extLst>
            <a:ext uri="{FF2B5EF4-FFF2-40B4-BE49-F238E27FC236}">
              <a16:creationId xmlns:a16="http://schemas.microsoft.com/office/drawing/2014/main" id="{FE126552-77F3-11B2-73C1-FDF3BAADF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598716</xdr:colOff>
      <xdr:row>481</xdr:row>
      <xdr:rowOff>87085</xdr:rowOff>
    </xdr:from>
    <xdr:to>
      <xdr:col>12</xdr:col>
      <xdr:colOff>228600</xdr:colOff>
      <xdr:row>495</xdr:row>
      <xdr:rowOff>161107</xdr:rowOff>
    </xdr:to>
    <xdr:graphicFrame macro="">
      <xdr:nvGraphicFramePr>
        <xdr:cNvPr id="8" name="Chart 7">
          <a:extLst>
            <a:ext uri="{FF2B5EF4-FFF2-40B4-BE49-F238E27FC236}">
              <a16:creationId xmlns:a16="http://schemas.microsoft.com/office/drawing/2014/main" id="{0EAEC1A1-5C7C-1E82-CA09-A3ECD94A9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21773</xdr:colOff>
      <xdr:row>565</xdr:row>
      <xdr:rowOff>97971</xdr:rowOff>
    </xdr:from>
    <xdr:to>
      <xdr:col>13</xdr:col>
      <xdr:colOff>119744</xdr:colOff>
      <xdr:row>580</xdr:row>
      <xdr:rowOff>163288</xdr:rowOff>
    </xdr:to>
    <xdr:graphicFrame macro="">
      <xdr:nvGraphicFramePr>
        <xdr:cNvPr id="9" name="Chart 8">
          <a:extLst>
            <a:ext uri="{FF2B5EF4-FFF2-40B4-BE49-F238E27FC236}">
              <a16:creationId xmlns:a16="http://schemas.microsoft.com/office/drawing/2014/main" id="{FB25E23E-89BD-47BA-69C7-3C343FB65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435429</xdr:colOff>
      <xdr:row>619</xdr:row>
      <xdr:rowOff>2</xdr:rowOff>
    </xdr:from>
    <xdr:to>
      <xdr:col>13</xdr:col>
      <xdr:colOff>348344</xdr:colOff>
      <xdr:row>636</xdr:row>
      <xdr:rowOff>119743</xdr:rowOff>
    </xdr:to>
    <xdr:graphicFrame macro="">
      <xdr:nvGraphicFramePr>
        <xdr:cNvPr id="10" name="Chart 9">
          <a:extLst>
            <a:ext uri="{FF2B5EF4-FFF2-40B4-BE49-F238E27FC236}">
              <a16:creationId xmlns:a16="http://schemas.microsoft.com/office/drawing/2014/main" id="{311D62AA-6625-75A0-9245-536F501CE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587828</xdr:colOff>
      <xdr:row>647</xdr:row>
      <xdr:rowOff>174174</xdr:rowOff>
    </xdr:from>
    <xdr:to>
      <xdr:col>10</xdr:col>
      <xdr:colOff>108857</xdr:colOff>
      <xdr:row>664</xdr:row>
      <xdr:rowOff>174173</xdr:rowOff>
    </xdr:to>
    <xdr:graphicFrame macro="">
      <xdr:nvGraphicFramePr>
        <xdr:cNvPr id="11" name="Chart 10">
          <a:extLst>
            <a:ext uri="{FF2B5EF4-FFF2-40B4-BE49-F238E27FC236}">
              <a16:creationId xmlns:a16="http://schemas.microsoft.com/office/drawing/2014/main" id="{65211464-AAF2-2200-7AD0-44780E228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xdr:colOff>
      <xdr:row>730</xdr:row>
      <xdr:rowOff>21772</xdr:rowOff>
    </xdr:from>
    <xdr:to>
      <xdr:col>12</xdr:col>
      <xdr:colOff>228600</xdr:colOff>
      <xdr:row>748</xdr:row>
      <xdr:rowOff>1</xdr:rowOff>
    </xdr:to>
    <xdr:graphicFrame macro="">
      <xdr:nvGraphicFramePr>
        <xdr:cNvPr id="12" name="Chart 11">
          <a:extLst>
            <a:ext uri="{FF2B5EF4-FFF2-40B4-BE49-F238E27FC236}">
              <a16:creationId xmlns:a16="http://schemas.microsoft.com/office/drawing/2014/main" id="{29311539-5476-07B6-F8D6-4A6D8E76A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1676400</xdr:colOff>
      <xdr:row>913</xdr:row>
      <xdr:rowOff>163285</xdr:rowOff>
    </xdr:from>
    <xdr:to>
      <xdr:col>13</xdr:col>
      <xdr:colOff>0</xdr:colOff>
      <xdr:row>927</xdr:row>
      <xdr:rowOff>185056</xdr:rowOff>
    </xdr:to>
    <xdr:graphicFrame macro="">
      <xdr:nvGraphicFramePr>
        <xdr:cNvPr id="13" name="Chart 12">
          <a:extLst>
            <a:ext uri="{FF2B5EF4-FFF2-40B4-BE49-F238E27FC236}">
              <a16:creationId xmlns:a16="http://schemas.microsoft.com/office/drawing/2014/main" id="{B00F043F-5A15-DD39-8351-DB6F43E98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10885</xdr:colOff>
      <xdr:row>944</xdr:row>
      <xdr:rowOff>19592</xdr:rowOff>
    </xdr:from>
    <xdr:to>
      <xdr:col>14</xdr:col>
      <xdr:colOff>10885</xdr:colOff>
      <xdr:row>963</xdr:row>
      <xdr:rowOff>19593</xdr:rowOff>
    </xdr:to>
    <xdr:graphicFrame macro="">
      <xdr:nvGraphicFramePr>
        <xdr:cNvPr id="14" name="Chart 13">
          <a:extLst>
            <a:ext uri="{FF2B5EF4-FFF2-40B4-BE49-F238E27FC236}">
              <a16:creationId xmlns:a16="http://schemas.microsoft.com/office/drawing/2014/main" id="{93BD554D-7AEE-A48E-540D-DCF888259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17</xdr:row>
      <xdr:rowOff>119380</xdr:rowOff>
    </xdr:from>
    <xdr:to>
      <xdr:col>6</xdr:col>
      <xdr:colOff>698500</xdr:colOff>
      <xdr:row>32</xdr:row>
      <xdr:rowOff>30480</xdr:rowOff>
    </xdr:to>
    <xdr:graphicFrame macro="">
      <xdr:nvGraphicFramePr>
        <xdr:cNvPr id="2" name="C1_P01Q1">
          <a:extLst>
            <a:ext uri="{FF2B5EF4-FFF2-40B4-BE49-F238E27FC236}">
              <a16:creationId xmlns:a16="http://schemas.microsoft.com/office/drawing/2014/main" id="{94ABC153-2689-B61A-7683-6BD232A9A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119380</xdr:rowOff>
    </xdr:from>
    <xdr:to>
      <xdr:col>13</xdr:col>
      <xdr:colOff>698500</xdr:colOff>
      <xdr:row>32</xdr:row>
      <xdr:rowOff>30480</xdr:rowOff>
    </xdr:to>
    <xdr:graphicFrame macro="">
      <xdr:nvGraphicFramePr>
        <xdr:cNvPr id="3" name="C2_P01Q2">
          <a:extLst>
            <a:ext uri="{FF2B5EF4-FFF2-40B4-BE49-F238E27FC236}">
              <a16:creationId xmlns:a16="http://schemas.microsoft.com/office/drawing/2014/main" id="{C1924773-4251-FC9F-4DB6-B074E3EA0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17</xdr:row>
      <xdr:rowOff>119380</xdr:rowOff>
    </xdr:from>
    <xdr:to>
      <xdr:col>20</xdr:col>
      <xdr:colOff>698500</xdr:colOff>
      <xdr:row>32</xdr:row>
      <xdr:rowOff>30480</xdr:rowOff>
    </xdr:to>
    <xdr:graphicFrame macro="">
      <xdr:nvGraphicFramePr>
        <xdr:cNvPr id="4" name="C3_P01Q3">
          <a:extLst>
            <a:ext uri="{FF2B5EF4-FFF2-40B4-BE49-F238E27FC236}">
              <a16:creationId xmlns:a16="http://schemas.microsoft.com/office/drawing/2014/main" id="{A73000C2-5A77-03E1-C490-71DEEA832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40</xdr:row>
      <xdr:rowOff>0</xdr:rowOff>
    </xdr:from>
    <xdr:to>
      <xdr:col>6</xdr:col>
      <xdr:colOff>698500</xdr:colOff>
      <xdr:row>54</xdr:row>
      <xdr:rowOff>86360</xdr:rowOff>
    </xdr:to>
    <xdr:graphicFrame macro="">
      <xdr:nvGraphicFramePr>
        <xdr:cNvPr id="5" name="C4_P01Q4">
          <a:extLst>
            <a:ext uri="{FF2B5EF4-FFF2-40B4-BE49-F238E27FC236}">
              <a16:creationId xmlns:a16="http://schemas.microsoft.com/office/drawing/2014/main" id="{68D67E53-C2EF-032B-AC3B-1003BC87D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40</xdr:row>
      <xdr:rowOff>0</xdr:rowOff>
    </xdr:from>
    <xdr:to>
      <xdr:col>13</xdr:col>
      <xdr:colOff>698500</xdr:colOff>
      <xdr:row>54</xdr:row>
      <xdr:rowOff>86360</xdr:rowOff>
    </xdr:to>
    <xdr:graphicFrame macro="">
      <xdr:nvGraphicFramePr>
        <xdr:cNvPr id="6" name="C5_P01Q5">
          <a:extLst>
            <a:ext uri="{FF2B5EF4-FFF2-40B4-BE49-F238E27FC236}">
              <a16:creationId xmlns:a16="http://schemas.microsoft.com/office/drawing/2014/main" id="{6D10ADA2-AC83-61BB-963D-A1362771D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40</xdr:row>
      <xdr:rowOff>0</xdr:rowOff>
    </xdr:from>
    <xdr:to>
      <xdr:col>20</xdr:col>
      <xdr:colOff>698500</xdr:colOff>
      <xdr:row>54</xdr:row>
      <xdr:rowOff>86360</xdr:rowOff>
    </xdr:to>
    <xdr:graphicFrame macro="">
      <xdr:nvGraphicFramePr>
        <xdr:cNvPr id="7" name="C6_P01Q6">
          <a:extLst>
            <a:ext uri="{FF2B5EF4-FFF2-40B4-BE49-F238E27FC236}">
              <a16:creationId xmlns:a16="http://schemas.microsoft.com/office/drawing/2014/main" id="{F7AB30B8-D939-B0B7-D714-9B505A9C2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62</xdr:row>
      <xdr:rowOff>55880</xdr:rowOff>
    </xdr:from>
    <xdr:to>
      <xdr:col>6</xdr:col>
      <xdr:colOff>698500</xdr:colOff>
      <xdr:row>76</xdr:row>
      <xdr:rowOff>142240</xdr:rowOff>
    </xdr:to>
    <xdr:graphicFrame macro="">
      <xdr:nvGraphicFramePr>
        <xdr:cNvPr id="8" name="C7_P01Q7">
          <a:extLst>
            <a:ext uri="{FF2B5EF4-FFF2-40B4-BE49-F238E27FC236}">
              <a16:creationId xmlns:a16="http://schemas.microsoft.com/office/drawing/2014/main" id="{C1E31F90-20C0-81F0-3C18-FDFD2F73F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87</xdr:row>
      <xdr:rowOff>20320</xdr:rowOff>
    </xdr:from>
    <xdr:to>
      <xdr:col>6</xdr:col>
      <xdr:colOff>698500</xdr:colOff>
      <xdr:row>101</xdr:row>
      <xdr:rowOff>106680</xdr:rowOff>
    </xdr:to>
    <xdr:graphicFrame macro="">
      <xdr:nvGraphicFramePr>
        <xdr:cNvPr id="9" name="C8_P02Q1">
          <a:extLst>
            <a:ext uri="{FF2B5EF4-FFF2-40B4-BE49-F238E27FC236}">
              <a16:creationId xmlns:a16="http://schemas.microsoft.com/office/drawing/2014/main" id="{18708936-186E-3FBC-501A-BA7FF5605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87</xdr:row>
      <xdr:rowOff>20320</xdr:rowOff>
    </xdr:from>
    <xdr:to>
      <xdr:col>13</xdr:col>
      <xdr:colOff>698500</xdr:colOff>
      <xdr:row>101</xdr:row>
      <xdr:rowOff>106680</xdr:rowOff>
    </xdr:to>
    <xdr:graphicFrame macro="">
      <xdr:nvGraphicFramePr>
        <xdr:cNvPr id="10" name="C9_P02Q2">
          <a:extLst>
            <a:ext uri="{FF2B5EF4-FFF2-40B4-BE49-F238E27FC236}">
              <a16:creationId xmlns:a16="http://schemas.microsoft.com/office/drawing/2014/main" id="{FDC18651-AA9B-9759-A932-2879E4599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0</xdr:colOff>
      <xdr:row>87</xdr:row>
      <xdr:rowOff>20320</xdr:rowOff>
    </xdr:from>
    <xdr:to>
      <xdr:col>20</xdr:col>
      <xdr:colOff>698500</xdr:colOff>
      <xdr:row>101</xdr:row>
      <xdr:rowOff>106680</xdr:rowOff>
    </xdr:to>
    <xdr:graphicFrame macro="">
      <xdr:nvGraphicFramePr>
        <xdr:cNvPr id="11" name="C10_P02Q3">
          <a:extLst>
            <a:ext uri="{FF2B5EF4-FFF2-40B4-BE49-F238E27FC236}">
              <a16:creationId xmlns:a16="http://schemas.microsoft.com/office/drawing/2014/main" id="{4E2687E6-1C95-2C37-F753-8BB0F901F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0</xdr:colOff>
      <xdr:row>109</xdr:row>
      <xdr:rowOff>76200</xdr:rowOff>
    </xdr:from>
    <xdr:to>
      <xdr:col>6</xdr:col>
      <xdr:colOff>698500</xdr:colOff>
      <xdr:row>123</xdr:row>
      <xdr:rowOff>162560</xdr:rowOff>
    </xdr:to>
    <xdr:graphicFrame macro="">
      <xdr:nvGraphicFramePr>
        <xdr:cNvPr id="12" name="C11_P02Q4">
          <a:extLst>
            <a:ext uri="{FF2B5EF4-FFF2-40B4-BE49-F238E27FC236}">
              <a16:creationId xmlns:a16="http://schemas.microsoft.com/office/drawing/2014/main" id="{7FD7CDC1-1575-5A3B-4AF3-13D3EAA8E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0</xdr:colOff>
      <xdr:row>109</xdr:row>
      <xdr:rowOff>76200</xdr:rowOff>
    </xdr:from>
    <xdr:to>
      <xdr:col>13</xdr:col>
      <xdr:colOff>698500</xdr:colOff>
      <xdr:row>123</xdr:row>
      <xdr:rowOff>162560</xdr:rowOff>
    </xdr:to>
    <xdr:graphicFrame macro="">
      <xdr:nvGraphicFramePr>
        <xdr:cNvPr id="13" name="C12_P02Q5">
          <a:extLst>
            <a:ext uri="{FF2B5EF4-FFF2-40B4-BE49-F238E27FC236}">
              <a16:creationId xmlns:a16="http://schemas.microsoft.com/office/drawing/2014/main" id="{89BA3205-B191-04B2-B2F1-9211D7425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109</xdr:row>
      <xdr:rowOff>76200</xdr:rowOff>
    </xdr:from>
    <xdr:to>
      <xdr:col>20</xdr:col>
      <xdr:colOff>698500</xdr:colOff>
      <xdr:row>123</xdr:row>
      <xdr:rowOff>162560</xdr:rowOff>
    </xdr:to>
    <xdr:graphicFrame macro="">
      <xdr:nvGraphicFramePr>
        <xdr:cNvPr id="14" name="C13_P02Q6">
          <a:extLst>
            <a:ext uri="{FF2B5EF4-FFF2-40B4-BE49-F238E27FC236}">
              <a16:creationId xmlns:a16="http://schemas.microsoft.com/office/drawing/2014/main" id="{5840F727-CB87-BA92-50E7-1B13D1528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134</xdr:row>
      <xdr:rowOff>40640</xdr:rowOff>
    </xdr:from>
    <xdr:to>
      <xdr:col>6</xdr:col>
      <xdr:colOff>698500</xdr:colOff>
      <xdr:row>148</xdr:row>
      <xdr:rowOff>127000</xdr:rowOff>
    </xdr:to>
    <xdr:graphicFrame macro="">
      <xdr:nvGraphicFramePr>
        <xdr:cNvPr id="15" name="C14_P03Q1">
          <a:extLst>
            <a:ext uri="{FF2B5EF4-FFF2-40B4-BE49-F238E27FC236}">
              <a16:creationId xmlns:a16="http://schemas.microsoft.com/office/drawing/2014/main" id="{F3EC47C3-D97A-29ED-8556-181D83C45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0</xdr:colOff>
      <xdr:row>134</xdr:row>
      <xdr:rowOff>40640</xdr:rowOff>
    </xdr:from>
    <xdr:to>
      <xdr:col>13</xdr:col>
      <xdr:colOff>698500</xdr:colOff>
      <xdr:row>148</xdr:row>
      <xdr:rowOff>127000</xdr:rowOff>
    </xdr:to>
    <xdr:graphicFrame macro="">
      <xdr:nvGraphicFramePr>
        <xdr:cNvPr id="16" name="C15_P03Q2">
          <a:extLst>
            <a:ext uri="{FF2B5EF4-FFF2-40B4-BE49-F238E27FC236}">
              <a16:creationId xmlns:a16="http://schemas.microsoft.com/office/drawing/2014/main" id="{950E0790-3301-FFCC-5AA9-818C720D2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0</xdr:colOff>
      <xdr:row>134</xdr:row>
      <xdr:rowOff>40640</xdr:rowOff>
    </xdr:from>
    <xdr:to>
      <xdr:col>20</xdr:col>
      <xdr:colOff>698500</xdr:colOff>
      <xdr:row>148</xdr:row>
      <xdr:rowOff>127000</xdr:rowOff>
    </xdr:to>
    <xdr:graphicFrame macro="">
      <xdr:nvGraphicFramePr>
        <xdr:cNvPr id="17" name="C16_P03Q3">
          <a:extLst>
            <a:ext uri="{FF2B5EF4-FFF2-40B4-BE49-F238E27FC236}">
              <a16:creationId xmlns:a16="http://schemas.microsoft.com/office/drawing/2014/main" id="{431ECAED-9E1B-0143-6733-AD7BB19AE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156</xdr:row>
      <xdr:rowOff>96520</xdr:rowOff>
    </xdr:from>
    <xdr:to>
      <xdr:col>6</xdr:col>
      <xdr:colOff>698500</xdr:colOff>
      <xdr:row>171</xdr:row>
      <xdr:rowOff>7620</xdr:rowOff>
    </xdr:to>
    <xdr:graphicFrame macro="">
      <xdr:nvGraphicFramePr>
        <xdr:cNvPr id="18" name="C17_P03Q4">
          <a:extLst>
            <a:ext uri="{FF2B5EF4-FFF2-40B4-BE49-F238E27FC236}">
              <a16:creationId xmlns:a16="http://schemas.microsoft.com/office/drawing/2014/main" id="{5D2DBC51-354D-E8BF-9B67-3ED02F086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0</xdr:colOff>
      <xdr:row>156</xdr:row>
      <xdr:rowOff>96520</xdr:rowOff>
    </xdr:from>
    <xdr:to>
      <xdr:col>13</xdr:col>
      <xdr:colOff>698500</xdr:colOff>
      <xdr:row>171</xdr:row>
      <xdr:rowOff>7620</xdr:rowOff>
    </xdr:to>
    <xdr:graphicFrame macro="">
      <xdr:nvGraphicFramePr>
        <xdr:cNvPr id="19" name="C18_P03Q5">
          <a:extLst>
            <a:ext uri="{FF2B5EF4-FFF2-40B4-BE49-F238E27FC236}">
              <a16:creationId xmlns:a16="http://schemas.microsoft.com/office/drawing/2014/main" id="{4315096F-BA35-C73B-AC23-62446683E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0</xdr:colOff>
      <xdr:row>156</xdr:row>
      <xdr:rowOff>96520</xdr:rowOff>
    </xdr:from>
    <xdr:to>
      <xdr:col>20</xdr:col>
      <xdr:colOff>698500</xdr:colOff>
      <xdr:row>171</xdr:row>
      <xdr:rowOff>7620</xdr:rowOff>
    </xdr:to>
    <xdr:graphicFrame macro="">
      <xdr:nvGraphicFramePr>
        <xdr:cNvPr id="20" name="C19_P03Q6">
          <a:extLst>
            <a:ext uri="{FF2B5EF4-FFF2-40B4-BE49-F238E27FC236}">
              <a16:creationId xmlns:a16="http://schemas.microsoft.com/office/drawing/2014/main" id="{B6BAB568-9857-D163-9CD8-59BC2109F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0</xdr:colOff>
      <xdr:row>181</xdr:row>
      <xdr:rowOff>60960</xdr:rowOff>
    </xdr:from>
    <xdr:to>
      <xdr:col>6</xdr:col>
      <xdr:colOff>698500</xdr:colOff>
      <xdr:row>195</xdr:row>
      <xdr:rowOff>147320</xdr:rowOff>
    </xdr:to>
    <xdr:graphicFrame macro="">
      <xdr:nvGraphicFramePr>
        <xdr:cNvPr id="21" name="C20_P04Q1">
          <a:extLst>
            <a:ext uri="{FF2B5EF4-FFF2-40B4-BE49-F238E27FC236}">
              <a16:creationId xmlns:a16="http://schemas.microsoft.com/office/drawing/2014/main" id="{4041895F-A21D-99E8-49B3-E4EF27BF3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0</xdr:colOff>
      <xdr:row>181</xdr:row>
      <xdr:rowOff>60960</xdr:rowOff>
    </xdr:from>
    <xdr:to>
      <xdr:col>13</xdr:col>
      <xdr:colOff>698500</xdr:colOff>
      <xdr:row>195</xdr:row>
      <xdr:rowOff>147320</xdr:rowOff>
    </xdr:to>
    <xdr:graphicFrame macro="">
      <xdr:nvGraphicFramePr>
        <xdr:cNvPr id="22" name="C21_P04Q2">
          <a:extLst>
            <a:ext uri="{FF2B5EF4-FFF2-40B4-BE49-F238E27FC236}">
              <a16:creationId xmlns:a16="http://schemas.microsoft.com/office/drawing/2014/main" id="{9BD00C4E-8711-F6F7-8D1E-29CB0B505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0</xdr:colOff>
      <xdr:row>181</xdr:row>
      <xdr:rowOff>60960</xdr:rowOff>
    </xdr:from>
    <xdr:to>
      <xdr:col>20</xdr:col>
      <xdr:colOff>698500</xdr:colOff>
      <xdr:row>195</xdr:row>
      <xdr:rowOff>147320</xdr:rowOff>
    </xdr:to>
    <xdr:graphicFrame macro="">
      <xdr:nvGraphicFramePr>
        <xdr:cNvPr id="23" name="C22_P04Q3">
          <a:extLst>
            <a:ext uri="{FF2B5EF4-FFF2-40B4-BE49-F238E27FC236}">
              <a16:creationId xmlns:a16="http://schemas.microsoft.com/office/drawing/2014/main" id="{3E516C7A-167F-1023-F653-88E198F79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0</xdr:colOff>
      <xdr:row>203</xdr:row>
      <xdr:rowOff>116840</xdr:rowOff>
    </xdr:from>
    <xdr:to>
      <xdr:col>6</xdr:col>
      <xdr:colOff>698500</xdr:colOff>
      <xdr:row>218</xdr:row>
      <xdr:rowOff>27940</xdr:rowOff>
    </xdr:to>
    <xdr:graphicFrame macro="">
      <xdr:nvGraphicFramePr>
        <xdr:cNvPr id="24" name="C23_P04Q4">
          <a:extLst>
            <a:ext uri="{FF2B5EF4-FFF2-40B4-BE49-F238E27FC236}">
              <a16:creationId xmlns:a16="http://schemas.microsoft.com/office/drawing/2014/main" id="{8A218576-5332-D1EF-6802-FB2CECC2D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0</xdr:colOff>
      <xdr:row>203</xdr:row>
      <xdr:rowOff>116840</xdr:rowOff>
    </xdr:from>
    <xdr:to>
      <xdr:col>13</xdr:col>
      <xdr:colOff>698500</xdr:colOff>
      <xdr:row>218</xdr:row>
      <xdr:rowOff>27940</xdr:rowOff>
    </xdr:to>
    <xdr:graphicFrame macro="">
      <xdr:nvGraphicFramePr>
        <xdr:cNvPr id="25" name="C24_P04Q5">
          <a:extLst>
            <a:ext uri="{FF2B5EF4-FFF2-40B4-BE49-F238E27FC236}">
              <a16:creationId xmlns:a16="http://schemas.microsoft.com/office/drawing/2014/main" id="{18499859-5B63-CC02-7884-9284F1000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xdr:col>
      <xdr:colOff>0</xdr:colOff>
      <xdr:row>203</xdr:row>
      <xdr:rowOff>116840</xdr:rowOff>
    </xdr:from>
    <xdr:to>
      <xdr:col>20</xdr:col>
      <xdr:colOff>698500</xdr:colOff>
      <xdr:row>218</xdr:row>
      <xdr:rowOff>27940</xdr:rowOff>
    </xdr:to>
    <xdr:graphicFrame macro="">
      <xdr:nvGraphicFramePr>
        <xdr:cNvPr id="26" name="C25_P04Q6">
          <a:extLst>
            <a:ext uri="{FF2B5EF4-FFF2-40B4-BE49-F238E27FC236}">
              <a16:creationId xmlns:a16="http://schemas.microsoft.com/office/drawing/2014/main" id="{E8880EE6-B2CA-7432-ED8A-9AF8430C2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0</xdr:colOff>
      <xdr:row>228</xdr:row>
      <xdr:rowOff>81280</xdr:rowOff>
    </xdr:from>
    <xdr:to>
      <xdr:col>6</xdr:col>
      <xdr:colOff>698500</xdr:colOff>
      <xdr:row>242</xdr:row>
      <xdr:rowOff>167640</xdr:rowOff>
    </xdr:to>
    <xdr:graphicFrame macro="">
      <xdr:nvGraphicFramePr>
        <xdr:cNvPr id="27" name="C26_P05Q1">
          <a:extLst>
            <a:ext uri="{FF2B5EF4-FFF2-40B4-BE49-F238E27FC236}">
              <a16:creationId xmlns:a16="http://schemas.microsoft.com/office/drawing/2014/main" id="{7F37F8F0-968C-6ED9-31C6-D85F370E4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8</xdr:col>
      <xdr:colOff>0</xdr:colOff>
      <xdr:row>228</xdr:row>
      <xdr:rowOff>81280</xdr:rowOff>
    </xdr:from>
    <xdr:to>
      <xdr:col>13</xdr:col>
      <xdr:colOff>698500</xdr:colOff>
      <xdr:row>242</xdr:row>
      <xdr:rowOff>167640</xdr:rowOff>
    </xdr:to>
    <xdr:graphicFrame macro="">
      <xdr:nvGraphicFramePr>
        <xdr:cNvPr id="28" name="C27_P05Q2">
          <a:extLst>
            <a:ext uri="{FF2B5EF4-FFF2-40B4-BE49-F238E27FC236}">
              <a16:creationId xmlns:a16="http://schemas.microsoft.com/office/drawing/2014/main" id="{D3B6D5AC-A751-FA66-A5F8-06DC43A52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0</xdr:colOff>
      <xdr:row>228</xdr:row>
      <xdr:rowOff>81280</xdr:rowOff>
    </xdr:from>
    <xdr:to>
      <xdr:col>20</xdr:col>
      <xdr:colOff>698500</xdr:colOff>
      <xdr:row>242</xdr:row>
      <xdr:rowOff>167640</xdr:rowOff>
    </xdr:to>
    <xdr:graphicFrame macro="">
      <xdr:nvGraphicFramePr>
        <xdr:cNvPr id="29" name="C28_P05Q3">
          <a:extLst>
            <a:ext uri="{FF2B5EF4-FFF2-40B4-BE49-F238E27FC236}">
              <a16:creationId xmlns:a16="http://schemas.microsoft.com/office/drawing/2014/main" id="{657F039F-EB51-D085-603A-08E45A60A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xdr:col>
      <xdr:colOff>0</xdr:colOff>
      <xdr:row>250</xdr:row>
      <xdr:rowOff>137160</xdr:rowOff>
    </xdr:from>
    <xdr:to>
      <xdr:col>6</xdr:col>
      <xdr:colOff>698500</xdr:colOff>
      <xdr:row>265</xdr:row>
      <xdr:rowOff>48260</xdr:rowOff>
    </xdr:to>
    <xdr:graphicFrame macro="">
      <xdr:nvGraphicFramePr>
        <xdr:cNvPr id="30" name="C29_P05Q4">
          <a:extLst>
            <a:ext uri="{FF2B5EF4-FFF2-40B4-BE49-F238E27FC236}">
              <a16:creationId xmlns:a16="http://schemas.microsoft.com/office/drawing/2014/main" id="{70377F1A-044B-7904-31D8-639AA4C65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8</xdr:col>
      <xdr:colOff>0</xdr:colOff>
      <xdr:row>250</xdr:row>
      <xdr:rowOff>137160</xdr:rowOff>
    </xdr:from>
    <xdr:to>
      <xdr:col>13</xdr:col>
      <xdr:colOff>698500</xdr:colOff>
      <xdr:row>265</xdr:row>
      <xdr:rowOff>48260</xdr:rowOff>
    </xdr:to>
    <xdr:graphicFrame macro="">
      <xdr:nvGraphicFramePr>
        <xdr:cNvPr id="31" name="C30_P05Q5">
          <a:extLst>
            <a:ext uri="{FF2B5EF4-FFF2-40B4-BE49-F238E27FC236}">
              <a16:creationId xmlns:a16="http://schemas.microsoft.com/office/drawing/2014/main" id="{C2ED2FC1-360A-6142-43A9-CD8B35F97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15</xdr:col>
      <xdr:colOff>0</xdr:colOff>
      <xdr:row>250</xdr:row>
      <xdr:rowOff>137160</xdr:rowOff>
    </xdr:from>
    <xdr:to>
      <xdr:col>20</xdr:col>
      <xdr:colOff>698500</xdr:colOff>
      <xdr:row>265</xdr:row>
      <xdr:rowOff>48260</xdr:rowOff>
    </xdr:to>
    <xdr:graphicFrame macro="">
      <xdr:nvGraphicFramePr>
        <xdr:cNvPr id="32" name="C31_P05Q6">
          <a:extLst>
            <a:ext uri="{FF2B5EF4-FFF2-40B4-BE49-F238E27FC236}">
              <a16:creationId xmlns:a16="http://schemas.microsoft.com/office/drawing/2014/main" id="{EE2A4552-8271-3924-EFAF-AA45F7FC4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8</xdr:col>
      <xdr:colOff>0</xdr:colOff>
      <xdr:row>275</xdr:row>
      <xdr:rowOff>101600</xdr:rowOff>
    </xdr:from>
    <xdr:to>
      <xdr:col>13</xdr:col>
      <xdr:colOff>698500</xdr:colOff>
      <xdr:row>290</xdr:row>
      <xdr:rowOff>12700</xdr:rowOff>
    </xdr:to>
    <xdr:graphicFrame macro="">
      <xdr:nvGraphicFramePr>
        <xdr:cNvPr id="34" name="C33_P06Q2">
          <a:extLst>
            <a:ext uri="{FF2B5EF4-FFF2-40B4-BE49-F238E27FC236}">
              <a16:creationId xmlns:a16="http://schemas.microsoft.com/office/drawing/2014/main" id="{0A8057E9-C185-C314-87FC-E4021949B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15</xdr:col>
      <xdr:colOff>0</xdr:colOff>
      <xdr:row>275</xdr:row>
      <xdr:rowOff>101600</xdr:rowOff>
    </xdr:from>
    <xdr:to>
      <xdr:col>20</xdr:col>
      <xdr:colOff>698500</xdr:colOff>
      <xdr:row>290</xdr:row>
      <xdr:rowOff>12700</xdr:rowOff>
    </xdr:to>
    <xdr:graphicFrame macro="">
      <xdr:nvGraphicFramePr>
        <xdr:cNvPr id="35" name="C34_P06Q3">
          <a:extLst>
            <a:ext uri="{FF2B5EF4-FFF2-40B4-BE49-F238E27FC236}">
              <a16:creationId xmlns:a16="http://schemas.microsoft.com/office/drawing/2014/main" id="{33AD87E0-7B7A-87E8-97B3-BC65AD69F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xdr:col>
      <xdr:colOff>0</xdr:colOff>
      <xdr:row>297</xdr:row>
      <xdr:rowOff>157480</xdr:rowOff>
    </xdr:from>
    <xdr:to>
      <xdr:col>6</xdr:col>
      <xdr:colOff>698500</xdr:colOff>
      <xdr:row>312</xdr:row>
      <xdr:rowOff>68580</xdr:rowOff>
    </xdr:to>
    <xdr:graphicFrame macro="">
      <xdr:nvGraphicFramePr>
        <xdr:cNvPr id="36" name="C35_P06Q4">
          <a:extLst>
            <a:ext uri="{FF2B5EF4-FFF2-40B4-BE49-F238E27FC236}">
              <a16:creationId xmlns:a16="http://schemas.microsoft.com/office/drawing/2014/main" id="{90504C4C-079D-B680-47DE-DCE2B33AD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8</xdr:col>
      <xdr:colOff>0</xdr:colOff>
      <xdr:row>297</xdr:row>
      <xdr:rowOff>157480</xdr:rowOff>
    </xdr:from>
    <xdr:to>
      <xdr:col>13</xdr:col>
      <xdr:colOff>698500</xdr:colOff>
      <xdr:row>312</xdr:row>
      <xdr:rowOff>68580</xdr:rowOff>
    </xdr:to>
    <xdr:graphicFrame macro="">
      <xdr:nvGraphicFramePr>
        <xdr:cNvPr id="37" name="C36_P06Q5">
          <a:extLst>
            <a:ext uri="{FF2B5EF4-FFF2-40B4-BE49-F238E27FC236}">
              <a16:creationId xmlns:a16="http://schemas.microsoft.com/office/drawing/2014/main" id="{28DAD262-6F16-411E-B598-CE197F572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15</xdr:col>
      <xdr:colOff>0</xdr:colOff>
      <xdr:row>297</xdr:row>
      <xdr:rowOff>157480</xdr:rowOff>
    </xdr:from>
    <xdr:to>
      <xdr:col>20</xdr:col>
      <xdr:colOff>698500</xdr:colOff>
      <xdr:row>312</xdr:row>
      <xdr:rowOff>68580</xdr:rowOff>
    </xdr:to>
    <xdr:graphicFrame macro="">
      <xdr:nvGraphicFramePr>
        <xdr:cNvPr id="38" name="C37_P06Q6">
          <a:extLst>
            <a:ext uri="{FF2B5EF4-FFF2-40B4-BE49-F238E27FC236}">
              <a16:creationId xmlns:a16="http://schemas.microsoft.com/office/drawing/2014/main" id="{2C6392D6-0A18-9DF1-1BDA-B89748936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xdr:col>
      <xdr:colOff>0</xdr:colOff>
      <xdr:row>322</xdr:row>
      <xdr:rowOff>121920</xdr:rowOff>
    </xdr:from>
    <xdr:to>
      <xdr:col>6</xdr:col>
      <xdr:colOff>698500</xdr:colOff>
      <xdr:row>337</xdr:row>
      <xdr:rowOff>33020</xdr:rowOff>
    </xdr:to>
    <xdr:graphicFrame macro="">
      <xdr:nvGraphicFramePr>
        <xdr:cNvPr id="39" name="C38_P07Q1">
          <a:extLst>
            <a:ext uri="{FF2B5EF4-FFF2-40B4-BE49-F238E27FC236}">
              <a16:creationId xmlns:a16="http://schemas.microsoft.com/office/drawing/2014/main" id="{348A597D-1F05-CE3F-29D1-27CFD0EAF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8</xdr:col>
      <xdr:colOff>0</xdr:colOff>
      <xdr:row>322</xdr:row>
      <xdr:rowOff>121920</xdr:rowOff>
    </xdr:from>
    <xdr:to>
      <xdr:col>13</xdr:col>
      <xdr:colOff>698500</xdr:colOff>
      <xdr:row>337</xdr:row>
      <xdr:rowOff>33020</xdr:rowOff>
    </xdr:to>
    <xdr:graphicFrame macro="">
      <xdr:nvGraphicFramePr>
        <xdr:cNvPr id="40" name="C39_P07Q2">
          <a:extLst>
            <a:ext uri="{FF2B5EF4-FFF2-40B4-BE49-F238E27FC236}">
              <a16:creationId xmlns:a16="http://schemas.microsoft.com/office/drawing/2014/main" id="{269D46E6-2A2B-2B4B-BA65-61E44D018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15</xdr:col>
      <xdr:colOff>0</xdr:colOff>
      <xdr:row>322</xdr:row>
      <xdr:rowOff>121920</xdr:rowOff>
    </xdr:from>
    <xdr:to>
      <xdr:col>20</xdr:col>
      <xdr:colOff>698500</xdr:colOff>
      <xdr:row>337</xdr:row>
      <xdr:rowOff>33020</xdr:rowOff>
    </xdr:to>
    <xdr:graphicFrame macro="">
      <xdr:nvGraphicFramePr>
        <xdr:cNvPr id="41" name="C40_P07Q3">
          <a:extLst>
            <a:ext uri="{FF2B5EF4-FFF2-40B4-BE49-F238E27FC236}">
              <a16:creationId xmlns:a16="http://schemas.microsoft.com/office/drawing/2014/main" id="{ACE215F3-4EAD-5DA5-01BD-3BCD2E2B0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xdr:col>
      <xdr:colOff>0</xdr:colOff>
      <xdr:row>345</xdr:row>
      <xdr:rowOff>2540</xdr:rowOff>
    </xdr:from>
    <xdr:to>
      <xdr:col>6</xdr:col>
      <xdr:colOff>698500</xdr:colOff>
      <xdr:row>359</xdr:row>
      <xdr:rowOff>88900</xdr:rowOff>
    </xdr:to>
    <xdr:graphicFrame macro="">
      <xdr:nvGraphicFramePr>
        <xdr:cNvPr id="42" name="C41_P07Q4">
          <a:extLst>
            <a:ext uri="{FF2B5EF4-FFF2-40B4-BE49-F238E27FC236}">
              <a16:creationId xmlns:a16="http://schemas.microsoft.com/office/drawing/2014/main" id="{F4873431-441E-77D5-3FC6-26AB8C36A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8</xdr:col>
      <xdr:colOff>0</xdr:colOff>
      <xdr:row>345</xdr:row>
      <xdr:rowOff>2540</xdr:rowOff>
    </xdr:from>
    <xdr:to>
      <xdr:col>13</xdr:col>
      <xdr:colOff>698500</xdr:colOff>
      <xdr:row>359</xdr:row>
      <xdr:rowOff>88900</xdr:rowOff>
    </xdr:to>
    <xdr:graphicFrame macro="">
      <xdr:nvGraphicFramePr>
        <xdr:cNvPr id="43" name="C42_P07Q5">
          <a:extLst>
            <a:ext uri="{FF2B5EF4-FFF2-40B4-BE49-F238E27FC236}">
              <a16:creationId xmlns:a16="http://schemas.microsoft.com/office/drawing/2014/main" id="{2A32891F-D68B-4674-75E1-B85BA3455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15</xdr:col>
      <xdr:colOff>0</xdr:colOff>
      <xdr:row>345</xdr:row>
      <xdr:rowOff>2540</xdr:rowOff>
    </xdr:from>
    <xdr:to>
      <xdr:col>20</xdr:col>
      <xdr:colOff>698500</xdr:colOff>
      <xdr:row>359</xdr:row>
      <xdr:rowOff>88900</xdr:rowOff>
    </xdr:to>
    <xdr:graphicFrame macro="">
      <xdr:nvGraphicFramePr>
        <xdr:cNvPr id="44" name="C43_P07Q6">
          <a:extLst>
            <a:ext uri="{FF2B5EF4-FFF2-40B4-BE49-F238E27FC236}">
              <a16:creationId xmlns:a16="http://schemas.microsoft.com/office/drawing/2014/main" id="{338F638C-0D8B-4C19-33DF-DB1F8D040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xdr:col>
      <xdr:colOff>0</xdr:colOff>
      <xdr:row>369</xdr:row>
      <xdr:rowOff>142240</xdr:rowOff>
    </xdr:from>
    <xdr:to>
      <xdr:col>6</xdr:col>
      <xdr:colOff>698500</xdr:colOff>
      <xdr:row>384</xdr:row>
      <xdr:rowOff>53340</xdr:rowOff>
    </xdr:to>
    <xdr:graphicFrame macro="">
      <xdr:nvGraphicFramePr>
        <xdr:cNvPr id="45" name="C44_P08Q1">
          <a:extLst>
            <a:ext uri="{FF2B5EF4-FFF2-40B4-BE49-F238E27FC236}">
              <a16:creationId xmlns:a16="http://schemas.microsoft.com/office/drawing/2014/main" id="{769DF7DA-F901-84EE-311F-C18640E35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8</xdr:col>
      <xdr:colOff>0</xdr:colOff>
      <xdr:row>369</xdr:row>
      <xdr:rowOff>142240</xdr:rowOff>
    </xdr:from>
    <xdr:to>
      <xdr:col>13</xdr:col>
      <xdr:colOff>698500</xdr:colOff>
      <xdr:row>384</xdr:row>
      <xdr:rowOff>53340</xdr:rowOff>
    </xdr:to>
    <xdr:graphicFrame macro="">
      <xdr:nvGraphicFramePr>
        <xdr:cNvPr id="46" name="C45_P08Q2">
          <a:extLst>
            <a:ext uri="{FF2B5EF4-FFF2-40B4-BE49-F238E27FC236}">
              <a16:creationId xmlns:a16="http://schemas.microsoft.com/office/drawing/2014/main" id="{B54B8CB7-EB85-E9F9-4D0B-FC8CC3ACD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15</xdr:col>
      <xdr:colOff>0</xdr:colOff>
      <xdr:row>369</xdr:row>
      <xdr:rowOff>142240</xdr:rowOff>
    </xdr:from>
    <xdr:to>
      <xdr:col>20</xdr:col>
      <xdr:colOff>698500</xdr:colOff>
      <xdr:row>384</xdr:row>
      <xdr:rowOff>53340</xdr:rowOff>
    </xdr:to>
    <xdr:graphicFrame macro="">
      <xdr:nvGraphicFramePr>
        <xdr:cNvPr id="47" name="C46_P08Q3">
          <a:extLst>
            <a:ext uri="{FF2B5EF4-FFF2-40B4-BE49-F238E27FC236}">
              <a16:creationId xmlns:a16="http://schemas.microsoft.com/office/drawing/2014/main" id="{EE1F1AD3-23FC-49DA-E5BF-DF181010E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xdr:col>
      <xdr:colOff>0</xdr:colOff>
      <xdr:row>392</xdr:row>
      <xdr:rowOff>22860</xdr:rowOff>
    </xdr:from>
    <xdr:to>
      <xdr:col>6</xdr:col>
      <xdr:colOff>698500</xdr:colOff>
      <xdr:row>406</xdr:row>
      <xdr:rowOff>109220</xdr:rowOff>
    </xdr:to>
    <xdr:graphicFrame macro="">
      <xdr:nvGraphicFramePr>
        <xdr:cNvPr id="48" name="C47_P08Q4">
          <a:extLst>
            <a:ext uri="{FF2B5EF4-FFF2-40B4-BE49-F238E27FC236}">
              <a16:creationId xmlns:a16="http://schemas.microsoft.com/office/drawing/2014/main" id="{57B9D84D-4BD6-3F54-77D9-4B9185E19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8</xdr:col>
      <xdr:colOff>0</xdr:colOff>
      <xdr:row>392</xdr:row>
      <xdr:rowOff>22860</xdr:rowOff>
    </xdr:from>
    <xdr:to>
      <xdr:col>13</xdr:col>
      <xdr:colOff>698500</xdr:colOff>
      <xdr:row>406</xdr:row>
      <xdr:rowOff>109220</xdr:rowOff>
    </xdr:to>
    <xdr:graphicFrame macro="">
      <xdr:nvGraphicFramePr>
        <xdr:cNvPr id="49" name="C48_P08Q5">
          <a:extLst>
            <a:ext uri="{FF2B5EF4-FFF2-40B4-BE49-F238E27FC236}">
              <a16:creationId xmlns:a16="http://schemas.microsoft.com/office/drawing/2014/main" id="{A021952F-84F8-DD44-FDE2-57CA03B55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15</xdr:col>
      <xdr:colOff>0</xdr:colOff>
      <xdr:row>392</xdr:row>
      <xdr:rowOff>22860</xdr:rowOff>
    </xdr:from>
    <xdr:to>
      <xdr:col>20</xdr:col>
      <xdr:colOff>698500</xdr:colOff>
      <xdr:row>406</xdr:row>
      <xdr:rowOff>109220</xdr:rowOff>
    </xdr:to>
    <xdr:graphicFrame macro="">
      <xdr:nvGraphicFramePr>
        <xdr:cNvPr id="50" name="C49_P08Q6">
          <a:extLst>
            <a:ext uri="{FF2B5EF4-FFF2-40B4-BE49-F238E27FC236}">
              <a16:creationId xmlns:a16="http://schemas.microsoft.com/office/drawing/2014/main" id="{0108F9FE-CD00-1B91-16DC-A43806692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xdr:col>
      <xdr:colOff>0</xdr:colOff>
      <xdr:row>416</xdr:row>
      <xdr:rowOff>162560</xdr:rowOff>
    </xdr:from>
    <xdr:to>
      <xdr:col>6</xdr:col>
      <xdr:colOff>698500</xdr:colOff>
      <xdr:row>431</xdr:row>
      <xdr:rowOff>73660</xdr:rowOff>
    </xdr:to>
    <xdr:graphicFrame macro="">
      <xdr:nvGraphicFramePr>
        <xdr:cNvPr id="51" name="C50_P09Q1">
          <a:extLst>
            <a:ext uri="{FF2B5EF4-FFF2-40B4-BE49-F238E27FC236}">
              <a16:creationId xmlns:a16="http://schemas.microsoft.com/office/drawing/2014/main" id="{1496EEEE-F6AE-A640-6492-C0F56F13D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8</xdr:col>
      <xdr:colOff>0</xdr:colOff>
      <xdr:row>416</xdr:row>
      <xdr:rowOff>162560</xdr:rowOff>
    </xdr:from>
    <xdr:to>
      <xdr:col>13</xdr:col>
      <xdr:colOff>698500</xdr:colOff>
      <xdr:row>431</xdr:row>
      <xdr:rowOff>73660</xdr:rowOff>
    </xdr:to>
    <xdr:graphicFrame macro="">
      <xdr:nvGraphicFramePr>
        <xdr:cNvPr id="52" name="C51_P09Q2">
          <a:extLst>
            <a:ext uri="{FF2B5EF4-FFF2-40B4-BE49-F238E27FC236}">
              <a16:creationId xmlns:a16="http://schemas.microsoft.com/office/drawing/2014/main" id="{58891383-697F-2BB6-D36A-3771453CE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15</xdr:col>
      <xdr:colOff>0</xdr:colOff>
      <xdr:row>416</xdr:row>
      <xdr:rowOff>162560</xdr:rowOff>
    </xdr:from>
    <xdr:to>
      <xdr:col>20</xdr:col>
      <xdr:colOff>698500</xdr:colOff>
      <xdr:row>431</xdr:row>
      <xdr:rowOff>73660</xdr:rowOff>
    </xdr:to>
    <xdr:graphicFrame macro="">
      <xdr:nvGraphicFramePr>
        <xdr:cNvPr id="53" name="C52_P09Q3">
          <a:extLst>
            <a:ext uri="{FF2B5EF4-FFF2-40B4-BE49-F238E27FC236}">
              <a16:creationId xmlns:a16="http://schemas.microsoft.com/office/drawing/2014/main" id="{4838B541-49B0-C957-AB9B-B9E21A7E7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xdr:col>
      <xdr:colOff>0</xdr:colOff>
      <xdr:row>439</xdr:row>
      <xdr:rowOff>43180</xdr:rowOff>
    </xdr:from>
    <xdr:to>
      <xdr:col>6</xdr:col>
      <xdr:colOff>698500</xdr:colOff>
      <xdr:row>453</xdr:row>
      <xdr:rowOff>129540</xdr:rowOff>
    </xdr:to>
    <xdr:graphicFrame macro="">
      <xdr:nvGraphicFramePr>
        <xdr:cNvPr id="54" name="C53_P09Q4">
          <a:extLst>
            <a:ext uri="{FF2B5EF4-FFF2-40B4-BE49-F238E27FC236}">
              <a16:creationId xmlns:a16="http://schemas.microsoft.com/office/drawing/2014/main" id="{C71A11E1-F360-81AC-DE1D-2FA3600E0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8</xdr:col>
      <xdr:colOff>0</xdr:colOff>
      <xdr:row>439</xdr:row>
      <xdr:rowOff>43180</xdr:rowOff>
    </xdr:from>
    <xdr:to>
      <xdr:col>13</xdr:col>
      <xdr:colOff>698500</xdr:colOff>
      <xdr:row>453</xdr:row>
      <xdr:rowOff>129540</xdr:rowOff>
    </xdr:to>
    <xdr:graphicFrame macro="">
      <xdr:nvGraphicFramePr>
        <xdr:cNvPr id="55" name="C54_P09Q5">
          <a:extLst>
            <a:ext uri="{FF2B5EF4-FFF2-40B4-BE49-F238E27FC236}">
              <a16:creationId xmlns:a16="http://schemas.microsoft.com/office/drawing/2014/main" id="{7490FD2F-8E21-3755-5FA3-4BC9AEAAD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15</xdr:col>
      <xdr:colOff>0</xdr:colOff>
      <xdr:row>439</xdr:row>
      <xdr:rowOff>43180</xdr:rowOff>
    </xdr:from>
    <xdr:to>
      <xdr:col>20</xdr:col>
      <xdr:colOff>698500</xdr:colOff>
      <xdr:row>453</xdr:row>
      <xdr:rowOff>129540</xdr:rowOff>
    </xdr:to>
    <xdr:graphicFrame macro="">
      <xdr:nvGraphicFramePr>
        <xdr:cNvPr id="56" name="C55_P09Q6">
          <a:extLst>
            <a:ext uri="{FF2B5EF4-FFF2-40B4-BE49-F238E27FC236}">
              <a16:creationId xmlns:a16="http://schemas.microsoft.com/office/drawing/2014/main" id="{9150DA4A-F21D-AEB0-F782-A5AE65910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1</xdr:col>
      <xdr:colOff>0</xdr:colOff>
      <xdr:row>464</xdr:row>
      <xdr:rowOff>7620</xdr:rowOff>
    </xdr:from>
    <xdr:to>
      <xdr:col>6</xdr:col>
      <xdr:colOff>698500</xdr:colOff>
      <xdr:row>478</xdr:row>
      <xdr:rowOff>93980</xdr:rowOff>
    </xdr:to>
    <xdr:graphicFrame macro="">
      <xdr:nvGraphicFramePr>
        <xdr:cNvPr id="57" name="C56_P10Q1">
          <a:extLst>
            <a:ext uri="{FF2B5EF4-FFF2-40B4-BE49-F238E27FC236}">
              <a16:creationId xmlns:a16="http://schemas.microsoft.com/office/drawing/2014/main" id="{DC250B9F-BD24-686E-3AF4-1646C05D0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8</xdr:col>
      <xdr:colOff>0</xdr:colOff>
      <xdr:row>464</xdr:row>
      <xdr:rowOff>7620</xdr:rowOff>
    </xdr:from>
    <xdr:to>
      <xdr:col>13</xdr:col>
      <xdr:colOff>698500</xdr:colOff>
      <xdr:row>478</xdr:row>
      <xdr:rowOff>93980</xdr:rowOff>
    </xdr:to>
    <xdr:graphicFrame macro="">
      <xdr:nvGraphicFramePr>
        <xdr:cNvPr id="58" name="C57_P10Q2">
          <a:extLst>
            <a:ext uri="{FF2B5EF4-FFF2-40B4-BE49-F238E27FC236}">
              <a16:creationId xmlns:a16="http://schemas.microsoft.com/office/drawing/2014/main" id="{0ADDBBC0-D1F9-9761-D242-756C40496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15</xdr:col>
      <xdr:colOff>0</xdr:colOff>
      <xdr:row>464</xdr:row>
      <xdr:rowOff>7620</xdr:rowOff>
    </xdr:from>
    <xdr:to>
      <xdr:col>20</xdr:col>
      <xdr:colOff>698500</xdr:colOff>
      <xdr:row>478</xdr:row>
      <xdr:rowOff>93980</xdr:rowOff>
    </xdr:to>
    <xdr:graphicFrame macro="">
      <xdr:nvGraphicFramePr>
        <xdr:cNvPr id="59" name="C58_P10Q3">
          <a:extLst>
            <a:ext uri="{FF2B5EF4-FFF2-40B4-BE49-F238E27FC236}">
              <a16:creationId xmlns:a16="http://schemas.microsoft.com/office/drawing/2014/main" id="{65B407D2-2CEC-D572-4552-ED169ED11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1</xdr:col>
      <xdr:colOff>0</xdr:colOff>
      <xdr:row>486</xdr:row>
      <xdr:rowOff>63500</xdr:rowOff>
    </xdr:from>
    <xdr:to>
      <xdr:col>6</xdr:col>
      <xdr:colOff>698500</xdr:colOff>
      <xdr:row>500</xdr:row>
      <xdr:rowOff>149860</xdr:rowOff>
    </xdr:to>
    <xdr:graphicFrame macro="">
      <xdr:nvGraphicFramePr>
        <xdr:cNvPr id="60" name="C59_P10Q4">
          <a:extLst>
            <a:ext uri="{FF2B5EF4-FFF2-40B4-BE49-F238E27FC236}">
              <a16:creationId xmlns:a16="http://schemas.microsoft.com/office/drawing/2014/main" id="{864421C4-8108-4D1D-0A5A-CBB86EAD4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8</xdr:col>
      <xdr:colOff>0</xdr:colOff>
      <xdr:row>486</xdr:row>
      <xdr:rowOff>63500</xdr:rowOff>
    </xdr:from>
    <xdr:to>
      <xdr:col>13</xdr:col>
      <xdr:colOff>698500</xdr:colOff>
      <xdr:row>500</xdr:row>
      <xdr:rowOff>149860</xdr:rowOff>
    </xdr:to>
    <xdr:graphicFrame macro="">
      <xdr:nvGraphicFramePr>
        <xdr:cNvPr id="61" name="C60_P10Q5">
          <a:extLst>
            <a:ext uri="{FF2B5EF4-FFF2-40B4-BE49-F238E27FC236}">
              <a16:creationId xmlns:a16="http://schemas.microsoft.com/office/drawing/2014/main" id="{9BE915F3-BE36-F4B7-4AEC-91C90E585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15</xdr:col>
      <xdr:colOff>0</xdr:colOff>
      <xdr:row>486</xdr:row>
      <xdr:rowOff>63500</xdr:rowOff>
    </xdr:from>
    <xdr:to>
      <xdr:col>20</xdr:col>
      <xdr:colOff>698500</xdr:colOff>
      <xdr:row>500</xdr:row>
      <xdr:rowOff>149860</xdr:rowOff>
    </xdr:to>
    <xdr:graphicFrame macro="">
      <xdr:nvGraphicFramePr>
        <xdr:cNvPr id="62" name="C61_P10Q6">
          <a:extLst>
            <a:ext uri="{FF2B5EF4-FFF2-40B4-BE49-F238E27FC236}">
              <a16:creationId xmlns:a16="http://schemas.microsoft.com/office/drawing/2014/main" id="{DBF92610-B227-35A1-4FD3-DBD550EC4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1</xdr:col>
      <xdr:colOff>0</xdr:colOff>
      <xdr:row>511</xdr:row>
      <xdr:rowOff>27940</xdr:rowOff>
    </xdr:from>
    <xdr:to>
      <xdr:col>6</xdr:col>
      <xdr:colOff>698500</xdr:colOff>
      <xdr:row>525</xdr:row>
      <xdr:rowOff>114300</xdr:rowOff>
    </xdr:to>
    <xdr:graphicFrame macro="">
      <xdr:nvGraphicFramePr>
        <xdr:cNvPr id="63" name="C62_P12Q1">
          <a:extLst>
            <a:ext uri="{FF2B5EF4-FFF2-40B4-BE49-F238E27FC236}">
              <a16:creationId xmlns:a16="http://schemas.microsoft.com/office/drawing/2014/main" id="{BD9D4A0D-EC66-4CB5-ED8C-CBD051C1E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8</xdr:col>
      <xdr:colOff>0</xdr:colOff>
      <xdr:row>511</xdr:row>
      <xdr:rowOff>27940</xdr:rowOff>
    </xdr:from>
    <xdr:to>
      <xdr:col>13</xdr:col>
      <xdr:colOff>698500</xdr:colOff>
      <xdr:row>525</xdr:row>
      <xdr:rowOff>114300</xdr:rowOff>
    </xdr:to>
    <xdr:graphicFrame macro="">
      <xdr:nvGraphicFramePr>
        <xdr:cNvPr id="64" name="C63_P12Q2">
          <a:extLst>
            <a:ext uri="{FF2B5EF4-FFF2-40B4-BE49-F238E27FC236}">
              <a16:creationId xmlns:a16="http://schemas.microsoft.com/office/drawing/2014/main" id="{7EDF752E-EC68-116A-9408-B1D5F46A6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15</xdr:col>
      <xdr:colOff>0</xdr:colOff>
      <xdr:row>511</xdr:row>
      <xdr:rowOff>27940</xdr:rowOff>
    </xdr:from>
    <xdr:to>
      <xdr:col>20</xdr:col>
      <xdr:colOff>698500</xdr:colOff>
      <xdr:row>525</xdr:row>
      <xdr:rowOff>114300</xdr:rowOff>
    </xdr:to>
    <xdr:graphicFrame macro="">
      <xdr:nvGraphicFramePr>
        <xdr:cNvPr id="65" name="C64_P12Q3">
          <a:extLst>
            <a:ext uri="{FF2B5EF4-FFF2-40B4-BE49-F238E27FC236}">
              <a16:creationId xmlns:a16="http://schemas.microsoft.com/office/drawing/2014/main" id="{0263FF67-4838-CD3D-DD49-E542C261E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1</xdr:col>
      <xdr:colOff>0</xdr:colOff>
      <xdr:row>533</xdr:row>
      <xdr:rowOff>83820</xdr:rowOff>
    </xdr:from>
    <xdr:to>
      <xdr:col>6</xdr:col>
      <xdr:colOff>698500</xdr:colOff>
      <xdr:row>547</xdr:row>
      <xdr:rowOff>170180</xdr:rowOff>
    </xdr:to>
    <xdr:graphicFrame macro="">
      <xdr:nvGraphicFramePr>
        <xdr:cNvPr id="66" name="C65_P12Q4">
          <a:extLst>
            <a:ext uri="{FF2B5EF4-FFF2-40B4-BE49-F238E27FC236}">
              <a16:creationId xmlns:a16="http://schemas.microsoft.com/office/drawing/2014/main" id="{02D11AFE-D3D1-27B6-0B2B-503DA2664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8</xdr:col>
      <xdr:colOff>0</xdr:colOff>
      <xdr:row>533</xdr:row>
      <xdr:rowOff>83820</xdr:rowOff>
    </xdr:from>
    <xdr:to>
      <xdr:col>13</xdr:col>
      <xdr:colOff>698500</xdr:colOff>
      <xdr:row>547</xdr:row>
      <xdr:rowOff>170180</xdr:rowOff>
    </xdr:to>
    <xdr:graphicFrame macro="">
      <xdr:nvGraphicFramePr>
        <xdr:cNvPr id="67" name="C66_P12Q5">
          <a:extLst>
            <a:ext uri="{FF2B5EF4-FFF2-40B4-BE49-F238E27FC236}">
              <a16:creationId xmlns:a16="http://schemas.microsoft.com/office/drawing/2014/main" id="{7B351D2F-1022-D594-2FA8-73E3E6D2A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15</xdr:col>
      <xdr:colOff>0</xdr:colOff>
      <xdr:row>533</xdr:row>
      <xdr:rowOff>83820</xdr:rowOff>
    </xdr:from>
    <xdr:to>
      <xdr:col>20</xdr:col>
      <xdr:colOff>698500</xdr:colOff>
      <xdr:row>547</xdr:row>
      <xdr:rowOff>170180</xdr:rowOff>
    </xdr:to>
    <xdr:graphicFrame macro="">
      <xdr:nvGraphicFramePr>
        <xdr:cNvPr id="68" name="C67_P12Q6">
          <a:extLst>
            <a:ext uri="{FF2B5EF4-FFF2-40B4-BE49-F238E27FC236}">
              <a16:creationId xmlns:a16="http://schemas.microsoft.com/office/drawing/2014/main" id="{186F1417-B091-6DA2-BD09-893FCF002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1</xdr:col>
      <xdr:colOff>0</xdr:colOff>
      <xdr:row>558</xdr:row>
      <xdr:rowOff>48260</xdr:rowOff>
    </xdr:from>
    <xdr:to>
      <xdr:col>6</xdr:col>
      <xdr:colOff>698500</xdr:colOff>
      <xdr:row>572</xdr:row>
      <xdr:rowOff>134620</xdr:rowOff>
    </xdr:to>
    <xdr:graphicFrame macro="">
      <xdr:nvGraphicFramePr>
        <xdr:cNvPr id="69" name="C68_P13Q1">
          <a:extLst>
            <a:ext uri="{FF2B5EF4-FFF2-40B4-BE49-F238E27FC236}">
              <a16:creationId xmlns:a16="http://schemas.microsoft.com/office/drawing/2014/main" id="{5F8FB812-6E5D-8898-7D9D-207882343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8</xdr:col>
      <xdr:colOff>0</xdr:colOff>
      <xdr:row>558</xdr:row>
      <xdr:rowOff>48260</xdr:rowOff>
    </xdr:from>
    <xdr:to>
      <xdr:col>13</xdr:col>
      <xdr:colOff>698500</xdr:colOff>
      <xdr:row>572</xdr:row>
      <xdr:rowOff>134620</xdr:rowOff>
    </xdr:to>
    <xdr:graphicFrame macro="">
      <xdr:nvGraphicFramePr>
        <xdr:cNvPr id="70" name="C69_P13Q2">
          <a:extLst>
            <a:ext uri="{FF2B5EF4-FFF2-40B4-BE49-F238E27FC236}">
              <a16:creationId xmlns:a16="http://schemas.microsoft.com/office/drawing/2014/main" id="{F83168E6-2F6B-37BF-41DB-26C6576FF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15</xdr:col>
      <xdr:colOff>0</xdr:colOff>
      <xdr:row>558</xdr:row>
      <xdr:rowOff>48260</xdr:rowOff>
    </xdr:from>
    <xdr:to>
      <xdr:col>20</xdr:col>
      <xdr:colOff>698500</xdr:colOff>
      <xdr:row>572</xdr:row>
      <xdr:rowOff>134620</xdr:rowOff>
    </xdr:to>
    <xdr:graphicFrame macro="">
      <xdr:nvGraphicFramePr>
        <xdr:cNvPr id="71" name="C70_P13Q3">
          <a:extLst>
            <a:ext uri="{FF2B5EF4-FFF2-40B4-BE49-F238E27FC236}">
              <a16:creationId xmlns:a16="http://schemas.microsoft.com/office/drawing/2014/main" id="{0937F80A-C3E6-CD0E-3D86-0D53692D4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1</xdr:col>
      <xdr:colOff>0</xdr:colOff>
      <xdr:row>580</xdr:row>
      <xdr:rowOff>104140</xdr:rowOff>
    </xdr:from>
    <xdr:to>
      <xdr:col>6</xdr:col>
      <xdr:colOff>698500</xdr:colOff>
      <xdr:row>595</xdr:row>
      <xdr:rowOff>15240</xdr:rowOff>
    </xdr:to>
    <xdr:graphicFrame macro="">
      <xdr:nvGraphicFramePr>
        <xdr:cNvPr id="72" name="C71_P13Q4">
          <a:extLst>
            <a:ext uri="{FF2B5EF4-FFF2-40B4-BE49-F238E27FC236}">
              <a16:creationId xmlns:a16="http://schemas.microsoft.com/office/drawing/2014/main" id="{821A5A20-AFCB-55EE-5F12-95A7B8EEB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8</xdr:col>
      <xdr:colOff>0</xdr:colOff>
      <xdr:row>580</xdr:row>
      <xdr:rowOff>104140</xdr:rowOff>
    </xdr:from>
    <xdr:to>
      <xdr:col>13</xdr:col>
      <xdr:colOff>698500</xdr:colOff>
      <xdr:row>595</xdr:row>
      <xdr:rowOff>15240</xdr:rowOff>
    </xdr:to>
    <xdr:graphicFrame macro="">
      <xdr:nvGraphicFramePr>
        <xdr:cNvPr id="73" name="C72_P13Q5">
          <a:extLst>
            <a:ext uri="{FF2B5EF4-FFF2-40B4-BE49-F238E27FC236}">
              <a16:creationId xmlns:a16="http://schemas.microsoft.com/office/drawing/2014/main" id="{205A0C3E-7468-4846-798B-28BB7F3B4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15</xdr:col>
      <xdr:colOff>0</xdr:colOff>
      <xdr:row>580</xdr:row>
      <xdr:rowOff>104140</xdr:rowOff>
    </xdr:from>
    <xdr:to>
      <xdr:col>20</xdr:col>
      <xdr:colOff>698500</xdr:colOff>
      <xdr:row>595</xdr:row>
      <xdr:rowOff>15240</xdr:rowOff>
    </xdr:to>
    <xdr:graphicFrame macro="">
      <xdr:nvGraphicFramePr>
        <xdr:cNvPr id="74" name="C73_P13Q6">
          <a:extLst>
            <a:ext uri="{FF2B5EF4-FFF2-40B4-BE49-F238E27FC236}">
              <a16:creationId xmlns:a16="http://schemas.microsoft.com/office/drawing/2014/main" id="{BD78CF5F-B053-36AC-A5A5-A8F01A413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1</xdr:col>
      <xdr:colOff>0</xdr:colOff>
      <xdr:row>605</xdr:row>
      <xdr:rowOff>68580</xdr:rowOff>
    </xdr:from>
    <xdr:to>
      <xdr:col>6</xdr:col>
      <xdr:colOff>698500</xdr:colOff>
      <xdr:row>619</xdr:row>
      <xdr:rowOff>154940</xdr:rowOff>
    </xdr:to>
    <xdr:graphicFrame macro="">
      <xdr:nvGraphicFramePr>
        <xdr:cNvPr id="75" name="C74_P14Q1">
          <a:extLst>
            <a:ext uri="{FF2B5EF4-FFF2-40B4-BE49-F238E27FC236}">
              <a16:creationId xmlns:a16="http://schemas.microsoft.com/office/drawing/2014/main" id="{F7225323-0FF9-B1CB-63E0-C02997263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8</xdr:col>
      <xdr:colOff>0</xdr:colOff>
      <xdr:row>605</xdr:row>
      <xdr:rowOff>68580</xdr:rowOff>
    </xdr:from>
    <xdr:to>
      <xdr:col>13</xdr:col>
      <xdr:colOff>698500</xdr:colOff>
      <xdr:row>619</xdr:row>
      <xdr:rowOff>154940</xdr:rowOff>
    </xdr:to>
    <xdr:graphicFrame macro="">
      <xdr:nvGraphicFramePr>
        <xdr:cNvPr id="76" name="C75_P14Q2">
          <a:extLst>
            <a:ext uri="{FF2B5EF4-FFF2-40B4-BE49-F238E27FC236}">
              <a16:creationId xmlns:a16="http://schemas.microsoft.com/office/drawing/2014/main" id="{5464D7FF-CA1E-45AA-5C0C-10FCF766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15</xdr:col>
      <xdr:colOff>0</xdr:colOff>
      <xdr:row>605</xdr:row>
      <xdr:rowOff>68580</xdr:rowOff>
    </xdr:from>
    <xdr:to>
      <xdr:col>20</xdr:col>
      <xdr:colOff>698500</xdr:colOff>
      <xdr:row>619</xdr:row>
      <xdr:rowOff>154940</xdr:rowOff>
    </xdr:to>
    <xdr:graphicFrame macro="">
      <xdr:nvGraphicFramePr>
        <xdr:cNvPr id="77" name="C76_P14Q3">
          <a:extLst>
            <a:ext uri="{FF2B5EF4-FFF2-40B4-BE49-F238E27FC236}">
              <a16:creationId xmlns:a16="http://schemas.microsoft.com/office/drawing/2014/main" id="{6866502C-37E1-1A78-FF11-C41ADBFE4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xdr:from>
      <xdr:col>1</xdr:col>
      <xdr:colOff>0</xdr:colOff>
      <xdr:row>627</xdr:row>
      <xdr:rowOff>124460</xdr:rowOff>
    </xdr:from>
    <xdr:to>
      <xdr:col>6</xdr:col>
      <xdr:colOff>698500</xdr:colOff>
      <xdr:row>642</xdr:row>
      <xdr:rowOff>35560</xdr:rowOff>
    </xdr:to>
    <xdr:graphicFrame macro="">
      <xdr:nvGraphicFramePr>
        <xdr:cNvPr id="78" name="C77_P14Q4">
          <a:extLst>
            <a:ext uri="{FF2B5EF4-FFF2-40B4-BE49-F238E27FC236}">
              <a16:creationId xmlns:a16="http://schemas.microsoft.com/office/drawing/2014/main" id="{1BCC5889-109D-80BF-F067-E9B910242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twoCellAnchor>
    <xdr:from>
      <xdr:col>8</xdr:col>
      <xdr:colOff>0</xdr:colOff>
      <xdr:row>627</xdr:row>
      <xdr:rowOff>124460</xdr:rowOff>
    </xdr:from>
    <xdr:to>
      <xdr:col>13</xdr:col>
      <xdr:colOff>698500</xdr:colOff>
      <xdr:row>642</xdr:row>
      <xdr:rowOff>35560</xdr:rowOff>
    </xdr:to>
    <xdr:graphicFrame macro="">
      <xdr:nvGraphicFramePr>
        <xdr:cNvPr id="79" name="C78_P14Q5">
          <a:extLst>
            <a:ext uri="{FF2B5EF4-FFF2-40B4-BE49-F238E27FC236}">
              <a16:creationId xmlns:a16="http://schemas.microsoft.com/office/drawing/2014/main" id="{756FAC2C-A5A5-B45D-8888-9E420B52B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twoCellAnchor>
  <xdr:twoCellAnchor>
    <xdr:from>
      <xdr:col>15</xdr:col>
      <xdr:colOff>0</xdr:colOff>
      <xdr:row>627</xdr:row>
      <xdr:rowOff>124460</xdr:rowOff>
    </xdr:from>
    <xdr:to>
      <xdr:col>20</xdr:col>
      <xdr:colOff>698500</xdr:colOff>
      <xdr:row>642</xdr:row>
      <xdr:rowOff>35560</xdr:rowOff>
    </xdr:to>
    <xdr:graphicFrame macro="">
      <xdr:nvGraphicFramePr>
        <xdr:cNvPr id="80" name="C79_P14Q6">
          <a:extLst>
            <a:ext uri="{FF2B5EF4-FFF2-40B4-BE49-F238E27FC236}">
              <a16:creationId xmlns:a16="http://schemas.microsoft.com/office/drawing/2014/main" id="{5C45B374-5F39-6016-B85F-052B37DB9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twoCellAnchor>
  <xdr:twoCellAnchor>
    <xdr:from>
      <xdr:col>1</xdr:col>
      <xdr:colOff>0</xdr:colOff>
      <xdr:row>652</xdr:row>
      <xdr:rowOff>88900</xdr:rowOff>
    </xdr:from>
    <xdr:to>
      <xdr:col>6</xdr:col>
      <xdr:colOff>698500</xdr:colOff>
      <xdr:row>667</xdr:row>
      <xdr:rowOff>0</xdr:rowOff>
    </xdr:to>
    <xdr:graphicFrame macro="">
      <xdr:nvGraphicFramePr>
        <xdr:cNvPr id="81" name="C80_P15Q1">
          <a:extLst>
            <a:ext uri="{FF2B5EF4-FFF2-40B4-BE49-F238E27FC236}">
              <a16:creationId xmlns:a16="http://schemas.microsoft.com/office/drawing/2014/main" id="{52E998D1-0EE2-59D6-EF6A-C1157DFD3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9"/>
        </a:graphicData>
      </a:graphic>
    </xdr:graphicFrame>
    <xdr:clientData/>
  </xdr:twoCellAnchor>
  <xdr:twoCellAnchor>
    <xdr:from>
      <xdr:col>8</xdr:col>
      <xdr:colOff>0</xdr:colOff>
      <xdr:row>652</xdr:row>
      <xdr:rowOff>88900</xdr:rowOff>
    </xdr:from>
    <xdr:to>
      <xdr:col>13</xdr:col>
      <xdr:colOff>698500</xdr:colOff>
      <xdr:row>667</xdr:row>
      <xdr:rowOff>0</xdr:rowOff>
    </xdr:to>
    <xdr:graphicFrame macro="">
      <xdr:nvGraphicFramePr>
        <xdr:cNvPr id="82" name="C81_P15Q2">
          <a:extLst>
            <a:ext uri="{FF2B5EF4-FFF2-40B4-BE49-F238E27FC236}">
              <a16:creationId xmlns:a16="http://schemas.microsoft.com/office/drawing/2014/main" id="{703033EB-A0DF-01B1-9324-5F2D9427D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0"/>
        </a:graphicData>
      </a:graphic>
    </xdr:graphicFrame>
    <xdr:clientData/>
  </xdr:twoCellAnchor>
  <xdr:twoCellAnchor>
    <xdr:from>
      <xdr:col>15</xdr:col>
      <xdr:colOff>0</xdr:colOff>
      <xdr:row>652</xdr:row>
      <xdr:rowOff>88900</xdr:rowOff>
    </xdr:from>
    <xdr:to>
      <xdr:col>20</xdr:col>
      <xdr:colOff>698500</xdr:colOff>
      <xdr:row>667</xdr:row>
      <xdr:rowOff>0</xdr:rowOff>
    </xdr:to>
    <xdr:graphicFrame macro="">
      <xdr:nvGraphicFramePr>
        <xdr:cNvPr id="83" name="C82_P15Q3">
          <a:extLst>
            <a:ext uri="{FF2B5EF4-FFF2-40B4-BE49-F238E27FC236}">
              <a16:creationId xmlns:a16="http://schemas.microsoft.com/office/drawing/2014/main" id="{23DDCDE1-985E-A4CA-9FF9-98D82223B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1"/>
        </a:graphicData>
      </a:graphic>
    </xdr:graphicFrame>
    <xdr:clientData/>
  </xdr:twoCellAnchor>
  <xdr:twoCellAnchor>
    <xdr:from>
      <xdr:col>1</xdr:col>
      <xdr:colOff>0</xdr:colOff>
      <xdr:row>674</xdr:row>
      <xdr:rowOff>144780</xdr:rowOff>
    </xdr:from>
    <xdr:to>
      <xdr:col>6</xdr:col>
      <xdr:colOff>698500</xdr:colOff>
      <xdr:row>689</xdr:row>
      <xdr:rowOff>55880</xdr:rowOff>
    </xdr:to>
    <xdr:graphicFrame macro="">
      <xdr:nvGraphicFramePr>
        <xdr:cNvPr id="84" name="C83_P15Q4">
          <a:extLst>
            <a:ext uri="{FF2B5EF4-FFF2-40B4-BE49-F238E27FC236}">
              <a16:creationId xmlns:a16="http://schemas.microsoft.com/office/drawing/2014/main" id="{3967E75F-70AD-D67A-7141-95A4DF0AD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2"/>
        </a:graphicData>
      </a:graphic>
    </xdr:graphicFrame>
    <xdr:clientData/>
  </xdr:twoCellAnchor>
  <xdr:twoCellAnchor>
    <xdr:from>
      <xdr:col>8</xdr:col>
      <xdr:colOff>0</xdr:colOff>
      <xdr:row>674</xdr:row>
      <xdr:rowOff>144780</xdr:rowOff>
    </xdr:from>
    <xdr:to>
      <xdr:col>13</xdr:col>
      <xdr:colOff>698500</xdr:colOff>
      <xdr:row>689</xdr:row>
      <xdr:rowOff>55880</xdr:rowOff>
    </xdr:to>
    <xdr:graphicFrame macro="">
      <xdr:nvGraphicFramePr>
        <xdr:cNvPr id="85" name="C84_P15Q5">
          <a:extLst>
            <a:ext uri="{FF2B5EF4-FFF2-40B4-BE49-F238E27FC236}">
              <a16:creationId xmlns:a16="http://schemas.microsoft.com/office/drawing/2014/main" id="{899EF0BF-CB8F-B4E9-7B20-04DC63492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3"/>
        </a:graphicData>
      </a:graphic>
    </xdr:graphicFrame>
    <xdr:clientData/>
  </xdr:twoCellAnchor>
  <xdr:twoCellAnchor>
    <xdr:from>
      <xdr:col>15</xdr:col>
      <xdr:colOff>0</xdr:colOff>
      <xdr:row>674</xdr:row>
      <xdr:rowOff>144780</xdr:rowOff>
    </xdr:from>
    <xdr:to>
      <xdr:col>20</xdr:col>
      <xdr:colOff>698500</xdr:colOff>
      <xdr:row>689</xdr:row>
      <xdr:rowOff>55880</xdr:rowOff>
    </xdr:to>
    <xdr:graphicFrame macro="">
      <xdr:nvGraphicFramePr>
        <xdr:cNvPr id="86" name="C85_P15Q6">
          <a:extLst>
            <a:ext uri="{FF2B5EF4-FFF2-40B4-BE49-F238E27FC236}">
              <a16:creationId xmlns:a16="http://schemas.microsoft.com/office/drawing/2014/main" id="{A7DB28A3-1E2E-4582-C24B-C33922340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4"/>
        </a:graphicData>
      </a:graphic>
    </xdr:graphicFrame>
    <xdr:clientData/>
  </xdr:twoCellAnchor>
  <xdr:twoCellAnchor>
    <xdr:from>
      <xdr:col>1</xdr:col>
      <xdr:colOff>0</xdr:colOff>
      <xdr:row>697</xdr:row>
      <xdr:rowOff>25400</xdr:rowOff>
    </xdr:from>
    <xdr:to>
      <xdr:col>6</xdr:col>
      <xdr:colOff>698500</xdr:colOff>
      <xdr:row>711</xdr:row>
      <xdr:rowOff>111760</xdr:rowOff>
    </xdr:to>
    <xdr:graphicFrame macro="">
      <xdr:nvGraphicFramePr>
        <xdr:cNvPr id="87" name="C86_P15Q7">
          <a:extLst>
            <a:ext uri="{FF2B5EF4-FFF2-40B4-BE49-F238E27FC236}">
              <a16:creationId xmlns:a16="http://schemas.microsoft.com/office/drawing/2014/main" id="{29AD39EC-861E-2194-08A1-404D7AB6F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5"/>
        </a:graphicData>
      </a:graphic>
    </xdr:graphicFrame>
    <xdr:clientData/>
  </xdr:twoCellAnchor>
  <xdr:twoCellAnchor>
    <xdr:from>
      <xdr:col>1</xdr:col>
      <xdr:colOff>0</xdr:colOff>
      <xdr:row>275</xdr:row>
      <xdr:rowOff>101600</xdr:rowOff>
    </xdr:from>
    <xdr:to>
      <xdr:col>6</xdr:col>
      <xdr:colOff>698500</xdr:colOff>
      <xdr:row>290</xdr:row>
      <xdr:rowOff>12700</xdr:rowOff>
    </xdr:to>
    <xdr:graphicFrame macro="">
      <xdr:nvGraphicFramePr>
        <xdr:cNvPr id="88" name="C32_P06Q1">
          <a:extLst>
            <a:ext uri="{FF2B5EF4-FFF2-40B4-BE49-F238E27FC236}">
              <a16:creationId xmlns:a16="http://schemas.microsoft.com/office/drawing/2014/main" id="{211BD446-E930-6B0D-1D62-896A4B8C3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zar Ahmed" refreshedDate="46282.48078622685" createdVersion="8" refreshedVersion="8" minRefreshableVersion="3" recordCount="50" xr:uid="{866D1A47-1AE0-4EBB-8F12-CB9B5D0B08C9}">
  <cacheSource type="worksheet">
    <worksheetSource ref="A4:J54" sheet="P01-CostOverrun"/>
  </cacheSource>
  <cacheFields count="10">
    <cacheField name="Project_ID" numFmtId="0">
      <sharedItems/>
    </cacheField>
    <cacheField name="Project_Name" numFmtId="0">
      <sharedItems/>
    </cacheField>
    <cacheField name="City" numFmtId="0">
      <sharedItems/>
    </cacheField>
    <cacheField name="Country" numFmtId="0">
      <sharedItems count="3">
        <s v="India"/>
        <s v="Australia"/>
        <s v="New Zealand"/>
      </sharedItems>
    </cacheField>
    <cacheField name="Type" numFmtId="0">
      <sharedItems count="10">
        <s v="Commercial Office"/>
        <s v="IT Park"/>
        <s v="Data Centre"/>
        <s v="Hospital"/>
        <s v="Industrial Warehouse"/>
        <s v="Hotel"/>
        <s v="University Campus"/>
        <s v="Shopping Mall"/>
        <s v="Metro Station"/>
        <s v="Residential Tower"/>
      </sharedItems>
    </cacheField>
    <cacheField name="Budgeted_Cost_USD" numFmtId="0">
      <sharedItems containsSemiMixedTypes="0" containsString="0" containsNumber="1" containsInteger="1" minValue="11046318" maxValue="74394227"/>
    </cacheField>
    <cacheField name="Actual_Cost_USD" numFmtId="0">
      <sharedItems containsSemiMixedTypes="0" containsString="0" containsNumber="1" containsInteger="1" minValue="14494625" maxValue="99048466"/>
    </cacheField>
    <cacheField name="Duration_Months" numFmtId="0">
      <sharedItems containsSemiMixedTypes="0" containsString="0" containsNumber="1" containsInteger="1" minValue="6" maxValue="47"/>
    </cacheField>
    <cacheField name="Variance_USD" numFmtId="0">
      <sharedItems containsSemiMixedTypes="0" containsString="0" containsNumber="1" containsInteger="1" minValue="-1970238" maxValue="24654239"/>
    </cacheField>
    <cacheField name="Variance_%" numFmtId="10">
      <sharedItems containsSemiMixedTypes="0" containsString="0" containsNumber="1" minValue="-4.7123692729843132E-2" maxValue="0.348059728499717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zar Ahmed" refreshedDate="46282.521946064815" createdVersion="8" refreshedVersion="8" minRefreshableVersion="3" recordCount="50" xr:uid="{42A00429-8D6F-44CE-AC41-339DA68FBB09}">
  <cacheSource type="worksheet">
    <worksheetSource ref="A4:K54" sheet="P01-CostOverrun"/>
  </cacheSource>
  <cacheFields count="11">
    <cacheField name="Project_ID" numFmtId="0">
      <sharedItems/>
    </cacheField>
    <cacheField name="Project_Name" numFmtId="0">
      <sharedItems/>
    </cacheField>
    <cacheField name="City" numFmtId="0">
      <sharedItems/>
    </cacheField>
    <cacheField name="Country" numFmtId="0">
      <sharedItems count="3">
        <s v="Australia"/>
        <s v="India"/>
        <s v="New Zealand"/>
      </sharedItems>
    </cacheField>
    <cacheField name="Type" numFmtId="0">
      <sharedItems count="10">
        <s v="Residential Tower"/>
        <s v="IT Park"/>
        <s v="University Campus"/>
        <s v="Industrial Warehouse"/>
        <s v="Data Centre"/>
        <s v="Hospital"/>
        <s v="Commercial Office"/>
        <s v="Hotel"/>
        <s v="Metro Station"/>
        <s v="Shopping Mall"/>
      </sharedItems>
    </cacheField>
    <cacheField name="Budgeted_Cost_USD" numFmtId="0">
      <sharedItems containsSemiMixedTypes="0" containsString="0" containsNumber="1" containsInteger="1" minValue="11046318" maxValue="74394227"/>
    </cacheField>
    <cacheField name="Actual_Cost_USD" numFmtId="0">
      <sharedItems containsSemiMixedTypes="0" containsString="0" containsNumber="1" containsInteger="1" minValue="14494625" maxValue="99048466"/>
    </cacheField>
    <cacheField name="Duration_Months" numFmtId="0">
      <sharedItems containsSemiMixedTypes="0" containsString="0" containsNumber="1" containsInteger="1" minValue="6" maxValue="47"/>
    </cacheField>
    <cacheField name="Variance_USD" numFmtId="0">
      <sharedItems containsSemiMixedTypes="0" containsString="0" containsNumber="1" containsInteger="1" minValue="-1970238" maxValue="24654239"/>
    </cacheField>
    <cacheField name="Variance_%" numFmtId="10">
      <sharedItems containsSemiMixedTypes="0" containsString="0" containsNumber="1" minValue="-4.7123692729843132E-2" maxValue="0.34805972849971717"/>
    </cacheField>
    <cacheField name="Absolute_Variance_USD" numFmtId="0">
      <sharedItems containsSemiMixedTypes="0" containsString="0" containsNumber="1" containsInteger="1" minValue="450670" maxValue="2465423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zar Ahmed" refreshedDate="46283.064728935184" createdVersion="8" refreshedVersion="8" minRefreshableVersion="3" recordCount="50" xr:uid="{B07C0492-2B6C-4419-9BCB-695F374BE726}">
  <cacheSource type="worksheet">
    <worksheetSource ref="A4:K54" sheet="P01-CostOverrun"/>
  </cacheSource>
  <cacheFields count="13">
    <cacheField name="Project_ID" numFmtId="0">
      <sharedItems/>
    </cacheField>
    <cacheField name="Project_Name" numFmtId="0">
      <sharedItems/>
    </cacheField>
    <cacheField name="City" numFmtId="0">
      <sharedItems count="18">
        <s v="Perth"/>
        <s v="Hyderabad"/>
        <s v="Sydney"/>
        <s v="Kolkata"/>
        <s v="Canberra"/>
        <s v="Delhi"/>
        <s v="Mumbai"/>
        <s v="Auckland"/>
        <s v="Chennai"/>
        <s v="Christchurch"/>
        <s v="Adelaide"/>
        <s v="Hamilton"/>
        <s v="Brisbane"/>
        <s v="Ahmedabad"/>
        <s v="Wellington"/>
        <s v="Bangalore"/>
        <s v="Pune"/>
        <s v="Gold Coast"/>
      </sharedItems>
    </cacheField>
    <cacheField name="Country" numFmtId="0">
      <sharedItems/>
    </cacheField>
    <cacheField name="Type" numFmtId="0">
      <sharedItems/>
    </cacheField>
    <cacheField name="Budgeted_Cost_USD" numFmtId="0">
      <sharedItems containsSemiMixedTypes="0" containsString="0" containsNumber="1" containsInteger="1" minValue="11046318" maxValue="74394227"/>
    </cacheField>
    <cacheField name="Actual_Cost_USD" numFmtId="0">
      <sharedItems containsSemiMixedTypes="0" containsString="0" containsNumber="1" containsInteger="1" minValue="14494625" maxValue="99048466"/>
    </cacheField>
    <cacheField name="Duration_Months" numFmtId="0">
      <sharedItems containsSemiMixedTypes="0" containsString="0" containsNumber="1" containsInteger="1" minValue="6" maxValue="47"/>
    </cacheField>
    <cacheField name="Variance_USD" numFmtId="0">
      <sharedItems containsSemiMixedTypes="0" containsString="0" containsNumber="1" containsInteger="1" minValue="-1970238" maxValue="24654239"/>
    </cacheField>
    <cacheField name="Variance_%" numFmtId="10">
      <sharedItems containsSemiMixedTypes="0" containsString="0" containsNumber="1" minValue="-4.7123692729843132E-2" maxValue="0.34805972849971717"/>
    </cacheField>
    <cacheField name="Absolute_Variance_USD" numFmtId="0">
      <sharedItems containsSemiMixedTypes="0" containsString="0" containsNumber="1" containsInteger="1" minValue="450670" maxValue="24654239"/>
    </cacheField>
    <cacheField name="Total Project" numFmtId="0">
      <sharedItems containsString="0" containsBlank="1" containsNumber="1" containsInteger="1" minValue="50" maxValue="50"/>
    </cacheField>
    <cacheField name="Over Budget %" numFmtId="0">
      <sharedItems containsString="0" containsBlank="1" containsNumber="1" minValue="0.9" maxValue="0.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zar Ahmed" refreshedDate="46283.079509490737" createdVersion="8" refreshedVersion="8" minRefreshableVersion="3" recordCount="90" xr:uid="{DF394CCE-1206-45B8-A6C7-53D7EF08E010}">
  <cacheSource type="worksheet">
    <worksheetSource ref="A4:H94" sheet="P02-MaterialPrice"/>
  </cacheSource>
  <cacheFields count="8">
    <cacheField name="Month" numFmtId="0">
      <sharedItems count="18">
        <s v="2024-01"/>
        <s v="2024-02"/>
        <s v="2024-03"/>
        <s v="2024-04"/>
        <s v="2024-05"/>
        <s v="2024-06"/>
        <s v="2024-07"/>
        <s v="2024-08"/>
        <s v="2024-09"/>
        <s v="2024-10"/>
        <s v="2024-11"/>
        <s v="2024-12"/>
        <s v="2025-01"/>
        <s v="2025-02"/>
        <s v="2025-03"/>
        <s v="2025-04"/>
        <s v="2025-05"/>
        <s v="2025-06"/>
      </sharedItems>
    </cacheField>
    <cacheField name="Material" numFmtId="0">
      <sharedItems count="15">
        <s v="Glass (DGU)"/>
        <s v="Cement (OPC 53)"/>
        <s v="Waterproofing Membrane"/>
        <s v="Aluminium Facade"/>
        <s v="Plywood (Marine)"/>
        <s v="Sand (River)"/>
        <s v="Copper Wiring"/>
        <s v="PVC Conduits"/>
        <s v="Bricks (AAC)"/>
        <s v="Structural Steel"/>
        <s v="TMT Steel (Fe500)"/>
        <s v="Tiles (Vitrified)"/>
        <s v="RMC M30"/>
        <s v="Aggregate (20mm)"/>
        <s v="MS Pipes"/>
      </sharedItems>
    </cacheField>
    <cacheField name="Unit" numFmtId="0">
      <sharedItems/>
    </cacheField>
    <cacheField name="Base_Price_USD" numFmtId="0">
      <sharedItems containsSemiMixedTypes="0" containsString="0" containsNumber="1" containsInteger="1" minValue="3" maxValue="950"/>
    </cacheField>
    <cacheField name="Current_Price_USD" numFmtId="0">
      <sharedItems containsSemiMixedTypes="0" containsString="0" containsNumber="1" minValue="2.78" maxValue="1149.6500000000001"/>
    </cacheField>
    <cacheField name="Supplier_City" numFmtId="0">
      <sharedItems/>
    </cacheField>
    <cacheField name="Country" numFmtId="0">
      <sharedItems count="3">
        <s v="New Zealand"/>
        <s v="Australia"/>
        <s v="India"/>
      </sharedItems>
    </cacheField>
    <cacheField name="Price_Change_%" numFmtId="10">
      <sharedItems containsSemiMixedTypes="0" containsString="0" containsNumber="1" minValue="-7.947368421052628E-2" maxValue="0.248666666666666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zar Ahmed" refreshedDate="46283.085911458336" createdVersion="8" refreshedVersion="8" minRefreshableVersion="3" recordCount="90" xr:uid="{60AECBBD-8393-4FC8-B44B-7DB27F5950F2}">
  <cacheSource type="worksheet">
    <worksheetSource ref="A4:I94" sheet="P02-MaterialPrice"/>
  </cacheSource>
  <cacheFields count="9">
    <cacheField name="Month" numFmtId="0">
      <sharedItems count="18">
        <s v="2024-04"/>
        <s v="2024-09"/>
        <s v="2025-01"/>
        <s v="2024-03"/>
        <s v="2024-05"/>
        <s v="2024-02"/>
        <s v="2024-11"/>
        <s v="2025-05"/>
        <s v="2025-03"/>
        <s v="2024-07"/>
        <s v="2025-04"/>
        <s v="2024-10"/>
        <s v="2024-06"/>
        <s v="2025-02"/>
        <s v="2025-06"/>
        <s v="2024-01"/>
        <s v="2024-08"/>
        <s v="2024-12"/>
      </sharedItems>
    </cacheField>
    <cacheField name="Material" numFmtId="0">
      <sharedItems count="15">
        <s v="Waterproofing Membrane"/>
        <s v="Cement (OPC 53)"/>
        <s v="Aluminium Facade"/>
        <s v="Bricks (AAC)"/>
        <s v="Tiles (Vitrified)"/>
        <s v="PVC Conduits"/>
        <s v="Sand (River)"/>
        <s v="Structural Steel"/>
        <s v="Aggregate (20mm)"/>
        <s v="MS Pipes"/>
        <s v="RMC M30"/>
        <s v="Glass (DGU)"/>
        <s v="Copper Wiring"/>
        <s v="Plywood (Marine)"/>
        <s v="TMT Steel (Fe500)"/>
      </sharedItems>
    </cacheField>
    <cacheField name="Unit" numFmtId="0">
      <sharedItems/>
    </cacheField>
    <cacheField name="Base_Price_USD" numFmtId="0">
      <sharedItems containsSemiMixedTypes="0" containsString="0" containsNumber="1" containsInteger="1" minValue="3" maxValue="950"/>
    </cacheField>
    <cacheField name="Current_Price_USD" numFmtId="0">
      <sharedItems containsSemiMixedTypes="0" containsString="0" containsNumber="1" minValue="2.78" maxValue="1149.6500000000001"/>
    </cacheField>
    <cacheField name="Supplier_City" numFmtId="0">
      <sharedItems/>
    </cacheField>
    <cacheField name="Country" numFmtId="0">
      <sharedItems/>
    </cacheField>
    <cacheField name="Price_Change_%" numFmtId="10">
      <sharedItems containsSemiMixedTypes="0" containsString="0" containsNumber="1" minValue="-7.947368421052628E-2" maxValue="0.2486666666666667"/>
    </cacheField>
    <cacheField name="Procurement Risk"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zar Ahmed" refreshedDate="46283.451139004632" createdVersion="8" refreshedVersion="8" minRefreshableVersion="3" recordCount="72" xr:uid="{244632ED-25B2-44B2-A4AD-A6B083B57AB1}">
  <cacheSource type="worksheet">
    <worksheetSource ref="A4:K76" sheet="P03-BOQVariance"/>
  </cacheSource>
  <cacheFields count="11">
    <cacheField name="Project_ID" numFmtId="0">
      <sharedItems count="3">
        <s v="WT-DC-MUM-01"/>
        <s v="WT-OFF-SYD-02"/>
        <s v="WT-HOS-AKL-03"/>
      </sharedItems>
    </cacheField>
    <cacheField name="Trade" numFmtId="0">
      <sharedItems/>
    </cacheField>
    <cacheField name="BOQ_Item" numFmtId="0">
      <sharedItems/>
    </cacheField>
    <cacheField name="Unit" numFmtId="0">
      <sharedItems/>
    </cacheField>
    <cacheField name="BOQ_Qty" numFmtId="0">
      <sharedItems containsSemiMixedTypes="0" containsString="0" containsNumber="1" containsInteger="1" minValue="150" maxValue="4914"/>
    </cacheField>
    <cacheField name="Actual_Qty" numFmtId="0">
      <sharedItems containsSemiMixedTypes="0" containsString="0" containsNumber="1" containsInteger="1" minValue="166" maxValue="6291"/>
    </cacheField>
    <cacheField name="Rate_USD" numFmtId="0">
      <sharedItems containsSemiMixedTypes="0" containsString="0" containsNumber="1" minValue="5.52" maxValue="198.06"/>
    </cacheField>
    <cacheField name="BOQ_Amount_USD" numFmtId="2">
      <sharedItems containsSemiMixedTypes="0" containsString="0" containsNumber="1" minValue="11128.32" maxValue="761000.4"/>
    </cacheField>
    <cacheField name="Actual_Amount_USD" numFmtId="0">
      <sharedItems containsSemiMixedTypes="0" containsString="0" containsNumber="1" minValue="12519.36" maxValue="792822.4"/>
    </cacheField>
    <cacheField name="Qty_Variance" numFmtId="0">
      <sharedItems containsSemiMixedTypes="0" containsString="0" containsNumber="1" containsInteger="1" minValue="-611" maxValue="1412"/>
    </cacheField>
    <cacheField name="Qty_Variance_%" numFmtId="10">
      <sharedItems containsSemiMixedTypes="0" containsString="0" containsNumber="1" minValue="-0.14758655547131666" maxValue="0.28940356630457059"/>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zar Ahmed" refreshedDate="46283.458943750004" createdVersion="8" refreshedVersion="8" minRefreshableVersion="3" recordCount="72" xr:uid="{6620B2E9-0D18-4D34-A1AC-AB6DDBB2065D}">
  <cacheSource type="worksheet">
    <worksheetSource ref="A4:L76" sheet="P03-BOQVariance"/>
  </cacheSource>
  <cacheFields count="12">
    <cacheField name="Project_ID" numFmtId="0">
      <sharedItems count="3">
        <s v="WT-DC-MUM-01"/>
        <s v="WT-OFF-SYD-02"/>
        <s v="WT-HOS-AKL-03"/>
      </sharedItems>
    </cacheField>
    <cacheField name="Trade" numFmtId="0">
      <sharedItems count="5">
        <s v="Civil &amp; Structure"/>
        <s v="MEP - HVAC"/>
        <s v="MEP - Electrical"/>
        <s v="MEP - Plumbing"/>
        <s v="Interior Fit-out"/>
      </sharedItems>
    </cacheField>
    <cacheField name="BOQ_Item" numFmtId="0">
      <sharedItems/>
    </cacheField>
    <cacheField name="Unit" numFmtId="0">
      <sharedItems/>
    </cacheField>
    <cacheField name="BOQ_Qty" numFmtId="0">
      <sharedItems containsSemiMixedTypes="0" containsString="0" containsNumber="1" containsInteger="1" minValue="150" maxValue="4914"/>
    </cacheField>
    <cacheField name="Actual_Qty" numFmtId="0">
      <sharedItems containsSemiMixedTypes="0" containsString="0" containsNumber="1" containsInteger="1" minValue="166" maxValue="6291"/>
    </cacheField>
    <cacheField name="Rate_USD" numFmtId="0">
      <sharedItems containsSemiMixedTypes="0" containsString="0" containsNumber="1" minValue="5.52" maxValue="198.06"/>
    </cacheField>
    <cacheField name="BOQ_Amount_USD" numFmtId="2">
      <sharedItems containsSemiMixedTypes="0" containsString="0" containsNumber="1" minValue="11128.32" maxValue="761000.4"/>
    </cacheField>
    <cacheField name="Actual_Amount_USD" numFmtId="0">
      <sharedItems containsSemiMixedTypes="0" containsString="0" containsNumber="1" minValue="12519.36" maxValue="792822.4"/>
    </cacheField>
    <cacheField name="Qty_Variance" numFmtId="0">
      <sharedItems containsSemiMixedTypes="0" containsString="0" containsNumber="1" containsInteger="1" minValue="-611" maxValue="1412"/>
    </cacheField>
    <cacheField name="Qty_Variance_%" numFmtId="10">
      <sharedItems containsSemiMixedTypes="0" containsString="0" containsNumber="1" minValue="-0.14758655547131666" maxValue="0.28940356630457059"/>
    </cacheField>
    <cacheField name="Qty_Status"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lzar Ahmed" refreshedDate="46283.468833564817" createdVersion="8" refreshedVersion="8" minRefreshableVersion="3" recordCount="72" xr:uid="{A63AD12A-E05D-4070-A8A8-20963DF7A276}">
  <cacheSource type="worksheet">
    <worksheetSource ref="A4:M76" sheet="P03-BOQVariance"/>
  </cacheSource>
  <cacheFields count="13">
    <cacheField name="Project_ID" numFmtId="0">
      <sharedItems count="3">
        <s v="WT-HOS-AKL-03"/>
        <s v="WT-OFF-SYD-02"/>
        <s v="WT-DC-MUM-01"/>
      </sharedItems>
    </cacheField>
    <cacheField name="Trade" numFmtId="0">
      <sharedItems/>
    </cacheField>
    <cacheField name="BOQ_Item" numFmtId="0">
      <sharedItems/>
    </cacheField>
    <cacheField name="Unit" numFmtId="0">
      <sharedItems/>
    </cacheField>
    <cacheField name="BOQ_Qty" numFmtId="0">
      <sharedItems containsSemiMixedTypes="0" containsString="0" containsNumber="1" containsInteger="1" minValue="150" maxValue="4914"/>
    </cacheField>
    <cacheField name="Actual_Qty" numFmtId="0">
      <sharedItems containsSemiMixedTypes="0" containsString="0" containsNumber="1" containsInteger="1" minValue="166" maxValue="6291"/>
    </cacheField>
    <cacheField name="Rate_USD" numFmtId="0">
      <sharedItems containsSemiMixedTypes="0" containsString="0" containsNumber="1" minValue="5.52" maxValue="198.06"/>
    </cacheField>
    <cacheField name="BOQ_Amount_USD" numFmtId="2">
      <sharedItems containsSemiMixedTypes="0" containsString="0" containsNumber="1" minValue="11128.32" maxValue="761000.4"/>
    </cacheField>
    <cacheField name="Actual_Amount_USD" numFmtId="0">
      <sharedItems containsSemiMixedTypes="0" containsString="0" containsNumber="1" minValue="12519.36" maxValue="792822.4"/>
    </cacheField>
    <cacheField name="Qty_Variance" numFmtId="0">
      <sharedItems containsSemiMixedTypes="0" containsString="0" containsNumber="1" containsInteger="1" minValue="-611" maxValue="1412"/>
    </cacheField>
    <cacheField name="Qty_Variance_%" numFmtId="10">
      <sharedItems containsSemiMixedTypes="0" containsString="0" containsNumber="1" minValue="-0.14758655547131666" maxValue="0.28940356630457059"/>
    </cacheField>
    <cacheField name="Qty_Status" numFmtId="0">
      <sharedItems/>
    </cacheField>
    <cacheField name="Overrun_Imapact_USD" numFmtId="0">
      <sharedItems containsSemiMixedTypes="0" containsString="0" containsNumber="1" minValue="0" maxValue="151507.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WT-1000"/>
    <s v="Commercial Office Che-1"/>
    <s v="Chennai"/>
    <x v="0"/>
    <x v="0"/>
    <n v="38913810"/>
    <n v="40779989"/>
    <n v="14"/>
    <n v="1866179"/>
    <n v="4.7956727958531946E-2"/>
  </r>
  <r>
    <s v="WT-1001"/>
    <s v="IT Park Che-2"/>
    <s v="Chennai"/>
    <x v="0"/>
    <x v="1"/>
    <n v="13668732"/>
    <n v="16213808"/>
    <n v="8"/>
    <n v="2545076"/>
    <n v="0.18619693472664472"/>
  </r>
  <r>
    <s v="WT-1002"/>
    <s v="Data Centre Mum-3"/>
    <s v="Mumbai"/>
    <x v="0"/>
    <x v="2"/>
    <n v="31345092"/>
    <n v="32694948"/>
    <n v="44"/>
    <n v="1349856"/>
    <n v="4.3064349595783605E-2"/>
  </r>
  <r>
    <s v="WT-1003"/>
    <s v="IT Park Mum-4"/>
    <s v="Mumbai"/>
    <x v="0"/>
    <x v="1"/>
    <n v="28687537"/>
    <n v="35469495"/>
    <n v="40"/>
    <n v="6781958"/>
    <n v="0.23640781709492872"/>
  </r>
  <r>
    <s v="WT-1004"/>
    <s v="Hospital Can-5"/>
    <s v="Canberra"/>
    <x v="1"/>
    <x v="3"/>
    <n v="62291817"/>
    <n v="73859798"/>
    <n v="6"/>
    <n v="11567981"/>
    <n v="0.1857062702152355"/>
  </r>
  <r>
    <s v="WT-1005"/>
    <s v="Industrial Warehouse Pun-6"/>
    <s v="Pune"/>
    <x v="0"/>
    <x v="4"/>
    <n v="47667651"/>
    <n v="50582458"/>
    <n v="19"/>
    <n v="2914807"/>
    <n v="6.1148534464179914E-2"/>
  </r>
  <r>
    <s v="WT-1006"/>
    <s v="Data Centre Bri-7"/>
    <s v="Brisbane"/>
    <x v="1"/>
    <x v="2"/>
    <n v="14448136"/>
    <n v="15921425"/>
    <n v="28"/>
    <n v="1473289"/>
    <n v="0.10197087015238505"/>
  </r>
  <r>
    <s v="WT-1007"/>
    <s v="Hotel Per-8"/>
    <s v="Perth"/>
    <x v="1"/>
    <x v="5"/>
    <n v="37503389"/>
    <n v="47736237"/>
    <n v="35"/>
    <n v="10232848"/>
    <n v="0.27285128818624899"/>
  </r>
  <r>
    <s v="WT-1008"/>
    <s v="Data Centre Chr-9"/>
    <s v="Christchurch"/>
    <x v="2"/>
    <x v="2"/>
    <n v="52806024"/>
    <n v="51830172"/>
    <n v="24"/>
    <n v="-975852"/>
    <n v="-1.847993706172614E-2"/>
  </r>
  <r>
    <s v="WT-1009"/>
    <s v="Hotel Per-10"/>
    <s v="Perth"/>
    <x v="1"/>
    <x v="5"/>
    <n v="27808537"/>
    <n v="34255354"/>
    <n v="8"/>
    <n v="6446817"/>
    <n v="0.2318287006612394"/>
  </r>
  <r>
    <s v="WT-1010"/>
    <s v="University Campus Ahm-11"/>
    <s v="Ahmedabad"/>
    <x v="0"/>
    <x v="6"/>
    <n v="12709497"/>
    <n v="16422285"/>
    <n v="12"/>
    <n v="3712788"/>
    <n v="0.29212706057525328"/>
  </r>
  <r>
    <s v="WT-1011"/>
    <s v="University Campus Ade-12"/>
    <s v="Adelaide"/>
    <x v="1"/>
    <x v="6"/>
    <n v="62855700"/>
    <n v="75695471"/>
    <n v="29"/>
    <n v="12839771"/>
    <n v="0.20427377310251896"/>
  </r>
  <r>
    <s v="WT-1012"/>
    <s v="Shopping Mall Pun-13"/>
    <s v="Pune"/>
    <x v="0"/>
    <x v="7"/>
    <n v="49683626"/>
    <n v="51363072"/>
    <n v="23"/>
    <n v="1679446"/>
    <n v="3.3802806582595241E-2"/>
  </r>
  <r>
    <s v="WT-1013"/>
    <s v="Hotel Del-14"/>
    <s v="Delhi"/>
    <x v="0"/>
    <x v="5"/>
    <n v="24969840"/>
    <n v="29056302"/>
    <n v="21"/>
    <n v="4086462"/>
    <n v="0.16365591449524708"/>
  </r>
  <r>
    <s v="WT-1014"/>
    <s v="Metro Station Pun-15"/>
    <s v="Pune"/>
    <x v="0"/>
    <x v="8"/>
    <n v="52929647"/>
    <n v="55998461"/>
    <n v="46"/>
    <n v="3068814"/>
    <n v="5.7979113293538498E-2"/>
  </r>
  <r>
    <s v="WT-1015"/>
    <s v="Hospital Chr-16"/>
    <s v="Christchurch"/>
    <x v="2"/>
    <x v="3"/>
    <n v="45524491"/>
    <n v="58596428"/>
    <n v="9"/>
    <n v="13071937"/>
    <n v="0.28714076122234955"/>
  </r>
  <r>
    <s v="WT-1016"/>
    <s v="Commercial Office Ahm-17"/>
    <s v="Ahmedabad"/>
    <x v="0"/>
    <x v="0"/>
    <n v="44339391"/>
    <n v="49237382"/>
    <n v="10"/>
    <n v="4897991"/>
    <n v="0.11046590603826742"/>
  </r>
  <r>
    <s v="WT-1017"/>
    <s v="Hotel Kol-18"/>
    <s v="Kolkata"/>
    <x v="0"/>
    <x v="5"/>
    <n v="44235350"/>
    <n v="45785826"/>
    <n v="37"/>
    <n v="1550476"/>
    <n v="3.5050609975958144E-2"/>
  </r>
  <r>
    <s v="WT-1018"/>
    <s v="Metro Station Ade-19"/>
    <s v="Adelaide"/>
    <x v="1"/>
    <x v="8"/>
    <n v="21175900"/>
    <n v="22360735"/>
    <n v="21"/>
    <n v="1184835"/>
    <n v="5.5952049263549603E-2"/>
  </r>
  <r>
    <s v="WT-1019"/>
    <s v="IT Park Chr-20"/>
    <s v="Christchurch"/>
    <x v="2"/>
    <x v="1"/>
    <n v="37264581"/>
    <n v="46536214"/>
    <n v="33"/>
    <n v="9271633"/>
    <n v="0.24880550783597968"/>
  </r>
  <r>
    <s v="WT-1020"/>
    <s v="Industrial Warehouse Ham-21"/>
    <s v="Hamilton"/>
    <x v="2"/>
    <x v="4"/>
    <n v="50586340"/>
    <n v="52494876"/>
    <n v="14"/>
    <n v="1908536"/>
    <n v="3.7728287913298332E-2"/>
  </r>
  <r>
    <s v="WT-1021"/>
    <s v="Metro Station Wel-22"/>
    <s v="Wellington"/>
    <x v="2"/>
    <x v="8"/>
    <n v="14201654"/>
    <n v="17784913"/>
    <n v="13"/>
    <n v="3583259"/>
    <n v="0.25231279398864387"/>
  </r>
  <r>
    <s v="WT-1022"/>
    <s v="Residential Tower Hyd-23"/>
    <s v="Hyderabad"/>
    <x v="0"/>
    <x v="9"/>
    <n v="58661351"/>
    <n v="69722747"/>
    <n v="30"/>
    <n v="11061396"/>
    <n v="0.18856360809010347"/>
  </r>
  <r>
    <s v="WT-1023"/>
    <s v="Hotel Ade-24"/>
    <s v="Adelaide"/>
    <x v="1"/>
    <x v="5"/>
    <n v="64820592"/>
    <n v="75298564"/>
    <n v="41"/>
    <n v="10477972"/>
    <n v="0.16164573134413829"/>
  </r>
  <r>
    <s v="WT-1024"/>
    <s v="Data Centre Mum-25"/>
    <s v="Mumbai"/>
    <x v="0"/>
    <x v="2"/>
    <n v="74070937"/>
    <n v="92614679"/>
    <n v="47"/>
    <n v="18543742"/>
    <n v="0.25035111949508615"/>
  </r>
  <r>
    <s v="WT-1025"/>
    <s v="Data Centre Bri-26"/>
    <s v="Brisbane"/>
    <x v="1"/>
    <x v="2"/>
    <n v="41392920"/>
    <n v="46521755"/>
    <n v="35"/>
    <n v="5128835"/>
    <n v="0.12390609311930639"/>
  </r>
  <r>
    <s v="WT-1026"/>
    <s v="University Campus Mum-27"/>
    <s v="Mumbai"/>
    <x v="0"/>
    <x v="6"/>
    <n v="69187530"/>
    <n v="86815466"/>
    <n v="38"/>
    <n v="17627936"/>
    <n v="0.2547848723606696"/>
  </r>
  <r>
    <s v="WT-1027"/>
    <s v="University Campus Che-28"/>
    <s v="Chennai"/>
    <x v="0"/>
    <x v="6"/>
    <n v="70137358"/>
    <n v="83715114"/>
    <n v="15"/>
    <n v="13577756"/>
    <n v="0.19358807327758196"/>
  </r>
  <r>
    <s v="WT-1028"/>
    <s v="Residential Tower Per-29"/>
    <s v="Perth"/>
    <x v="1"/>
    <x v="9"/>
    <n v="74394227"/>
    <n v="99048466"/>
    <n v="39"/>
    <n v="24654239"/>
    <n v="0.33139989477946991"/>
  </r>
  <r>
    <s v="WT-1029"/>
    <s v="Hotel Mum-30"/>
    <s v="Mumbai"/>
    <x v="0"/>
    <x v="5"/>
    <n v="45507489"/>
    <n v="52126202"/>
    <n v="13"/>
    <n v="6618713"/>
    <n v="0.14544228093973718"/>
  </r>
  <r>
    <s v="WT-1030"/>
    <s v="University Campus Per-31"/>
    <s v="Perth"/>
    <x v="1"/>
    <x v="6"/>
    <n v="34138745"/>
    <n v="33222804"/>
    <n v="42"/>
    <n v="-915941"/>
    <n v="-2.6829955231218956E-2"/>
  </r>
  <r>
    <s v="WT-1031"/>
    <s v="Data Centre Del-32"/>
    <s v="Delhi"/>
    <x v="0"/>
    <x v="2"/>
    <n v="67228535"/>
    <n v="85811127"/>
    <n v="40"/>
    <n v="18582592"/>
    <n v="0.27640929554689836"/>
  </r>
  <r>
    <s v="WT-1032"/>
    <s v="Residential Tower Hyd-33"/>
    <s v="Hyderabad"/>
    <x v="0"/>
    <x v="9"/>
    <n v="65791320"/>
    <n v="87419523"/>
    <n v="16"/>
    <n v="21628203"/>
    <n v="0.32873945985579861"/>
  </r>
  <r>
    <s v="WT-1033"/>
    <s v="IT Park Syd-34"/>
    <s v="Sydney"/>
    <x v="1"/>
    <x v="1"/>
    <n v="58792612"/>
    <n v="78531947"/>
    <n v="40"/>
    <n v="19739335"/>
    <n v="0.33574516131380588"/>
  </r>
  <r>
    <s v="WT-1034"/>
    <s v="University Campus Kol-35"/>
    <s v="Kolkata"/>
    <x v="0"/>
    <x v="6"/>
    <n v="55551839"/>
    <n v="74887197"/>
    <n v="47"/>
    <n v="19335358"/>
    <n v="0.34805972849971717"/>
  </r>
  <r>
    <s v="WT-1035"/>
    <s v="Metro Station Per-36"/>
    <s v="Perth"/>
    <x v="1"/>
    <x v="8"/>
    <n v="71467853"/>
    <n v="80801158"/>
    <n v="21"/>
    <n v="9333305"/>
    <n v="0.1305944506266335"/>
  </r>
  <r>
    <s v="WT-1036"/>
    <s v="Data Centre Ahm-37"/>
    <s v="Ahmedabad"/>
    <x v="0"/>
    <x v="2"/>
    <n v="47377076"/>
    <n v="45406838"/>
    <n v="41"/>
    <n v="-1970238"/>
    <n v="-4.1586314866708954E-2"/>
  </r>
  <r>
    <s v="WT-1037"/>
    <s v="Hotel Ahm-38"/>
    <s v="Ahmedabad"/>
    <x v="0"/>
    <x v="5"/>
    <n v="31557077"/>
    <n v="30069991"/>
    <n v="46"/>
    <n v="-1487086"/>
    <n v="-4.7123692729843132E-2"/>
  </r>
  <r>
    <s v="WT-1038"/>
    <s v="Hospital Ban-39"/>
    <s v="Bangalore"/>
    <x v="0"/>
    <x v="3"/>
    <n v="11046318"/>
    <n v="14494625"/>
    <n v="27"/>
    <n v="3448307"/>
    <n v="0.31216800023319985"/>
  </r>
  <r>
    <s v="WT-1039"/>
    <s v="IT Park Del-40"/>
    <s v="Delhi"/>
    <x v="0"/>
    <x v="1"/>
    <n v="33944441"/>
    <n v="36028320"/>
    <n v="37"/>
    <n v="2083879"/>
    <n v="6.1390876933280478E-2"/>
  </r>
  <r>
    <s v="WT-1040"/>
    <s v="IT Park Kol-41"/>
    <s v="Kolkata"/>
    <x v="0"/>
    <x v="1"/>
    <n v="19758595"/>
    <n v="24487637"/>
    <n v="42"/>
    <n v="4729042"/>
    <n v="0.23934100577495515"/>
  </r>
  <r>
    <s v="WT-1041"/>
    <s v="Metro Station Ham-42"/>
    <s v="Hamilton"/>
    <x v="2"/>
    <x v="8"/>
    <n v="34614537"/>
    <n v="43747505"/>
    <n v="32"/>
    <n v="9132968"/>
    <n v="0.26384775852989167"/>
  </r>
  <r>
    <s v="WT-1042"/>
    <s v="Data Centre Kol-43"/>
    <s v="Kolkata"/>
    <x v="0"/>
    <x v="2"/>
    <n v="15009833"/>
    <n v="18215829"/>
    <n v="28"/>
    <n v="3205996"/>
    <n v="0.21359304930308018"/>
  </r>
  <r>
    <s v="WT-1043"/>
    <s v="Industrial Warehouse Can-44"/>
    <s v="Canberra"/>
    <x v="1"/>
    <x v="4"/>
    <n v="64682989"/>
    <n v="83799056"/>
    <n v="9"/>
    <n v="19116067"/>
    <n v="0.29553468841707359"/>
  </r>
  <r>
    <s v="WT-1044"/>
    <s v="Commercial Office Che-45"/>
    <s v="Chennai"/>
    <x v="0"/>
    <x v="0"/>
    <n v="56038913"/>
    <n v="69560286"/>
    <n v="12"/>
    <n v="13521373"/>
    <n v="0.24128542607527023"/>
  </r>
  <r>
    <s v="WT-1045"/>
    <s v="Hospital Ahm-46"/>
    <s v="Ahmedabad"/>
    <x v="0"/>
    <x v="3"/>
    <n v="27529407"/>
    <n v="32058388"/>
    <n v="14"/>
    <n v="4528981"/>
    <n v="0.16451429556764519"/>
  </r>
  <r>
    <s v="WT-1046"/>
    <s v="Residential Tower Can-47"/>
    <s v="Canberra"/>
    <x v="1"/>
    <x v="9"/>
    <n v="39385696"/>
    <n v="44704782"/>
    <n v="10"/>
    <n v="5319086"/>
    <n v="0.13505121250110699"/>
  </r>
  <r>
    <s v="WT-1047"/>
    <s v="IT Park Gol-48"/>
    <s v="Gold Coast"/>
    <x v="1"/>
    <x v="1"/>
    <n v="15141087"/>
    <n v="14690417"/>
    <n v="40"/>
    <n v="-450670"/>
    <n v="-2.9764705796882351E-2"/>
  </r>
  <r>
    <s v="WT-1048"/>
    <s v="Data Centre Mum-49"/>
    <s v="Mumbai"/>
    <x v="0"/>
    <x v="2"/>
    <n v="33726318"/>
    <n v="34283626"/>
    <n v="37"/>
    <n v="557308"/>
    <n v="1.6524424634791146E-2"/>
  </r>
  <r>
    <s v="WT-1049"/>
    <s v="Hospital Auc-50"/>
    <s v="Auckland"/>
    <x v="2"/>
    <x v="3"/>
    <n v="55826716"/>
    <n v="73187548"/>
    <n v="16"/>
    <n v="17360832"/>
    <n v="0.310977131450827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WT-1028"/>
    <s v="Residential Tower Per-29"/>
    <s v="Perth"/>
    <x v="0"/>
    <x v="0"/>
    <n v="74394227"/>
    <n v="99048466"/>
    <n v="39"/>
    <n v="24654239"/>
    <n v="0.33139989477946991"/>
    <n v="24654239"/>
  </r>
  <r>
    <s v="WT-1032"/>
    <s v="Residential Tower Hyd-33"/>
    <s v="Hyderabad"/>
    <x v="1"/>
    <x v="0"/>
    <n v="65791320"/>
    <n v="87419523"/>
    <n v="16"/>
    <n v="21628203"/>
    <n v="0.32873945985579861"/>
    <n v="21628203"/>
  </r>
  <r>
    <s v="WT-1033"/>
    <s v="IT Park Syd-34"/>
    <s v="Sydney"/>
    <x v="0"/>
    <x v="1"/>
    <n v="58792612"/>
    <n v="78531947"/>
    <n v="40"/>
    <n v="19739335"/>
    <n v="0.33574516131380588"/>
    <n v="19739335"/>
  </r>
  <r>
    <s v="WT-1034"/>
    <s v="University Campus Kol-35"/>
    <s v="Kolkata"/>
    <x v="1"/>
    <x v="2"/>
    <n v="55551839"/>
    <n v="74887197"/>
    <n v="47"/>
    <n v="19335358"/>
    <n v="0.34805972849971717"/>
    <n v="19335358"/>
  </r>
  <r>
    <s v="WT-1043"/>
    <s v="Industrial Warehouse Can-44"/>
    <s v="Canberra"/>
    <x v="0"/>
    <x v="3"/>
    <n v="64682989"/>
    <n v="83799056"/>
    <n v="9"/>
    <n v="19116067"/>
    <n v="0.29553468841707359"/>
    <n v="19116067"/>
  </r>
  <r>
    <s v="WT-1031"/>
    <s v="Data Centre Del-32"/>
    <s v="Delhi"/>
    <x v="1"/>
    <x v="4"/>
    <n v="67228535"/>
    <n v="85811127"/>
    <n v="40"/>
    <n v="18582592"/>
    <n v="0.27640929554689836"/>
    <n v="18582592"/>
  </r>
  <r>
    <s v="WT-1024"/>
    <s v="Data Centre Mum-25"/>
    <s v="Mumbai"/>
    <x v="1"/>
    <x v="4"/>
    <n v="74070937"/>
    <n v="92614679"/>
    <n v="47"/>
    <n v="18543742"/>
    <n v="0.25035111949508615"/>
    <n v="18543742"/>
  </r>
  <r>
    <s v="WT-1026"/>
    <s v="University Campus Mum-27"/>
    <s v="Mumbai"/>
    <x v="1"/>
    <x v="2"/>
    <n v="69187530"/>
    <n v="86815466"/>
    <n v="38"/>
    <n v="17627936"/>
    <n v="0.2547848723606696"/>
    <n v="17627936"/>
  </r>
  <r>
    <s v="WT-1049"/>
    <s v="Hospital Auc-50"/>
    <s v="Auckland"/>
    <x v="2"/>
    <x v="5"/>
    <n v="55826716"/>
    <n v="73187548"/>
    <n v="16"/>
    <n v="17360832"/>
    <n v="0.31097713145082723"/>
    <n v="17360832"/>
  </r>
  <r>
    <s v="WT-1027"/>
    <s v="University Campus Che-28"/>
    <s v="Chennai"/>
    <x v="1"/>
    <x v="2"/>
    <n v="70137358"/>
    <n v="83715114"/>
    <n v="15"/>
    <n v="13577756"/>
    <n v="0.19358807327758196"/>
    <n v="13577756"/>
  </r>
  <r>
    <s v="WT-1044"/>
    <s v="Commercial Office Che-45"/>
    <s v="Chennai"/>
    <x v="1"/>
    <x v="6"/>
    <n v="56038913"/>
    <n v="69560286"/>
    <n v="12"/>
    <n v="13521373"/>
    <n v="0.24128542607527023"/>
    <n v="13521373"/>
  </r>
  <r>
    <s v="WT-1015"/>
    <s v="Hospital Chr-16"/>
    <s v="Christchurch"/>
    <x v="2"/>
    <x v="5"/>
    <n v="45524491"/>
    <n v="58596428"/>
    <n v="9"/>
    <n v="13071937"/>
    <n v="0.28714076122234955"/>
    <n v="13071937"/>
  </r>
  <r>
    <s v="WT-1011"/>
    <s v="University Campus Ade-12"/>
    <s v="Adelaide"/>
    <x v="0"/>
    <x v="2"/>
    <n v="62855700"/>
    <n v="75695471"/>
    <n v="29"/>
    <n v="12839771"/>
    <n v="0.20427377310251896"/>
    <n v="12839771"/>
  </r>
  <r>
    <s v="WT-1004"/>
    <s v="Hospital Can-5"/>
    <s v="Canberra"/>
    <x v="0"/>
    <x v="5"/>
    <n v="62291817"/>
    <n v="73859798"/>
    <n v="6"/>
    <n v="11567981"/>
    <n v="0.1857062702152355"/>
    <n v="11567981"/>
  </r>
  <r>
    <s v="WT-1022"/>
    <s v="Residential Tower Hyd-23"/>
    <s v="Hyderabad"/>
    <x v="1"/>
    <x v="0"/>
    <n v="58661351"/>
    <n v="69722747"/>
    <n v="30"/>
    <n v="11061396"/>
    <n v="0.18856360809010347"/>
    <n v="11061396"/>
  </r>
  <r>
    <s v="WT-1023"/>
    <s v="Hotel Ade-24"/>
    <s v="Adelaide"/>
    <x v="0"/>
    <x v="7"/>
    <n v="64820592"/>
    <n v="75298564"/>
    <n v="41"/>
    <n v="10477972"/>
    <n v="0.16164573134413829"/>
    <n v="10477972"/>
  </r>
  <r>
    <s v="WT-1007"/>
    <s v="Hotel Per-8"/>
    <s v="Perth"/>
    <x v="0"/>
    <x v="7"/>
    <n v="37503389"/>
    <n v="47736237"/>
    <n v="35"/>
    <n v="10232848"/>
    <n v="0.27285128818624899"/>
    <n v="10232848"/>
  </r>
  <r>
    <s v="WT-1035"/>
    <s v="Metro Station Per-36"/>
    <s v="Perth"/>
    <x v="0"/>
    <x v="8"/>
    <n v="71467853"/>
    <n v="80801158"/>
    <n v="21"/>
    <n v="9333305"/>
    <n v="0.1305944506266335"/>
    <n v="9333305"/>
  </r>
  <r>
    <s v="WT-1019"/>
    <s v="IT Park Chr-20"/>
    <s v="Christchurch"/>
    <x v="2"/>
    <x v="1"/>
    <n v="37264581"/>
    <n v="46536214"/>
    <n v="33"/>
    <n v="9271633"/>
    <n v="0.24880550783597968"/>
    <n v="9271633"/>
  </r>
  <r>
    <s v="WT-1041"/>
    <s v="Metro Station Ham-42"/>
    <s v="Hamilton"/>
    <x v="2"/>
    <x v="8"/>
    <n v="34614537"/>
    <n v="43747505"/>
    <n v="32"/>
    <n v="9132968"/>
    <n v="0.26384775852989167"/>
    <n v="9132968"/>
  </r>
  <r>
    <s v="WT-1003"/>
    <s v="IT Park Mum-4"/>
    <s v="Mumbai"/>
    <x v="1"/>
    <x v="1"/>
    <n v="28687537"/>
    <n v="35469495"/>
    <n v="40"/>
    <n v="6781958"/>
    <n v="0.23640781709492872"/>
    <n v="6781958"/>
  </r>
  <r>
    <s v="WT-1029"/>
    <s v="Hotel Mum-30"/>
    <s v="Mumbai"/>
    <x v="1"/>
    <x v="7"/>
    <n v="45507489"/>
    <n v="52126202"/>
    <n v="13"/>
    <n v="6618713"/>
    <n v="0.14544228093973718"/>
    <n v="6618713"/>
  </r>
  <r>
    <s v="WT-1009"/>
    <s v="Hotel Per-10"/>
    <s v="Perth"/>
    <x v="0"/>
    <x v="7"/>
    <n v="27808537"/>
    <n v="34255354"/>
    <n v="8"/>
    <n v="6446817"/>
    <n v="0.2318287006612394"/>
    <n v="6446817"/>
  </r>
  <r>
    <s v="WT-1046"/>
    <s v="Residential Tower Can-47"/>
    <s v="Canberra"/>
    <x v="0"/>
    <x v="0"/>
    <n v="39385696"/>
    <n v="44704782"/>
    <n v="10"/>
    <n v="5319086"/>
    <n v="0.13505121250110699"/>
    <n v="5319086"/>
  </r>
  <r>
    <s v="WT-1025"/>
    <s v="Data Centre Bri-26"/>
    <s v="Brisbane"/>
    <x v="0"/>
    <x v="4"/>
    <n v="41392920"/>
    <n v="46521755"/>
    <n v="35"/>
    <n v="5128835"/>
    <n v="0.12390609311930639"/>
    <n v="5128835"/>
  </r>
  <r>
    <s v="WT-1016"/>
    <s v="Commercial Office Ahm-17"/>
    <s v="Ahmedabad"/>
    <x v="1"/>
    <x v="6"/>
    <n v="44339391"/>
    <n v="49237382"/>
    <n v="10"/>
    <n v="4897991"/>
    <n v="0.11046590603826742"/>
    <n v="4897991"/>
  </r>
  <r>
    <s v="WT-1040"/>
    <s v="IT Park Kol-41"/>
    <s v="Kolkata"/>
    <x v="1"/>
    <x v="1"/>
    <n v="19758595"/>
    <n v="24487637"/>
    <n v="42"/>
    <n v="4729042"/>
    <n v="0.23934100577495515"/>
    <n v="4729042"/>
  </r>
  <r>
    <s v="WT-1045"/>
    <s v="Hospital Ahm-46"/>
    <s v="Ahmedabad"/>
    <x v="1"/>
    <x v="5"/>
    <n v="27529407"/>
    <n v="32058388"/>
    <n v="14"/>
    <n v="4528981"/>
    <n v="0.16451429556764519"/>
    <n v="4528981"/>
  </r>
  <r>
    <s v="WT-1013"/>
    <s v="Hotel Del-14"/>
    <s v="Delhi"/>
    <x v="1"/>
    <x v="7"/>
    <n v="24969840"/>
    <n v="29056302"/>
    <n v="21"/>
    <n v="4086462"/>
    <n v="0.16365591449524708"/>
    <n v="4086462"/>
  </r>
  <r>
    <s v="WT-1010"/>
    <s v="University Campus Ahm-11"/>
    <s v="Ahmedabad"/>
    <x v="1"/>
    <x v="2"/>
    <n v="12709497"/>
    <n v="16422285"/>
    <n v="12"/>
    <n v="3712788"/>
    <n v="0.29212706057525328"/>
    <n v="3712788"/>
  </r>
  <r>
    <s v="WT-1021"/>
    <s v="Metro Station Wel-22"/>
    <s v="Wellington"/>
    <x v="2"/>
    <x v="8"/>
    <n v="14201654"/>
    <n v="17784913"/>
    <n v="13"/>
    <n v="3583259"/>
    <n v="0.25231279398864387"/>
    <n v="3583259"/>
  </r>
  <r>
    <s v="WT-1038"/>
    <s v="Hospital Ban-39"/>
    <s v="Bangalore"/>
    <x v="1"/>
    <x v="5"/>
    <n v="11046318"/>
    <n v="14494625"/>
    <n v="27"/>
    <n v="3448307"/>
    <n v="0.31216800023319985"/>
    <n v="3448307"/>
  </r>
  <r>
    <s v="WT-1042"/>
    <s v="Data Centre Kol-43"/>
    <s v="Kolkata"/>
    <x v="1"/>
    <x v="4"/>
    <n v="15009833"/>
    <n v="18215829"/>
    <n v="28"/>
    <n v="3205996"/>
    <n v="0.21359304930308018"/>
    <n v="3205996"/>
  </r>
  <r>
    <s v="WT-1014"/>
    <s v="Metro Station Pun-15"/>
    <s v="Pune"/>
    <x v="1"/>
    <x v="8"/>
    <n v="52929647"/>
    <n v="55998461"/>
    <n v="46"/>
    <n v="3068814"/>
    <n v="5.7979113293538498E-2"/>
    <n v="3068814"/>
  </r>
  <r>
    <s v="WT-1005"/>
    <s v="Industrial Warehouse Pun-6"/>
    <s v="Pune"/>
    <x v="1"/>
    <x v="3"/>
    <n v="47667651"/>
    <n v="50582458"/>
    <n v="19"/>
    <n v="2914807"/>
    <n v="6.1148534464179914E-2"/>
    <n v="2914807"/>
  </r>
  <r>
    <s v="WT-1001"/>
    <s v="IT Park Che-2"/>
    <s v="Chennai"/>
    <x v="1"/>
    <x v="1"/>
    <n v="13668732"/>
    <n v="16213808"/>
    <n v="8"/>
    <n v="2545076"/>
    <n v="0.18619693472664472"/>
    <n v="2545076"/>
  </r>
  <r>
    <s v="WT-1039"/>
    <s v="IT Park Del-40"/>
    <s v="Delhi"/>
    <x v="1"/>
    <x v="1"/>
    <n v="33944441"/>
    <n v="36028320"/>
    <n v="37"/>
    <n v="2083879"/>
    <n v="6.1390876933280478E-2"/>
    <n v="2083879"/>
  </r>
  <r>
    <s v="WT-1036"/>
    <s v="Data Centre Ahm-37"/>
    <s v="Ahmedabad"/>
    <x v="1"/>
    <x v="4"/>
    <n v="47377076"/>
    <n v="45406838"/>
    <n v="41"/>
    <n v="-1970238"/>
    <n v="-4.1586314866708954E-2"/>
    <n v="1970238"/>
  </r>
  <r>
    <s v="WT-1020"/>
    <s v="Industrial Warehouse Ham-21"/>
    <s v="Hamilton"/>
    <x v="2"/>
    <x v="3"/>
    <n v="50586340"/>
    <n v="52494876"/>
    <n v="14"/>
    <n v="1908536"/>
    <n v="3.7728287913298332E-2"/>
    <n v="1908536"/>
  </r>
  <r>
    <s v="WT-1000"/>
    <s v="Commercial Office Che-1"/>
    <s v="Chennai"/>
    <x v="1"/>
    <x v="6"/>
    <n v="38913810"/>
    <n v="40779989"/>
    <n v="14"/>
    <n v="1866179"/>
    <n v="4.7956727958531946E-2"/>
    <n v="1866179"/>
  </r>
  <r>
    <s v="WT-1012"/>
    <s v="Shopping Mall Pun-13"/>
    <s v="Pune"/>
    <x v="1"/>
    <x v="9"/>
    <n v="49683626"/>
    <n v="51363072"/>
    <n v="23"/>
    <n v="1679446"/>
    <n v="3.3802806582595241E-2"/>
    <n v="1679446"/>
  </r>
  <r>
    <s v="WT-1017"/>
    <s v="Hotel Kol-18"/>
    <s v="Kolkata"/>
    <x v="1"/>
    <x v="7"/>
    <n v="44235350"/>
    <n v="45785826"/>
    <n v="37"/>
    <n v="1550476"/>
    <n v="3.5050609975958144E-2"/>
    <n v="1550476"/>
  </r>
  <r>
    <s v="WT-1037"/>
    <s v="Hotel Ahm-38"/>
    <s v="Ahmedabad"/>
    <x v="1"/>
    <x v="7"/>
    <n v="31557077"/>
    <n v="30069991"/>
    <n v="46"/>
    <n v="-1487086"/>
    <n v="-4.7123692729843132E-2"/>
    <n v="1487086"/>
  </r>
  <r>
    <s v="WT-1006"/>
    <s v="Data Centre Bri-7"/>
    <s v="Brisbane"/>
    <x v="0"/>
    <x v="4"/>
    <n v="14448136"/>
    <n v="15921425"/>
    <n v="28"/>
    <n v="1473289"/>
    <n v="0.10197087015238505"/>
    <n v="1473289"/>
  </r>
  <r>
    <s v="WT-1002"/>
    <s v="Data Centre Mum-3"/>
    <s v="Mumbai"/>
    <x v="1"/>
    <x v="4"/>
    <n v="31345092"/>
    <n v="32694948"/>
    <n v="44"/>
    <n v="1349856"/>
    <n v="4.3064349595783605E-2"/>
    <n v="1349856"/>
  </r>
  <r>
    <s v="WT-1018"/>
    <s v="Metro Station Ade-19"/>
    <s v="Adelaide"/>
    <x v="0"/>
    <x v="8"/>
    <n v="21175900"/>
    <n v="22360735"/>
    <n v="21"/>
    <n v="1184835"/>
    <n v="5.5952049263549603E-2"/>
    <n v="1184835"/>
  </r>
  <r>
    <s v="WT-1008"/>
    <s v="Data Centre Chr-9"/>
    <s v="Christchurch"/>
    <x v="2"/>
    <x v="4"/>
    <n v="52806024"/>
    <n v="51830172"/>
    <n v="24"/>
    <n v="-975852"/>
    <n v="-1.847993706172614E-2"/>
    <n v="975852"/>
  </r>
  <r>
    <s v="WT-1030"/>
    <s v="University Campus Per-31"/>
    <s v="Perth"/>
    <x v="0"/>
    <x v="2"/>
    <n v="34138745"/>
    <n v="33222804"/>
    <n v="42"/>
    <n v="-915941"/>
    <n v="-2.6829955231218956E-2"/>
    <n v="915941"/>
  </r>
  <r>
    <s v="WT-1048"/>
    <s v="Data Centre Mum-49"/>
    <s v="Mumbai"/>
    <x v="1"/>
    <x v="4"/>
    <n v="33726318"/>
    <n v="34283626"/>
    <n v="37"/>
    <n v="557308"/>
    <n v="1.6524424634791146E-2"/>
    <n v="557308"/>
  </r>
  <r>
    <s v="WT-1047"/>
    <s v="IT Park Gol-48"/>
    <s v="Gold Coast"/>
    <x v="0"/>
    <x v="1"/>
    <n v="15141087"/>
    <n v="14690417"/>
    <n v="40"/>
    <n v="-450670"/>
    <n v="-2.9764705796882351E-2"/>
    <n v="45067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WT-1028"/>
    <s v="Residential Tower Per-29"/>
    <x v="0"/>
    <s v="Australia"/>
    <s v="Residential Tower"/>
    <n v="74394227"/>
    <n v="99048466"/>
    <n v="39"/>
    <n v="24654239"/>
    <n v="0.33139989477946991"/>
    <n v="24654239"/>
    <n v="50"/>
    <n v="0.9"/>
  </r>
  <r>
    <s v="WT-1032"/>
    <s v="Residential Tower Hyd-33"/>
    <x v="1"/>
    <s v="India"/>
    <s v="Residential Tower"/>
    <n v="65791320"/>
    <n v="87419523"/>
    <n v="16"/>
    <n v="21628203"/>
    <n v="0.32873945985579861"/>
    <n v="21628203"/>
    <m/>
    <m/>
  </r>
  <r>
    <s v="WT-1033"/>
    <s v="IT Park Syd-34"/>
    <x v="2"/>
    <s v="Australia"/>
    <s v="IT Park"/>
    <n v="58792612"/>
    <n v="78531947"/>
    <n v="40"/>
    <n v="19739335"/>
    <n v="0.33574516131380588"/>
    <n v="19739335"/>
    <m/>
    <m/>
  </r>
  <r>
    <s v="WT-1034"/>
    <s v="University Campus Kol-35"/>
    <x v="3"/>
    <s v="India"/>
    <s v="University Campus"/>
    <n v="55551839"/>
    <n v="74887197"/>
    <n v="47"/>
    <n v="19335358"/>
    <n v="0.34805972849971717"/>
    <n v="19335358"/>
    <m/>
    <m/>
  </r>
  <r>
    <s v="WT-1043"/>
    <s v="Industrial Warehouse Can-44"/>
    <x v="4"/>
    <s v="Australia"/>
    <s v="Industrial Warehouse"/>
    <n v="64682989"/>
    <n v="83799056"/>
    <n v="9"/>
    <n v="19116067"/>
    <n v="0.29553468841707359"/>
    <n v="19116067"/>
    <m/>
    <m/>
  </r>
  <r>
    <s v="WT-1031"/>
    <s v="Data Centre Del-32"/>
    <x v="5"/>
    <s v="India"/>
    <s v="Data Centre"/>
    <n v="67228535"/>
    <n v="85811127"/>
    <n v="40"/>
    <n v="18582592"/>
    <n v="0.27640929554689836"/>
    <n v="18582592"/>
    <m/>
    <m/>
  </r>
  <r>
    <s v="WT-1024"/>
    <s v="Data Centre Mum-25"/>
    <x v="6"/>
    <s v="India"/>
    <s v="Data Centre"/>
    <n v="74070937"/>
    <n v="92614679"/>
    <n v="47"/>
    <n v="18543742"/>
    <n v="0.25035111949508615"/>
    <n v="18543742"/>
    <m/>
    <m/>
  </r>
  <r>
    <s v="WT-1026"/>
    <s v="University Campus Mum-27"/>
    <x v="6"/>
    <s v="India"/>
    <s v="University Campus"/>
    <n v="69187530"/>
    <n v="86815466"/>
    <n v="38"/>
    <n v="17627936"/>
    <n v="0.2547848723606696"/>
    <n v="17627936"/>
    <m/>
    <m/>
  </r>
  <r>
    <s v="WT-1049"/>
    <s v="Hospital Auc-50"/>
    <x v="7"/>
    <s v="New Zealand"/>
    <s v="Hospital"/>
    <n v="55826716"/>
    <n v="73187548"/>
    <n v="16"/>
    <n v="17360832"/>
    <n v="0.31097713145082723"/>
    <n v="17360832"/>
    <m/>
    <m/>
  </r>
  <r>
    <s v="WT-1027"/>
    <s v="University Campus Che-28"/>
    <x v="8"/>
    <s v="India"/>
    <s v="University Campus"/>
    <n v="70137358"/>
    <n v="83715114"/>
    <n v="15"/>
    <n v="13577756"/>
    <n v="0.19358807327758196"/>
    <n v="13577756"/>
    <m/>
    <m/>
  </r>
  <r>
    <s v="WT-1044"/>
    <s v="Commercial Office Che-45"/>
    <x v="8"/>
    <s v="India"/>
    <s v="Commercial Office"/>
    <n v="56038913"/>
    <n v="69560286"/>
    <n v="12"/>
    <n v="13521373"/>
    <n v="0.24128542607527023"/>
    <n v="13521373"/>
    <m/>
    <m/>
  </r>
  <r>
    <s v="WT-1015"/>
    <s v="Hospital Chr-16"/>
    <x v="9"/>
    <s v="New Zealand"/>
    <s v="Hospital"/>
    <n v="45524491"/>
    <n v="58596428"/>
    <n v="9"/>
    <n v="13071937"/>
    <n v="0.28714076122234955"/>
    <n v="13071937"/>
    <m/>
    <m/>
  </r>
  <r>
    <s v="WT-1011"/>
    <s v="University Campus Ade-12"/>
    <x v="10"/>
    <s v="Australia"/>
    <s v="University Campus"/>
    <n v="62855700"/>
    <n v="75695471"/>
    <n v="29"/>
    <n v="12839771"/>
    <n v="0.20427377310251896"/>
    <n v="12839771"/>
    <m/>
    <m/>
  </r>
  <r>
    <s v="WT-1004"/>
    <s v="Hospital Can-5"/>
    <x v="4"/>
    <s v="Australia"/>
    <s v="Hospital"/>
    <n v="62291817"/>
    <n v="73859798"/>
    <n v="6"/>
    <n v="11567981"/>
    <n v="0.1857062702152355"/>
    <n v="11567981"/>
    <m/>
    <m/>
  </r>
  <r>
    <s v="WT-1022"/>
    <s v="Residential Tower Hyd-23"/>
    <x v="1"/>
    <s v="India"/>
    <s v="Residential Tower"/>
    <n v="58661351"/>
    <n v="69722747"/>
    <n v="30"/>
    <n v="11061396"/>
    <n v="0.18856360809010347"/>
    <n v="11061396"/>
    <m/>
    <m/>
  </r>
  <r>
    <s v="WT-1023"/>
    <s v="Hotel Ade-24"/>
    <x v="10"/>
    <s v="Australia"/>
    <s v="Hotel"/>
    <n v="64820592"/>
    <n v="75298564"/>
    <n v="41"/>
    <n v="10477972"/>
    <n v="0.16164573134413829"/>
    <n v="10477972"/>
    <m/>
    <m/>
  </r>
  <r>
    <s v="WT-1007"/>
    <s v="Hotel Per-8"/>
    <x v="0"/>
    <s v="Australia"/>
    <s v="Hotel"/>
    <n v="37503389"/>
    <n v="47736237"/>
    <n v="35"/>
    <n v="10232848"/>
    <n v="0.27285128818624899"/>
    <n v="10232848"/>
    <m/>
    <m/>
  </r>
  <r>
    <s v="WT-1035"/>
    <s v="Metro Station Per-36"/>
    <x v="0"/>
    <s v="Australia"/>
    <s v="Metro Station"/>
    <n v="71467853"/>
    <n v="80801158"/>
    <n v="21"/>
    <n v="9333305"/>
    <n v="0.1305944506266335"/>
    <n v="9333305"/>
    <m/>
    <m/>
  </r>
  <r>
    <s v="WT-1019"/>
    <s v="IT Park Chr-20"/>
    <x v="9"/>
    <s v="New Zealand"/>
    <s v="IT Park"/>
    <n v="37264581"/>
    <n v="46536214"/>
    <n v="33"/>
    <n v="9271633"/>
    <n v="0.24880550783597968"/>
    <n v="9271633"/>
    <m/>
    <m/>
  </r>
  <r>
    <s v="WT-1041"/>
    <s v="Metro Station Ham-42"/>
    <x v="11"/>
    <s v="New Zealand"/>
    <s v="Metro Station"/>
    <n v="34614537"/>
    <n v="43747505"/>
    <n v="32"/>
    <n v="9132968"/>
    <n v="0.26384775852989167"/>
    <n v="9132968"/>
    <m/>
    <m/>
  </r>
  <r>
    <s v="WT-1003"/>
    <s v="IT Park Mum-4"/>
    <x v="6"/>
    <s v="India"/>
    <s v="IT Park"/>
    <n v="28687537"/>
    <n v="35469495"/>
    <n v="40"/>
    <n v="6781958"/>
    <n v="0.23640781709492872"/>
    <n v="6781958"/>
    <m/>
    <m/>
  </r>
  <r>
    <s v="WT-1029"/>
    <s v="Hotel Mum-30"/>
    <x v="6"/>
    <s v="India"/>
    <s v="Hotel"/>
    <n v="45507489"/>
    <n v="52126202"/>
    <n v="13"/>
    <n v="6618713"/>
    <n v="0.14544228093973718"/>
    <n v="6618713"/>
    <m/>
    <m/>
  </r>
  <r>
    <s v="WT-1009"/>
    <s v="Hotel Per-10"/>
    <x v="0"/>
    <s v="Australia"/>
    <s v="Hotel"/>
    <n v="27808537"/>
    <n v="34255354"/>
    <n v="8"/>
    <n v="6446817"/>
    <n v="0.2318287006612394"/>
    <n v="6446817"/>
    <m/>
    <m/>
  </r>
  <r>
    <s v="WT-1046"/>
    <s v="Residential Tower Can-47"/>
    <x v="4"/>
    <s v="Australia"/>
    <s v="Residential Tower"/>
    <n v="39385696"/>
    <n v="44704782"/>
    <n v="10"/>
    <n v="5319086"/>
    <n v="0.13505121250110699"/>
    <n v="5319086"/>
    <m/>
    <m/>
  </r>
  <r>
    <s v="WT-1025"/>
    <s v="Data Centre Bri-26"/>
    <x v="12"/>
    <s v="Australia"/>
    <s v="Data Centre"/>
    <n v="41392920"/>
    <n v="46521755"/>
    <n v="35"/>
    <n v="5128835"/>
    <n v="0.12390609311930639"/>
    <n v="5128835"/>
    <m/>
    <m/>
  </r>
  <r>
    <s v="WT-1016"/>
    <s v="Commercial Office Ahm-17"/>
    <x v="13"/>
    <s v="India"/>
    <s v="Commercial Office"/>
    <n v="44339391"/>
    <n v="49237382"/>
    <n v="10"/>
    <n v="4897991"/>
    <n v="0.11046590603826742"/>
    <n v="4897991"/>
    <m/>
    <m/>
  </r>
  <r>
    <s v="WT-1040"/>
    <s v="IT Park Kol-41"/>
    <x v="3"/>
    <s v="India"/>
    <s v="IT Park"/>
    <n v="19758595"/>
    <n v="24487637"/>
    <n v="42"/>
    <n v="4729042"/>
    <n v="0.23934100577495515"/>
    <n v="4729042"/>
    <m/>
    <m/>
  </r>
  <r>
    <s v="WT-1045"/>
    <s v="Hospital Ahm-46"/>
    <x v="13"/>
    <s v="India"/>
    <s v="Hospital"/>
    <n v="27529407"/>
    <n v="32058388"/>
    <n v="14"/>
    <n v="4528981"/>
    <n v="0.16451429556764519"/>
    <n v="4528981"/>
    <m/>
    <m/>
  </r>
  <r>
    <s v="WT-1013"/>
    <s v="Hotel Del-14"/>
    <x v="5"/>
    <s v="India"/>
    <s v="Hotel"/>
    <n v="24969840"/>
    <n v="29056302"/>
    <n v="21"/>
    <n v="4086462"/>
    <n v="0.16365591449524708"/>
    <n v="4086462"/>
    <m/>
    <m/>
  </r>
  <r>
    <s v="WT-1010"/>
    <s v="University Campus Ahm-11"/>
    <x v="13"/>
    <s v="India"/>
    <s v="University Campus"/>
    <n v="12709497"/>
    <n v="16422285"/>
    <n v="12"/>
    <n v="3712788"/>
    <n v="0.29212706057525328"/>
    <n v="3712788"/>
    <m/>
    <m/>
  </r>
  <r>
    <s v="WT-1021"/>
    <s v="Metro Station Wel-22"/>
    <x v="14"/>
    <s v="New Zealand"/>
    <s v="Metro Station"/>
    <n v="14201654"/>
    <n v="17784913"/>
    <n v="13"/>
    <n v="3583259"/>
    <n v="0.25231279398864387"/>
    <n v="3583259"/>
    <m/>
    <m/>
  </r>
  <r>
    <s v="WT-1038"/>
    <s v="Hospital Ban-39"/>
    <x v="15"/>
    <s v="India"/>
    <s v="Hospital"/>
    <n v="11046318"/>
    <n v="14494625"/>
    <n v="27"/>
    <n v="3448307"/>
    <n v="0.31216800023319985"/>
    <n v="3448307"/>
    <m/>
    <m/>
  </r>
  <r>
    <s v="WT-1042"/>
    <s v="Data Centre Kol-43"/>
    <x v="3"/>
    <s v="India"/>
    <s v="Data Centre"/>
    <n v="15009833"/>
    <n v="18215829"/>
    <n v="28"/>
    <n v="3205996"/>
    <n v="0.21359304930308018"/>
    <n v="3205996"/>
    <m/>
    <m/>
  </r>
  <r>
    <s v="WT-1014"/>
    <s v="Metro Station Pun-15"/>
    <x v="16"/>
    <s v="India"/>
    <s v="Metro Station"/>
    <n v="52929647"/>
    <n v="55998461"/>
    <n v="46"/>
    <n v="3068814"/>
    <n v="5.7979113293538498E-2"/>
    <n v="3068814"/>
    <m/>
    <m/>
  </r>
  <r>
    <s v="WT-1005"/>
    <s v="Industrial Warehouse Pun-6"/>
    <x v="16"/>
    <s v="India"/>
    <s v="Industrial Warehouse"/>
    <n v="47667651"/>
    <n v="50582458"/>
    <n v="19"/>
    <n v="2914807"/>
    <n v="6.1148534464179914E-2"/>
    <n v="2914807"/>
    <m/>
    <m/>
  </r>
  <r>
    <s v="WT-1001"/>
    <s v="IT Park Che-2"/>
    <x v="8"/>
    <s v="India"/>
    <s v="IT Park"/>
    <n v="13668732"/>
    <n v="16213808"/>
    <n v="8"/>
    <n v="2545076"/>
    <n v="0.18619693472664472"/>
    <n v="2545076"/>
    <m/>
    <m/>
  </r>
  <r>
    <s v="WT-1039"/>
    <s v="IT Park Del-40"/>
    <x v="5"/>
    <s v="India"/>
    <s v="IT Park"/>
    <n v="33944441"/>
    <n v="36028320"/>
    <n v="37"/>
    <n v="2083879"/>
    <n v="6.1390876933280478E-2"/>
    <n v="2083879"/>
    <m/>
    <m/>
  </r>
  <r>
    <s v="WT-1036"/>
    <s v="Data Centre Ahm-37"/>
    <x v="13"/>
    <s v="India"/>
    <s v="Data Centre"/>
    <n v="47377076"/>
    <n v="45406838"/>
    <n v="41"/>
    <n v="-1970238"/>
    <n v="-4.1586314866708954E-2"/>
    <n v="1970238"/>
    <m/>
    <m/>
  </r>
  <r>
    <s v="WT-1020"/>
    <s v="Industrial Warehouse Ham-21"/>
    <x v="11"/>
    <s v="New Zealand"/>
    <s v="Industrial Warehouse"/>
    <n v="50586340"/>
    <n v="52494876"/>
    <n v="14"/>
    <n v="1908536"/>
    <n v="3.7728287913298332E-2"/>
    <n v="1908536"/>
    <m/>
    <m/>
  </r>
  <r>
    <s v="WT-1000"/>
    <s v="Commercial Office Che-1"/>
    <x v="8"/>
    <s v="India"/>
    <s v="Commercial Office"/>
    <n v="38913810"/>
    <n v="40779989"/>
    <n v="14"/>
    <n v="1866179"/>
    <n v="4.7956727958531946E-2"/>
    <n v="1866179"/>
    <m/>
    <m/>
  </r>
  <r>
    <s v="WT-1012"/>
    <s v="Shopping Mall Pun-13"/>
    <x v="16"/>
    <s v="India"/>
    <s v="Shopping Mall"/>
    <n v="49683626"/>
    <n v="51363072"/>
    <n v="23"/>
    <n v="1679446"/>
    <n v="3.3802806582595241E-2"/>
    <n v="1679446"/>
    <m/>
    <m/>
  </r>
  <r>
    <s v="WT-1017"/>
    <s v="Hotel Kol-18"/>
    <x v="3"/>
    <s v="India"/>
    <s v="Hotel"/>
    <n v="44235350"/>
    <n v="45785826"/>
    <n v="37"/>
    <n v="1550476"/>
    <n v="3.5050609975958144E-2"/>
    <n v="1550476"/>
    <m/>
    <m/>
  </r>
  <r>
    <s v="WT-1037"/>
    <s v="Hotel Ahm-38"/>
    <x v="13"/>
    <s v="India"/>
    <s v="Hotel"/>
    <n v="31557077"/>
    <n v="30069991"/>
    <n v="46"/>
    <n v="-1487086"/>
    <n v="-4.7123692729843132E-2"/>
    <n v="1487086"/>
    <m/>
    <m/>
  </r>
  <r>
    <s v="WT-1006"/>
    <s v="Data Centre Bri-7"/>
    <x v="12"/>
    <s v="Australia"/>
    <s v="Data Centre"/>
    <n v="14448136"/>
    <n v="15921425"/>
    <n v="28"/>
    <n v="1473289"/>
    <n v="0.10197087015238505"/>
    <n v="1473289"/>
    <m/>
    <m/>
  </r>
  <r>
    <s v="WT-1002"/>
    <s v="Data Centre Mum-3"/>
    <x v="6"/>
    <s v="India"/>
    <s v="Data Centre"/>
    <n v="31345092"/>
    <n v="32694948"/>
    <n v="44"/>
    <n v="1349856"/>
    <n v="4.3064349595783605E-2"/>
    <n v="1349856"/>
    <m/>
    <m/>
  </r>
  <r>
    <s v="WT-1018"/>
    <s v="Metro Station Ade-19"/>
    <x v="10"/>
    <s v="Australia"/>
    <s v="Metro Station"/>
    <n v="21175900"/>
    <n v="22360735"/>
    <n v="21"/>
    <n v="1184835"/>
    <n v="5.5952049263549603E-2"/>
    <n v="1184835"/>
    <m/>
    <m/>
  </r>
  <r>
    <s v="WT-1008"/>
    <s v="Data Centre Chr-9"/>
    <x v="9"/>
    <s v="New Zealand"/>
    <s v="Data Centre"/>
    <n v="52806024"/>
    <n v="51830172"/>
    <n v="24"/>
    <n v="-975852"/>
    <n v="-1.847993706172614E-2"/>
    <n v="975852"/>
    <m/>
    <m/>
  </r>
  <r>
    <s v="WT-1030"/>
    <s v="University Campus Per-31"/>
    <x v="0"/>
    <s v="Australia"/>
    <s v="University Campus"/>
    <n v="34138745"/>
    <n v="33222804"/>
    <n v="42"/>
    <n v="-915941"/>
    <n v="-2.6829955231218956E-2"/>
    <n v="915941"/>
    <m/>
    <m/>
  </r>
  <r>
    <s v="WT-1048"/>
    <s v="Data Centre Mum-49"/>
    <x v="6"/>
    <s v="India"/>
    <s v="Data Centre"/>
    <n v="33726318"/>
    <n v="34283626"/>
    <n v="37"/>
    <n v="557308"/>
    <n v="1.6524424634791146E-2"/>
    <n v="557308"/>
    <m/>
    <m/>
  </r>
  <r>
    <s v="WT-1047"/>
    <s v="IT Park Gol-48"/>
    <x v="17"/>
    <s v="Australia"/>
    <s v="IT Park"/>
    <n v="15141087"/>
    <n v="14690417"/>
    <n v="40"/>
    <n v="-450670"/>
    <n v="-2.9764705796882351E-2"/>
    <n v="450670"/>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s v="sqm"/>
    <n v="95"/>
    <n v="96.34"/>
    <s v="Christchurch"/>
    <x v="0"/>
    <n v="1.4105263157894773E-2"/>
  </r>
  <r>
    <x v="0"/>
    <x v="1"/>
    <s v="MT"/>
    <n v="85"/>
    <n v="96.77"/>
    <s v="Auckland"/>
    <x v="0"/>
    <n v="0.13847058823529407"/>
  </r>
  <r>
    <x v="0"/>
    <x v="2"/>
    <s v="sqm"/>
    <n v="15"/>
    <n v="14.57"/>
    <s v="Melbourne"/>
    <x v="1"/>
    <n v="-2.8666666666666649E-2"/>
  </r>
  <r>
    <x v="0"/>
    <x v="3"/>
    <s v="sqm"/>
    <n v="120"/>
    <n v="119.02"/>
    <s v="Bangalore"/>
    <x v="2"/>
    <n v="-8.1666666666667005E-3"/>
  </r>
  <r>
    <x v="0"/>
    <x v="4"/>
    <s v="sheet"/>
    <n v="45"/>
    <n v="50"/>
    <s v="Christchurch"/>
    <x v="0"/>
    <n v="0.1111111111111111"/>
  </r>
  <r>
    <x v="1"/>
    <x v="1"/>
    <s v="MT"/>
    <n v="85"/>
    <n v="94.59"/>
    <s v="Wellington"/>
    <x v="0"/>
    <n v="0.11282352941176474"/>
  </r>
  <r>
    <x v="1"/>
    <x v="5"/>
    <s v="cum"/>
    <n v="25"/>
    <n v="30.58"/>
    <s v="Wellington"/>
    <x v="0"/>
    <n v="0.22319999999999993"/>
  </r>
  <r>
    <x v="1"/>
    <x v="6"/>
    <s v="m"/>
    <n v="8"/>
    <n v="7.78"/>
    <s v="Wellington"/>
    <x v="0"/>
    <n v="-2.7499999999999969E-2"/>
  </r>
  <r>
    <x v="1"/>
    <x v="2"/>
    <s v="sqm"/>
    <n v="15"/>
    <n v="14.2"/>
    <s v="Pune"/>
    <x v="2"/>
    <n v="-5.3333333333333378E-2"/>
  </r>
  <r>
    <x v="1"/>
    <x v="7"/>
    <s v="m"/>
    <n v="3"/>
    <n v="2.83"/>
    <s v="Delhi"/>
    <x v="2"/>
    <n v="-5.6666666666666643E-2"/>
  </r>
  <r>
    <x v="2"/>
    <x v="8"/>
    <s v="1000 nos"/>
    <n v="380"/>
    <n v="467.68"/>
    <s v="Hamilton"/>
    <x v="0"/>
    <n v="0.23073684210526318"/>
  </r>
  <r>
    <x v="2"/>
    <x v="7"/>
    <s v="m"/>
    <n v="3"/>
    <n v="3"/>
    <s v="Bangalore"/>
    <x v="2"/>
    <n v="0"/>
  </r>
  <r>
    <x v="2"/>
    <x v="9"/>
    <s v="MT"/>
    <n v="950"/>
    <n v="1068.18"/>
    <s v="Canberra"/>
    <x v="1"/>
    <n v="0.12440000000000007"/>
  </r>
  <r>
    <x v="2"/>
    <x v="0"/>
    <s v="sqm"/>
    <n v="95"/>
    <n v="108.01"/>
    <s v="Hamilton"/>
    <x v="0"/>
    <n v="0.13694736842105268"/>
  </r>
  <r>
    <x v="2"/>
    <x v="10"/>
    <s v="MT"/>
    <n v="650"/>
    <n v="710.14"/>
    <s v="Sydney"/>
    <x v="1"/>
    <n v="9.2523076923076902E-2"/>
  </r>
  <r>
    <x v="3"/>
    <x v="9"/>
    <s v="MT"/>
    <n v="950"/>
    <n v="957.27"/>
    <s v="Hyderabad"/>
    <x v="2"/>
    <n v="7.6526315789473493E-3"/>
  </r>
  <r>
    <x v="3"/>
    <x v="8"/>
    <s v="1000 nos"/>
    <n v="380"/>
    <n v="433.83"/>
    <s v="Melbourne"/>
    <x v="1"/>
    <n v="0.14165789473684207"/>
  </r>
  <r>
    <x v="3"/>
    <x v="5"/>
    <s v="cum"/>
    <n v="25"/>
    <n v="26.77"/>
    <s v="Delhi"/>
    <x v="2"/>
    <n v="7.0799999999999988E-2"/>
  </r>
  <r>
    <x v="3"/>
    <x v="6"/>
    <s v="m"/>
    <n v="8"/>
    <n v="7.38"/>
    <s v="Hamilton"/>
    <x v="0"/>
    <n v="-7.7500000000000013E-2"/>
  </r>
  <r>
    <x v="3"/>
    <x v="2"/>
    <s v="sqm"/>
    <n v="15"/>
    <n v="18.73"/>
    <s v="Delhi"/>
    <x v="2"/>
    <n v="0.2486666666666667"/>
  </r>
  <r>
    <x v="4"/>
    <x v="11"/>
    <s v="sqm"/>
    <n v="18"/>
    <n v="22.1"/>
    <s v="Delhi"/>
    <x v="2"/>
    <n v="0.22777777777777786"/>
  </r>
  <r>
    <x v="4"/>
    <x v="9"/>
    <s v="MT"/>
    <n v="950"/>
    <n v="1149.6500000000001"/>
    <s v="Perth"/>
    <x v="1"/>
    <n v="0.21015789473684221"/>
  </r>
  <r>
    <x v="4"/>
    <x v="2"/>
    <s v="sqm"/>
    <n v="15"/>
    <n v="15.21"/>
    <s v="Gold Coast"/>
    <x v="1"/>
    <n v="1.4000000000000058E-2"/>
  </r>
  <r>
    <x v="4"/>
    <x v="3"/>
    <s v="sqm"/>
    <n v="120"/>
    <n v="143.41999999999999"/>
    <s v="Melbourne"/>
    <x v="1"/>
    <n v="0.19516666666666657"/>
  </r>
  <r>
    <x v="4"/>
    <x v="12"/>
    <s v="cum"/>
    <n v="75"/>
    <n v="84.14"/>
    <s v="Wellington"/>
    <x v="0"/>
    <n v="0.12186666666666668"/>
  </r>
  <r>
    <x v="5"/>
    <x v="1"/>
    <s v="MT"/>
    <n v="85"/>
    <n v="81.11"/>
    <s v="Hyderabad"/>
    <x v="2"/>
    <n v="-4.576470588235295E-2"/>
  </r>
  <r>
    <x v="5"/>
    <x v="8"/>
    <s v="1000 nos"/>
    <n v="380"/>
    <n v="382.76"/>
    <s v="Chennai"/>
    <x v="2"/>
    <n v="7.2631578947368177E-3"/>
  </r>
  <r>
    <x v="5"/>
    <x v="11"/>
    <s v="sqm"/>
    <n v="18"/>
    <n v="20.97"/>
    <s v="Hyderabad"/>
    <x v="2"/>
    <n v="0.16499999999999992"/>
  </r>
  <r>
    <x v="5"/>
    <x v="3"/>
    <s v="sqm"/>
    <n v="120"/>
    <n v="121.18"/>
    <s v="Kolkata"/>
    <x v="2"/>
    <n v="9.8333333333333901E-3"/>
  </r>
  <r>
    <x v="5"/>
    <x v="7"/>
    <s v="m"/>
    <n v="3"/>
    <n v="3.47"/>
    <s v="Kolkata"/>
    <x v="2"/>
    <n v="0.15666666666666673"/>
  </r>
  <r>
    <x v="6"/>
    <x v="8"/>
    <s v="1000 nos"/>
    <n v="380"/>
    <n v="381.09"/>
    <s v="Bangalore"/>
    <x v="2"/>
    <n v="2.8684210526315132E-3"/>
  </r>
  <r>
    <x v="6"/>
    <x v="2"/>
    <s v="sqm"/>
    <n v="15"/>
    <n v="14.26"/>
    <s v="Canberra"/>
    <x v="1"/>
    <n v="-4.9333333333333347E-2"/>
  </r>
  <r>
    <x v="6"/>
    <x v="3"/>
    <s v="sqm"/>
    <n v="120"/>
    <n v="143.24"/>
    <s v="Bangalore"/>
    <x v="2"/>
    <n v="0.19366666666666674"/>
  </r>
  <r>
    <x v="6"/>
    <x v="11"/>
    <s v="sqm"/>
    <n v="18"/>
    <n v="16.579999999999998"/>
    <s v="Hyderabad"/>
    <x v="2"/>
    <n v="-7.8888888888888981E-2"/>
  </r>
  <r>
    <x v="6"/>
    <x v="4"/>
    <s v="sheet"/>
    <n v="45"/>
    <n v="50.86"/>
    <s v="Sydney"/>
    <x v="1"/>
    <n v="0.13022222222222221"/>
  </r>
  <r>
    <x v="7"/>
    <x v="12"/>
    <s v="cum"/>
    <n v="75"/>
    <n v="82.88"/>
    <s v="Chennai"/>
    <x v="2"/>
    <n v="0.1050666666666666"/>
  </r>
  <r>
    <x v="7"/>
    <x v="5"/>
    <s v="cum"/>
    <n v="25"/>
    <n v="23.62"/>
    <s v="Hyderabad"/>
    <x v="2"/>
    <n v="-5.5199999999999957E-2"/>
  </r>
  <r>
    <x v="7"/>
    <x v="4"/>
    <s v="sheet"/>
    <n v="45"/>
    <n v="49.5"/>
    <s v="Perth"/>
    <x v="1"/>
    <n v="0.1"/>
  </r>
  <r>
    <x v="7"/>
    <x v="11"/>
    <s v="sqm"/>
    <n v="18"/>
    <n v="20.02"/>
    <s v="Hyderabad"/>
    <x v="2"/>
    <n v="0.1122222222222222"/>
  </r>
  <r>
    <x v="7"/>
    <x v="0"/>
    <s v="sqm"/>
    <n v="95"/>
    <n v="100.87"/>
    <s v="Bangalore"/>
    <x v="2"/>
    <n v="6.1789473684210575E-2"/>
  </r>
  <r>
    <x v="8"/>
    <x v="3"/>
    <s v="sqm"/>
    <n v="120"/>
    <n v="118.72"/>
    <s v="Ahmedabad"/>
    <x v="2"/>
    <n v="-1.0666666666666677E-2"/>
  </r>
  <r>
    <x v="8"/>
    <x v="6"/>
    <s v="m"/>
    <n v="8"/>
    <n v="9.1199999999999992"/>
    <s v="Perth"/>
    <x v="1"/>
    <n v="0.1399999999999999"/>
  </r>
  <r>
    <x v="8"/>
    <x v="13"/>
    <s v="cum"/>
    <n v="22"/>
    <n v="25.9"/>
    <s v="Canberra"/>
    <x v="1"/>
    <n v="0.17727272727272722"/>
  </r>
  <r>
    <x v="8"/>
    <x v="1"/>
    <s v="MT"/>
    <n v="85"/>
    <n v="105.52"/>
    <s v="Hyderabad"/>
    <x v="2"/>
    <n v="0.2414117647058823"/>
  </r>
  <r>
    <x v="8"/>
    <x v="7"/>
    <s v="m"/>
    <n v="3"/>
    <n v="3.68"/>
    <s v="Ahmedabad"/>
    <x v="2"/>
    <n v="0.22666666666666671"/>
  </r>
  <r>
    <x v="9"/>
    <x v="7"/>
    <s v="m"/>
    <n v="3"/>
    <n v="2.78"/>
    <s v="Brisbane"/>
    <x v="1"/>
    <n v="-7.3333333333333403E-2"/>
  </r>
  <r>
    <x v="9"/>
    <x v="12"/>
    <s v="cum"/>
    <n v="75"/>
    <n v="88.36"/>
    <s v="Canberra"/>
    <x v="1"/>
    <n v="0.17813333333333334"/>
  </r>
  <r>
    <x v="9"/>
    <x v="13"/>
    <s v="cum"/>
    <n v="22"/>
    <n v="26.06"/>
    <s v="Ahmedabad"/>
    <x v="2"/>
    <n v="0.18454545454545448"/>
  </r>
  <r>
    <x v="9"/>
    <x v="2"/>
    <s v="sqm"/>
    <n v="15"/>
    <n v="15.12"/>
    <s v="Chennai"/>
    <x v="2"/>
    <n v="7.9999999999999481E-3"/>
  </r>
  <r>
    <x v="9"/>
    <x v="0"/>
    <s v="sqm"/>
    <n v="95"/>
    <n v="99.39"/>
    <s v="Bangalore"/>
    <x v="2"/>
    <n v="4.621052631578948E-2"/>
  </r>
  <r>
    <x v="10"/>
    <x v="7"/>
    <s v="m"/>
    <n v="3"/>
    <n v="3.11"/>
    <s v="Ahmedabad"/>
    <x v="2"/>
    <n v="3.6666666666666625E-2"/>
  </r>
  <r>
    <x v="10"/>
    <x v="4"/>
    <s v="sheet"/>
    <n v="45"/>
    <n v="44.71"/>
    <s v="Kolkata"/>
    <x v="2"/>
    <n v="-6.4444444444444254E-3"/>
  </r>
  <r>
    <x v="10"/>
    <x v="9"/>
    <s v="MT"/>
    <n v="950"/>
    <n v="998.92"/>
    <s v="Sydney"/>
    <x v="1"/>
    <n v="5.1494736842105218E-2"/>
  </r>
  <r>
    <x v="10"/>
    <x v="13"/>
    <s v="cum"/>
    <n v="22"/>
    <n v="26.52"/>
    <s v="Sydney"/>
    <x v="1"/>
    <n v="0.20545454545454545"/>
  </r>
  <r>
    <x v="10"/>
    <x v="2"/>
    <s v="sqm"/>
    <n v="15"/>
    <n v="15.54"/>
    <s v="Wellington"/>
    <x v="0"/>
    <n v="3.5999999999999942E-2"/>
  </r>
  <r>
    <x v="11"/>
    <x v="0"/>
    <s v="sqm"/>
    <n v="95"/>
    <n v="91.02"/>
    <s v="Sydney"/>
    <x v="1"/>
    <n v="-4.1894736842105304E-2"/>
  </r>
  <r>
    <x v="11"/>
    <x v="8"/>
    <s v="1000 nos"/>
    <n v="380"/>
    <n v="371.99"/>
    <s v="Sydney"/>
    <x v="1"/>
    <n v="-2.1078947368421027E-2"/>
  </r>
  <r>
    <x v="11"/>
    <x v="11"/>
    <s v="sqm"/>
    <n v="18"/>
    <n v="16.79"/>
    <s v="Canberra"/>
    <x v="1"/>
    <n v="-6.7222222222222267E-2"/>
  </r>
  <r>
    <x v="11"/>
    <x v="6"/>
    <s v="m"/>
    <n v="8"/>
    <n v="8.27"/>
    <s v="Brisbane"/>
    <x v="1"/>
    <n v="3.3749999999999947E-2"/>
  </r>
  <r>
    <x v="11"/>
    <x v="1"/>
    <s v="MT"/>
    <n v="85"/>
    <n v="90.44"/>
    <s v="Wellington"/>
    <x v="0"/>
    <n v="6.3999999999999974E-2"/>
  </r>
  <r>
    <x v="12"/>
    <x v="10"/>
    <s v="MT"/>
    <n v="650"/>
    <n v="607.52"/>
    <s v="Canberra"/>
    <x v="1"/>
    <n v="-6.5353846153846179E-2"/>
  </r>
  <r>
    <x v="12"/>
    <x v="0"/>
    <s v="sqm"/>
    <n v="95"/>
    <n v="87.45"/>
    <s v="Christchurch"/>
    <x v="0"/>
    <n v="-7.947368421052628E-2"/>
  </r>
  <r>
    <x v="12"/>
    <x v="14"/>
    <s v="m"/>
    <n v="12"/>
    <n v="13.76"/>
    <s v="Kolkata"/>
    <x v="2"/>
    <n v="0.14666666666666664"/>
  </r>
  <r>
    <x v="12"/>
    <x v="9"/>
    <s v="MT"/>
    <n v="950"/>
    <n v="988.18"/>
    <s v="Delhi"/>
    <x v="2"/>
    <n v="4.0189473684210476E-2"/>
  </r>
  <r>
    <x v="12"/>
    <x v="3"/>
    <s v="sqm"/>
    <n v="120"/>
    <n v="147.97999999999999"/>
    <s v="Brisbane"/>
    <x v="1"/>
    <n v="0.23316666666666658"/>
  </r>
  <r>
    <x v="13"/>
    <x v="14"/>
    <s v="m"/>
    <n v="12"/>
    <n v="13.05"/>
    <s v="Canberra"/>
    <x v="1"/>
    <n v="8.7500000000000064E-2"/>
  </r>
  <r>
    <x v="13"/>
    <x v="6"/>
    <s v="m"/>
    <n v="8"/>
    <n v="8.2200000000000006"/>
    <s v="Melbourne"/>
    <x v="1"/>
    <n v="2.750000000000008E-2"/>
  </r>
  <r>
    <x v="13"/>
    <x v="8"/>
    <s v="1000 nos"/>
    <n v="380"/>
    <n v="419.12"/>
    <s v="Kolkata"/>
    <x v="2"/>
    <n v="0.10294736842105265"/>
  </r>
  <r>
    <x v="13"/>
    <x v="10"/>
    <s v="MT"/>
    <n v="650"/>
    <n v="688.19"/>
    <s v="Adelaide"/>
    <x v="1"/>
    <n v="5.875384615384624E-2"/>
  </r>
  <r>
    <x v="13"/>
    <x v="3"/>
    <s v="sqm"/>
    <n v="120"/>
    <n v="137.22"/>
    <s v="Pune"/>
    <x v="2"/>
    <n v="0.14349999999999999"/>
  </r>
  <r>
    <x v="14"/>
    <x v="14"/>
    <s v="m"/>
    <n v="12"/>
    <n v="14.34"/>
    <s v="Melbourne"/>
    <x v="1"/>
    <n v="0.19499999999999998"/>
  </r>
  <r>
    <x v="14"/>
    <x v="2"/>
    <s v="sqm"/>
    <n v="15"/>
    <n v="15.22"/>
    <s v="Canberra"/>
    <x v="1"/>
    <n v="1.466666666666671E-2"/>
  </r>
  <r>
    <x v="14"/>
    <x v="3"/>
    <s v="sqm"/>
    <n v="120"/>
    <n v="141.52000000000001"/>
    <s v="Brisbane"/>
    <x v="1"/>
    <n v="0.17933333333333343"/>
  </r>
  <r>
    <x v="14"/>
    <x v="0"/>
    <s v="sqm"/>
    <n v="95"/>
    <n v="101.98"/>
    <s v="Gold Coast"/>
    <x v="1"/>
    <n v="7.3473684210526358E-2"/>
  </r>
  <r>
    <x v="14"/>
    <x v="11"/>
    <s v="sqm"/>
    <n v="18"/>
    <n v="20.57"/>
    <s v="Wellington"/>
    <x v="0"/>
    <n v="0.14277777777777778"/>
  </r>
  <r>
    <x v="15"/>
    <x v="4"/>
    <s v="sheet"/>
    <n v="45"/>
    <n v="51.18"/>
    <s v="Melbourne"/>
    <x v="1"/>
    <n v="0.13733333333333334"/>
  </r>
  <r>
    <x v="15"/>
    <x v="13"/>
    <s v="cum"/>
    <n v="22"/>
    <n v="23.98"/>
    <s v="Brisbane"/>
    <x v="1"/>
    <n v="9.0000000000000024E-2"/>
  </r>
  <r>
    <x v="15"/>
    <x v="7"/>
    <s v="m"/>
    <n v="3"/>
    <n v="2.85"/>
    <s v="Ahmedabad"/>
    <x v="2"/>
    <n v="-4.9999999999999968E-2"/>
  </r>
  <r>
    <x v="15"/>
    <x v="5"/>
    <s v="cum"/>
    <n v="25"/>
    <n v="28.55"/>
    <s v="Ahmedabad"/>
    <x v="2"/>
    <n v="0.14200000000000002"/>
  </r>
  <r>
    <x v="15"/>
    <x v="12"/>
    <s v="cum"/>
    <n v="75"/>
    <n v="88.96"/>
    <s v="Hyderabad"/>
    <x v="2"/>
    <n v="0.18613333333333326"/>
  </r>
  <r>
    <x v="16"/>
    <x v="1"/>
    <s v="MT"/>
    <n v="85"/>
    <n v="102.04"/>
    <s v="Delhi"/>
    <x v="2"/>
    <n v="0.20047058823529418"/>
  </r>
  <r>
    <x v="16"/>
    <x v="2"/>
    <s v="sqm"/>
    <n v="15"/>
    <n v="16.05"/>
    <s v="Hamilton"/>
    <x v="0"/>
    <n v="7.0000000000000048E-2"/>
  </r>
  <r>
    <x v="16"/>
    <x v="9"/>
    <s v="MT"/>
    <n v="950"/>
    <n v="934.96"/>
    <s v="Adelaide"/>
    <x v="1"/>
    <n v="-1.5831578947368384E-2"/>
  </r>
  <r>
    <x v="16"/>
    <x v="4"/>
    <s v="sheet"/>
    <n v="45"/>
    <n v="48.74"/>
    <s v="Ahmedabad"/>
    <x v="2"/>
    <n v="8.3111111111111149E-2"/>
  </r>
  <r>
    <x v="16"/>
    <x v="14"/>
    <s v="m"/>
    <n v="12"/>
    <n v="11.62"/>
    <s v="Mumbai"/>
    <x v="2"/>
    <n v="-3.1666666666666732E-2"/>
  </r>
  <r>
    <x v="17"/>
    <x v="2"/>
    <s v="sqm"/>
    <n v="15"/>
    <n v="14.88"/>
    <s v="Wellington"/>
    <x v="0"/>
    <n v="-7.9999999999999481E-3"/>
  </r>
  <r>
    <x v="17"/>
    <x v="13"/>
    <s v="cum"/>
    <n v="22"/>
    <n v="23.61"/>
    <s v="Christchurch"/>
    <x v="0"/>
    <n v="7.3181818181818153E-2"/>
  </r>
  <r>
    <x v="17"/>
    <x v="7"/>
    <s v="m"/>
    <n v="3"/>
    <n v="3.01"/>
    <s v="Chennai"/>
    <x v="2"/>
    <n v="3.3333333333332624E-3"/>
  </r>
  <r>
    <x v="17"/>
    <x v="10"/>
    <s v="MT"/>
    <n v="650"/>
    <n v="695.91"/>
    <s v="Gold Coast"/>
    <x v="1"/>
    <n v="7.0630769230769178E-2"/>
  </r>
  <r>
    <x v="17"/>
    <x v="0"/>
    <s v="sqm"/>
    <n v="95"/>
    <n v="108.33"/>
    <s v="Christchurch"/>
    <x v="0"/>
    <n v="0.140315789473684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s v="sqm"/>
    <n v="15"/>
    <n v="18.73"/>
    <s v="Delhi"/>
    <s v="India"/>
    <n v="0.2486666666666667"/>
    <s v="high risk"/>
  </r>
  <r>
    <x v="1"/>
    <x v="1"/>
    <s v="MT"/>
    <n v="85"/>
    <n v="105.52"/>
    <s v="Hyderabad"/>
    <s v="India"/>
    <n v="0.2414117647058823"/>
    <s v="high risk"/>
  </r>
  <r>
    <x v="2"/>
    <x v="2"/>
    <s v="sqm"/>
    <n v="120"/>
    <n v="147.97999999999999"/>
    <s v="Brisbane"/>
    <s v="Australia"/>
    <n v="0.23316666666666658"/>
    <s v="high risk"/>
  </r>
  <r>
    <x v="3"/>
    <x v="3"/>
    <s v="1000 nos"/>
    <n v="380"/>
    <n v="467.68"/>
    <s v="Hamilton"/>
    <s v="New Zealand"/>
    <n v="0.23073684210526318"/>
    <s v="high risk"/>
  </r>
  <r>
    <x v="4"/>
    <x v="4"/>
    <s v="sqm"/>
    <n v="18"/>
    <n v="22.1"/>
    <s v="Delhi"/>
    <s v="India"/>
    <n v="0.22777777777777786"/>
    <s v="high risk"/>
  </r>
  <r>
    <x v="1"/>
    <x v="5"/>
    <s v="m"/>
    <n v="3"/>
    <n v="3.68"/>
    <s v="Ahmedabad"/>
    <s v="India"/>
    <n v="0.22666666666666671"/>
    <s v="high risk"/>
  </r>
  <r>
    <x v="5"/>
    <x v="6"/>
    <s v="cum"/>
    <n v="25"/>
    <n v="30.58"/>
    <s v="Wellington"/>
    <s v="New Zealand"/>
    <n v="0.22319999999999993"/>
    <s v="high risk"/>
  </r>
  <r>
    <x v="4"/>
    <x v="7"/>
    <s v="MT"/>
    <n v="950"/>
    <n v="1149.6500000000001"/>
    <s v="Perth"/>
    <s v="Australia"/>
    <n v="0.21015789473684221"/>
    <s v="high risk"/>
  </r>
  <r>
    <x v="6"/>
    <x v="8"/>
    <s v="cum"/>
    <n v="22"/>
    <n v="26.52"/>
    <s v="Sydney"/>
    <s v="Australia"/>
    <n v="0.20545454545454545"/>
    <s v="high risk"/>
  </r>
  <r>
    <x v="7"/>
    <x v="1"/>
    <s v="MT"/>
    <n v="85"/>
    <n v="102.04"/>
    <s v="Delhi"/>
    <s v="India"/>
    <n v="0.20047058823529418"/>
    <s v="high risk"/>
  </r>
  <r>
    <x v="4"/>
    <x v="2"/>
    <s v="sqm"/>
    <n v="120"/>
    <n v="143.41999999999999"/>
    <s v="Melbourne"/>
    <s v="Australia"/>
    <n v="0.19516666666666657"/>
    <s v="high risk"/>
  </r>
  <r>
    <x v="8"/>
    <x v="9"/>
    <s v="m"/>
    <n v="12"/>
    <n v="14.34"/>
    <s v="Melbourne"/>
    <s v="Australia"/>
    <n v="0.19499999999999998"/>
    <s v="high risk"/>
  </r>
  <r>
    <x v="9"/>
    <x v="2"/>
    <s v="sqm"/>
    <n v="120"/>
    <n v="143.24"/>
    <s v="Bangalore"/>
    <s v="India"/>
    <n v="0.19366666666666674"/>
    <s v="high risk"/>
  </r>
  <r>
    <x v="10"/>
    <x v="10"/>
    <s v="cum"/>
    <n v="75"/>
    <n v="88.96"/>
    <s v="Hyderabad"/>
    <s v="India"/>
    <n v="0.18613333333333326"/>
    <s v="high risk"/>
  </r>
  <r>
    <x v="11"/>
    <x v="8"/>
    <s v="cum"/>
    <n v="22"/>
    <n v="26.06"/>
    <s v="Ahmedabad"/>
    <s v="India"/>
    <n v="0.18454545454545448"/>
    <s v="high risk"/>
  </r>
  <r>
    <x v="8"/>
    <x v="2"/>
    <s v="sqm"/>
    <n v="120"/>
    <n v="141.52000000000001"/>
    <s v="Brisbane"/>
    <s v="Australia"/>
    <n v="0.17933333333333343"/>
    <s v="high risk"/>
  </r>
  <r>
    <x v="11"/>
    <x v="10"/>
    <s v="cum"/>
    <n v="75"/>
    <n v="88.36"/>
    <s v="Canberra"/>
    <s v="Australia"/>
    <n v="0.17813333333333334"/>
    <s v="high risk"/>
  </r>
  <r>
    <x v="1"/>
    <x v="8"/>
    <s v="cum"/>
    <n v="22"/>
    <n v="25.9"/>
    <s v="Canberra"/>
    <s v="Australia"/>
    <n v="0.17727272727272722"/>
    <s v="high risk"/>
  </r>
  <r>
    <x v="12"/>
    <x v="4"/>
    <s v="sqm"/>
    <n v="18"/>
    <n v="20.97"/>
    <s v="Hyderabad"/>
    <s v="India"/>
    <n v="0.16499999999999992"/>
    <s v="high risk"/>
  </r>
  <r>
    <x v="12"/>
    <x v="5"/>
    <s v="m"/>
    <n v="3"/>
    <n v="3.47"/>
    <s v="Kolkata"/>
    <s v="India"/>
    <n v="0.15666666666666673"/>
    <s v="high risk"/>
  </r>
  <r>
    <x v="2"/>
    <x v="9"/>
    <s v="m"/>
    <n v="12"/>
    <n v="13.76"/>
    <s v="Kolkata"/>
    <s v="India"/>
    <n v="0.14666666666666664"/>
    <s v="Normal"/>
  </r>
  <r>
    <x v="13"/>
    <x v="2"/>
    <s v="sqm"/>
    <n v="120"/>
    <n v="137.22"/>
    <s v="Pune"/>
    <s v="India"/>
    <n v="0.14349999999999999"/>
    <s v="Normal"/>
  </r>
  <r>
    <x v="8"/>
    <x v="4"/>
    <s v="sqm"/>
    <n v="18"/>
    <n v="20.57"/>
    <s v="Wellington"/>
    <s v="New Zealand"/>
    <n v="0.14277777777777778"/>
    <s v="Normal"/>
  </r>
  <r>
    <x v="10"/>
    <x v="6"/>
    <s v="cum"/>
    <n v="25"/>
    <n v="28.55"/>
    <s v="Ahmedabad"/>
    <s v="India"/>
    <n v="0.14200000000000002"/>
    <s v="Normal"/>
  </r>
  <r>
    <x v="0"/>
    <x v="3"/>
    <s v="1000 nos"/>
    <n v="380"/>
    <n v="433.83"/>
    <s v="Melbourne"/>
    <s v="Australia"/>
    <n v="0.14165789473684207"/>
    <s v="Normal"/>
  </r>
  <r>
    <x v="14"/>
    <x v="11"/>
    <s v="sqm"/>
    <n v="95"/>
    <n v="108.33"/>
    <s v="Christchurch"/>
    <s v="New Zealand"/>
    <n v="0.1403157894736842"/>
    <s v="Normal"/>
  </r>
  <r>
    <x v="1"/>
    <x v="12"/>
    <s v="m"/>
    <n v="8"/>
    <n v="9.1199999999999992"/>
    <s v="Perth"/>
    <s v="Australia"/>
    <n v="0.1399999999999999"/>
    <s v="Normal"/>
  </r>
  <r>
    <x v="15"/>
    <x v="1"/>
    <s v="MT"/>
    <n v="85"/>
    <n v="96.77"/>
    <s v="Auckland"/>
    <s v="New Zealand"/>
    <n v="0.13847058823529407"/>
    <s v="Normal"/>
  </r>
  <r>
    <x v="10"/>
    <x v="13"/>
    <s v="sheet"/>
    <n v="45"/>
    <n v="51.18"/>
    <s v="Melbourne"/>
    <s v="Australia"/>
    <n v="0.13733333333333334"/>
    <s v="Normal"/>
  </r>
  <r>
    <x v="3"/>
    <x v="11"/>
    <s v="sqm"/>
    <n v="95"/>
    <n v="108.01"/>
    <s v="Hamilton"/>
    <s v="New Zealand"/>
    <n v="0.13694736842105268"/>
    <s v="Normal"/>
  </r>
  <r>
    <x v="9"/>
    <x v="13"/>
    <s v="sheet"/>
    <n v="45"/>
    <n v="50.86"/>
    <s v="Sydney"/>
    <s v="Australia"/>
    <n v="0.13022222222222221"/>
    <s v="Normal"/>
  </r>
  <r>
    <x v="3"/>
    <x v="7"/>
    <s v="MT"/>
    <n v="950"/>
    <n v="1068.18"/>
    <s v="Canberra"/>
    <s v="Australia"/>
    <n v="0.12440000000000007"/>
    <s v="Normal"/>
  </r>
  <r>
    <x v="4"/>
    <x v="10"/>
    <s v="cum"/>
    <n v="75"/>
    <n v="84.14"/>
    <s v="Wellington"/>
    <s v="New Zealand"/>
    <n v="0.12186666666666668"/>
    <s v="Normal"/>
  </r>
  <r>
    <x v="5"/>
    <x v="1"/>
    <s v="MT"/>
    <n v="85"/>
    <n v="94.59"/>
    <s v="Wellington"/>
    <s v="New Zealand"/>
    <n v="0.11282352941176474"/>
    <s v="Normal"/>
  </r>
  <r>
    <x v="16"/>
    <x v="4"/>
    <s v="sqm"/>
    <n v="18"/>
    <n v="20.02"/>
    <s v="Hyderabad"/>
    <s v="India"/>
    <n v="0.1122222222222222"/>
    <s v="Normal"/>
  </r>
  <r>
    <x v="15"/>
    <x v="13"/>
    <s v="sheet"/>
    <n v="45"/>
    <n v="50"/>
    <s v="Christchurch"/>
    <s v="New Zealand"/>
    <n v="0.1111111111111111"/>
    <s v="Normal"/>
  </r>
  <r>
    <x v="16"/>
    <x v="10"/>
    <s v="cum"/>
    <n v="75"/>
    <n v="82.88"/>
    <s v="Chennai"/>
    <s v="India"/>
    <n v="0.1050666666666666"/>
    <s v="Normal"/>
  </r>
  <r>
    <x v="13"/>
    <x v="3"/>
    <s v="1000 nos"/>
    <n v="380"/>
    <n v="419.12"/>
    <s v="Kolkata"/>
    <s v="India"/>
    <n v="0.10294736842105265"/>
    <s v="Normal"/>
  </r>
  <r>
    <x v="16"/>
    <x v="13"/>
    <s v="sheet"/>
    <n v="45"/>
    <n v="49.5"/>
    <s v="Perth"/>
    <s v="Australia"/>
    <n v="0.1"/>
    <s v="Normal"/>
  </r>
  <r>
    <x v="3"/>
    <x v="14"/>
    <s v="MT"/>
    <n v="650"/>
    <n v="710.14"/>
    <s v="Sydney"/>
    <s v="Australia"/>
    <n v="9.2523076923076902E-2"/>
    <s v="Normal"/>
  </r>
  <r>
    <x v="10"/>
    <x v="8"/>
    <s v="cum"/>
    <n v="22"/>
    <n v="23.98"/>
    <s v="Brisbane"/>
    <s v="Australia"/>
    <n v="9.0000000000000024E-2"/>
    <s v="Normal"/>
  </r>
  <r>
    <x v="13"/>
    <x v="9"/>
    <s v="m"/>
    <n v="12"/>
    <n v="13.05"/>
    <s v="Canberra"/>
    <s v="Australia"/>
    <n v="8.7500000000000064E-2"/>
    <s v="Normal"/>
  </r>
  <r>
    <x v="7"/>
    <x v="13"/>
    <s v="sheet"/>
    <n v="45"/>
    <n v="48.74"/>
    <s v="Ahmedabad"/>
    <s v="India"/>
    <n v="8.3111111111111149E-2"/>
    <s v="Normal"/>
  </r>
  <r>
    <x v="8"/>
    <x v="11"/>
    <s v="sqm"/>
    <n v="95"/>
    <n v="101.98"/>
    <s v="Gold Coast"/>
    <s v="Australia"/>
    <n v="7.3473684210526358E-2"/>
    <s v="Normal"/>
  </r>
  <r>
    <x v="14"/>
    <x v="8"/>
    <s v="cum"/>
    <n v="22"/>
    <n v="23.61"/>
    <s v="Christchurch"/>
    <s v="New Zealand"/>
    <n v="7.3181818181818153E-2"/>
    <s v="Normal"/>
  </r>
  <r>
    <x v="0"/>
    <x v="6"/>
    <s v="cum"/>
    <n v="25"/>
    <n v="26.77"/>
    <s v="Delhi"/>
    <s v="India"/>
    <n v="7.0799999999999988E-2"/>
    <s v="Normal"/>
  </r>
  <r>
    <x v="14"/>
    <x v="14"/>
    <s v="MT"/>
    <n v="650"/>
    <n v="695.91"/>
    <s v="Gold Coast"/>
    <s v="Australia"/>
    <n v="7.0630769230769178E-2"/>
    <s v="Normal"/>
  </r>
  <r>
    <x v="7"/>
    <x v="0"/>
    <s v="sqm"/>
    <n v="15"/>
    <n v="16.05"/>
    <s v="Hamilton"/>
    <s v="New Zealand"/>
    <n v="7.0000000000000048E-2"/>
    <s v="Normal"/>
  </r>
  <r>
    <x v="17"/>
    <x v="1"/>
    <s v="MT"/>
    <n v="85"/>
    <n v="90.44"/>
    <s v="Wellington"/>
    <s v="New Zealand"/>
    <n v="6.3999999999999974E-2"/>
    <s v="Normal"/>
  </r>
  <r>
    <x v="16"/>
    <x v="11"/>
    <s v="sqm"/>
    <n v="95"/>
    <n v="100.87"/>
    <s v="Bangalore"/>
    <s v="India"/>
    <n v="6.1789473684210575E-2"/>
    <s v="Normal"/>
  </r>
  <r>
    <x v="13"/>
    <x v="14"/>
    <s v="MT"/>
    <n v="650"/>
    <n v="688.19"/>
    <s v="Adelaide"/>
    <s v="Australia"/>
    <n v="5.875384615384624E-2"/>
    <s v="Normal"/>
  </r>
  <r>
    <x v="6"/>
    <x v="7"/>
    <s v="MT"/>
    <n v="950"/>
    <n v="998.92"/>
    <s v="Sydney"/>
    <s v="Australia"/>
    <n v="5.1494736842105218E-2"/>
    <s v="Normal"/>
  </r>
  <r>
    <x v="11"/>
    <x v="11"/>
    <s v="sqm"/>
    <n v="95"/>
    <n v="99.39"/>
    <s v="Bangalore"/>
    <s v="India"/>
    <n v="4.621052631578948E-2"/>
    <s v="Normal"/>
  </r>
  <r>
    <x v="2"/>
    <x v="7"/>
    <s v="MT"/>
    <n v="950"/>
    <n v="988.18"/>
    <s v="Delhi"/>
    <s v="India"/>
    <n v="4.0189473684210476E-2"/>
    <s v="Normal"/>
  </r>
  <r>
    <x v="6"/>
    <x v="5"/>
    <s v="m"/>
    <n v="3"/>
    <n v="3.11"/>
    <s v="Ahmedabad"/>
    <s v="India"/>
    <n v="3.6666666666666625E-2"/>
    <s v="Normal"/>
  </r>
  <r>
    <x v="6"/>
    <x v="0"/>
    <s v="sqm"/>
    <n v="15"/>
    <n v="15.54"/>
    <s v="Wellington"/>
    <s v="New Zealand"/>
    <n v="3.5999999999999942E-2"/>
    <s v="Normal"/>
  </r>
  <r>
    <x v="17"/>
    <x v="12"/>
    <s v="m"/>
    <n v="8"/>
    <n v="8.27"/>
    <s v="Brisbane"/>
    <s v="Australia"/>
    <n v="3.3749999999999947E-2"/>
    <s v="Normal"/>
  </r>
  <r>
    <x v="13"/>
    <x v="12"/>
    <s v="m"/>
    <n v="8"/>
    <n v="8.2200000000000006"/>
    <s v="Melbourne"/>
    <s v="Australia"/>
    <n v="2.750000000000008E-2"/>
    <s v="Normal"/>
  </r>
  <r>
    <x v="8"/>
    <x v="0"/>
    <s v="sqm"/>
    <n v="15"/>
    <n v="15.22"/>
    <s v="Canberra"/>
    <s v="Australia"/>
    <n v="1.466666666666671E-2"/>
    <s v="Normal"/>
  </r>
  <r>
    <x v="15"/>
    <x v="11"/>
    <s v="sqm"/>
    <n v="95"/>
    <n v="96.34"/>
    <s v="Christchurch"/>
    <s v="New Zealand"/>
    <n v="1.4105263157894773E-2"/>
    <s v="Normal"/>
  </r>
  <r>
    <x v="4"/>
    <x v="0"/>
    <s v="sqm"/>
    <n v="15"/>
    <n v="15.21"/>
    <s v="Gold Coast"/>
    <s v="Australia"/>
    <n v="1.4000000000000058E-2"/>
    <s v="Normal"/>
  </r>
  <r>
    <x v="12"/>
    <x v="2"/>
    <s v="sqm"/>
    <n v="120"/>
    <n v="121.18"/>
    <s v="Kolkata"/>
    <s v="India"/>
    <n v="9.8333333333333901E-3"/>
    <s v="Normal"/>
  </r>
  <r>
    <x v="11"/>
    <x v="0"/>
    <s v="sqm"/>
    <n v="15"/>
    <n v="15.12"/>
    <s v="Chennai"/>
    <s v="India"/>
    <n v="7.9999999999999481E-3"/>
    <s v="Normal"/>
  </r>
  <r>
    <x v="0"/>
    <x v="7"/>
    <s v="MT"/>
    <n v="950"/>
    <n v="957.27"/>
    <s v="Hyderabad"/>
    <s v="India"/>
    <n v="7.6526315789473493E-3"/>
    <s v="Normal"/>
  </r>
  <r>
    <x v="12"/>
    <x v="3"/>
    <s v="1000 nos"/>
    <n v="380"/>
    <n v="382.76"/>
    <s v="Chennai"/>
    <s v="India"/>
    <n v="7.2631578947368177E-3"/>
    <s v="Normal"/>
  </r>
  <r>
    <x v="14"/>
    <x v="5"/>
    <s v="m"/>
    <n v="3"/>
    <n v="3.01"/>
    <s v="Chennai"/>
    <s v="India"/>
    <n v="3.3333333333332624E-3"/>
    <s v="Normal"/>
  </r>
  <r>
    <x v="9"/>
    <x v="3"/>
    <s v="1000 nos"/>
    <n v="380"/>
    <n v="381.09"/>
    <s v="Bangalore"/>
    <s v="India"/>
    <n v="2.8684210526315132E-3"/>
    <s v="Normal"/>
  </r>
  <r>
    <x v="3"/>
    <x v="5"/>
    <s v="m"/>
    <n v="3"/>
    <n v="3"/>
    <s v="Bangalore"/>
    <s v="India"/>
    <n v="0"/>
    <s v="Normal"/>
  </r>
  <r>
    <x v="6"/>
    <x v="13"/>
    <s v="sheet"/>
    <n v="45"/>
    <n v="44.71"/>
    <s v="Kolkata"/>
    <s v="India"/>
    <n v="-6.4444444444444254E-3"/>
    <s v="Normal"/>
  </r>
  <r>
    <x v="14"/>
    <x v="0"/>
    <s v="sqm"/>
    <n v="15"/>
    <n v="14.88"/>
    <s v="Wellington"/>
    <s v="New Zealand"/>
    <n v="-7.9999999999999481E-3"/>
    <s v="Normal"/>
  </r>
  <r>
    <x v="15"/>
    <x v="2"/>
    <s v="sqm"/>
    <n v="120"/>
    <n v="119.02"/>
    <s v="Bangalore"/>
    <s v="India"/>
    <n v="-8.1666666666667005E-3"/>
    <s v="Normal"/>
  </r>
  <r>
    <x v="1"/>
    <x v="2"/>
    <s v="sqm"/>
    <n v="120"/>
    <n v="118.72"/>
    <s v="Ahmedabad"/>
    <s v="India"/>
    <n v="-1.0666666666666677E-2"/>
    <s v="Normal"/>
  </r>
  <r>
    <x v="7"/>
    <x v="7"/>
    <s v="MT"/>
    <n v="950"/>
    <n v="934.96"/>
    <s v="Adelaide"/>
    <s v="Australia"/>
    <n v="-1.5831578947368384E-2"/>
    <s v="Normal"/>
  </r>
  <r>
    <x v="17"/>
    <x v="3"/>
    <s v="1000 nos"/>
    <n v="380"/>
    <n v="371.99"/>
    <s v="Sydney"/>
    <s v="Australia"/>
    <n v="-2.1078947368421027E-2"/>
    <s v="Normal"/>
  </r>
  <r>
    <x v="5"/>
    <x v="12"/>
    <s v="m"/>
    <n v="8"/>
    <n v="7.78"/>
    <s v="Wellington"/>
    <s v="New Zealand"/>
    <n v="-2.7499999999999969E-2"/>
    <s v="Normal"/>
  </r>
  <r>
    <x v="15"/>
    <x v="0"/>
    <s v="sqm"/>
    <n v="15"/>
    <n v="14.57"/>
    <s v="Melbourne"/>
    <s v="Australia"/>
    <n v="-2.8666666666666649E-2"/>
    <s v="Normal"/>
  </r>
  <r>
    <x v="7"/>
    <x v="9"/>
    <s v="m"/>
    <n v="12"/>
    <n v="11.62"/>
    <s v="Mumbai"/>
    <s v="India"/>
    <n v="-3.1666666666666732E-2"/>
    <s v="Normal"/>
  </r>
  <r>
    <x v="17"/>
    <x v="11"/>
    <s v="sqm"/>
    <n v="95"/>
    <n v="91.02"/>
    <s v="Sydney"/>
    <s v="Australia"/>
    <n v="-4.1894736842105304E-2"/>
    <s v="Normal"/>
  </r>
  <r>
    <x v="12"/>
    <x v="1"/>
    <s v="MT"/>
    <n v="85"/>
    <n v="81.11"/>
    <s v="Hyderabad"/>
    <s v="India"/>
    <n v="-4.576470588235295E-2"/>
    <s v="Normal"/>
  </r>
  <r>
    <x v="9"/>
    <x v="0"/>
    <s v="sqm"/>
    <n v="15"/>
    <n v="14.26"/>
    <s v="Canberra"/>
    <s v="Australia"/>
    <n v="-4.9333333333333347E-2"/>
    <s v="Normal"/>
  </r>
  <r>
    <x v="10"/>
    <x v="5"/>
    <s v="m"/>
    <n v="3"/>
    <n v="2.85"/>
    <s v="Ahmedabad"/>
    <s v="India"/>
    <n v="-4.9999999999999968E-2"/>
    <s v="Normal"/>
  </r>
  <r>
    <x v="5"/>
    <x v="0"/>
    <s v="sqm"/>
    <n v="15"/>
    <n v="14.2"/>
    <s v="Pune"/>
    <s v="India"/>
    <n v="-5.3333333333333378E-2"/>
    <s v="Normal"/>
  </r>
  <r>
    <x v="16"/>
    <x v="6"/>
    <s v="cum"/>
    <n v="25"/>
    <n v="23.62"/>
    <s v="Hyderabad"/>
    <s v="India"/>
    <n v="-5.5199999999999957E-2"/>
    <s v="Normal"/>
  </r>
  <r>
    <x v="5"/>
    <x v="5"/>
    <s v="m"/>
    <n v="3"/>
    <n v="2.83"/>
    <s v="Delhi"/>
    <s v="India"/>
    <n v="-5.6666666666666643E-2"/>
    <s v="Normal"/>
  </r>
  <r>
    <x v="2"/>
    <x v="14"/>
    <s v="MT"/>
    <n v="650"/>
    <n v="607.52"/>
    <s v="Canberra"/>
    <s v="Australia"/>
    <n v="-6.5353846153846179E-2"/>
    <s v="Normal"/>
  </r>
  <r>
    <x v="17"/>
    <x v="4"/>
    <s v="sqm"/>
    <n v="18"/>
    <n v="16.79"/>
    <s v="Canberra"/>
    <s v="Australia"/>
    <n v="-6.7222222222222267E-2"/>
    <s v="Normal"/>
  </r>
  <r>
    <x v="11"/>
    <x v="5"/>
    <s v="m"/>
    <n v="3"/>
    <n v="2.78"/>
    <s v="Brisbane"/>
    <s v="Australia"/>
    <n v="-7.3333333333333403E-2"/>
    <s v="Normal"/>
  </r>
  <r>
    <x v="0"/>
    <x v="12"/>
    <s v="m"/>
    <n v="8"/>
    <n v="7.38"/>
    <s v="Hamilton"/>
    <s v="New Zealand"/>
    <n v="-7.7500000000000013E-2"/>
    <s v="Normal"/>
  </r>
  <r>
    <x v="9"/>
    <x v="4"/>
    <s v="sqm"/>
    <n v="18"/>
    <n v="16.579999999999998"/>
    <s v="Hyderabad"/>
    <s v="India"/>
    <n v="-7.8888888888888981E-2"/>
    <s v="Normal"/>
  </r>
  <r>
    <x v="2"/>
    <x v="11"/>
    <s v="sqm"/>
    <n v="95"/>
    <n v="87.45"/>
    <s v="Christchurch"/>
    <s v="New Zealand"/>
    <n v="-7.947368421052628E-2"/>
    <s v="Normal"/>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s v="Civil &amp; Structure"/>
    <s v="Excavation"/>
    <s v="kg"/>
    <n v="2649"/>
    <n v="3384"/>
    <n v="178.83"/>
    <n v="473720.67"/>
    <n v="605160.72000000009"/>
    <n v="735"/>
    <n v="0.27746319365798416"/>
  </r>
  <r>
    <x v="0"/>
    <s v="Civil &amp; Structure"/>
    <s v="PCC"/>
    <s v="kg"/>
    <n v="4185"/>
    <n v="4360"/>
    <n v="181.84"/>
    <n v="761000.4"/>
    <n v="792822.4"/>
    <n v="175"/>
    <n v="4.1816009557945039E-2"/>
  </r>
  <r>
    <x v="0"/>
    <s v="Civil &amp; Structure"/>
    <s v="RCC Columns"/>
    <s v="nos"/>
    <n v="1353"/>
    <n v="1602"/>
    <n v="97.56"/>
    <n v="131998.68"/>
    <n v="156291.12"/>
    <n v="249"/>
    <n v="0.18403547671840353"/>
  </r>
  <r>
    <x v="0"/>
    <s v="Civil &amp; Structure"/>
    <s v="RCC Slabs"/>
    <s v="rmt"/>
    <n v="2075"/>
    <n v="2547"/>
    <n v="59.08"/>
    <n v="122591"/>
    <n v="150476.76"/>
    <n v="472"/>
    <n v="0.22746987951807229"/>
  </r>
  <r>
    <x v="0"/>
    <s v="Civil &amp; Structure"/>
    <s v="Brickwork"/>
    <s v="kg"/>
    <n v="4019"/>
    <n v="4549"/>
    <n v="58.55"/>
    <n v="235312.45"/>
    <n v="266343.95"/>
    <n v="530"/>
    <n v="0.13187360039810897"/>
  </r>
  <r>
    <x v="0"/>
    <s v="Civil &amp; Structure"/>
    <s v="Plastering"/>
    <s v="cum"/>
    <n v="2390"/>
    <n v="2283"/>
    <n v="70.489999999999995"/>
    <n v="168471.1"/>
    <n v="160928.66999999998"/>
    <n v="-107"/>
    <n v="-4.4769874476987451E-2"/>
  </r>
  <r>
    <x v="0"/>
    <s v="MEP - HVAC"/>
    <s v="AHU Supply"/>
    <s v="kg"/>
    <n v="710"/>
    <n v="647"/>
    <n v="50.1"/>
    <n v="35571"/>
    <n v="32414.7"/>
    <n v="-63"/>
    <n v="-8.873239436619719E-2"/>
  </r>
  <r>
    <x v="0"/>
    <s v="MEP - HVAC"/>
    <s v="Ductwork"/>
    <s v="set"/>
    <n v="1301"/>
    <n v="1519"/>
    <n v="17.52"/>
    <n v="22793.52"/>
    <n v="26612.880000000001"/>
    <n v="218"/>
    <n v="0.16756341275941583"/>
  </r>
  <r>
    <x v="0"/>
    <s v="MEP - HVAC"/>
    <s v="Chilled Water Piping"/>
    <s v="nos"/>
    <n v="2760"/>
    <n v="3019"/>
    <n v="86.08"/>
    <n v="237580.79999999999"/>
    <n v="259875.52"/>
    <n v="259"/>
    <n v="9.3840579710144922E-2"/>
  </r>
  <r>
    <x v="0"/>
    <s v="MEP - HVAC"/>
    <s v="Insulation"/>
    <s v="sqm"/>
    <n v="3491"/>
    <n v="3579"/>
    <n v="155.11000000000001"/>
    <n v="541489.01"/>
    <n v="555138.69000000006"/>
    <n v="88"/>
    <n v="2.5207676883414496E-2"/>
  </r>
  <r>
    <x v="0"/>
    <s v="MEP - Electrical"/>
    <s v="Cable Trays"/>
    <s v="set"/>
    <n v="210"/>
    <n v="259"/>
    <n v="154.29"/>
    <n v="32400.9"/>
    <n v="39961.11"/>
    <n v="49"/>
    <n v="0.23333333333333334"/>
  </r>
  <r>
    <x v="0"/>
    <s v="MEP - Electrical"/>
    <s v="HT Cables"/>
    <s v="nos"/>
    <n v="3957"/>
    <n v="3373"/>
    <n v="73.59"/>
    <n v="291195.63"/>
    <n v="248219.07"/>
    <n v="-584"/>
    <n v="-0.14758655547131666"/>
  </r>
  <r>
    <x v="0"/>
    <s v="MEP - Electrical"/>
    <s v="LT Panels"/>
    <s v="nos"/>
    <n v="3482"/>
    <n v="3803"/>
    <n v="148.25"/>
    <n v="516206.5"/>
    <n v="563794.75"/>
    <n v="321"/>
    <n v="9.2188397472716829E-2"/>
  </r>
  <r>
    <x v="0"/>
    <s v="MEP - Electrical"/>
    <s v="DB Boards"/>
    <s v="kg"/>
    <n v="1856"/>
    <n v="1985"/>
    <n v="58.22"/>
    <n v="108056.32000000001"/>
    <n v="115566.7"/>
    <n v="129"/>
    <n v="6.9504310344827583E-2"/>
  </r>
  <r>
    <x v="0"/>
    <s v="MEP - Electrical"/>
    <s v="Conduit Laying"/>
    <s v="nos"/>
    <n v="287"/>
    <n v="294"/>
    <n v="135.43"/>
    <n v="38868.410000000003"/>
    <n v="39816.420000000006"/>
    <n v="7"/>
    <n v="2.4390243902439025E-2"/>
  </r>
  <r>
    <x v="0"/>
    <s v="MEP - Plumbing"/>
    <s v="CPVC Piping"/>
    <s v="nos"/>
    <n v="1402"/>
    <n v="1721"/>
    <n v="184.31"/>
    <n v="258402.62"/>
    <n v="317197.51"/>
    <n v="319"/>
    <n v="0.22753209700427959"/>
  </r>
  <r>
    <x v="0"/>
    <s v="MEP - Plumbing"/>
    <s v="GI Piping"/>
    <s v="kg"/>
    <n v="4425"/>
    <n v="3814"/>
    <n v="81.83"/>
    <n v="362097.75"/>
    <n v="312099.62"/>
    <n v="-611"/>
    <n v="-0.13807909604519775"/>
  </r>
  <r>
    <x v="0"/>
    <s v="MEP - Plumbing"/>
    <s v="Sanitary Fixtures"/>
    <s v="kg"/>
    <n v="272"/>
    <n v="241"/>
    <n v="88.58"/>
    <n v="24093.759999999998"/>
    <n v="21347.78"/>
    <n v="-31"/>
    <n v="-0.11397058823529412"/>
  </r>
  <r>
    <x v="0"/>
    <s v="MEP - Plumbing"/>
    <s v="Drainage Piping"/>
    <s v="nos"/>
    <n v="1538"/>
    <n v="1342"/>
    <n v="78.930000000000007"/>
    <n v="121394.34"/>
    <n v="105924.06000000001"/>
    <n v="-196"/>
    <n v="-0.12743823146944083"/>
  </r>
  <r>
    <x v="0"/>
    <s v="Interior Fit-out"/>
    <s v="False Ceiling"/>
    <s v="sqm"/>
    <n v="3774"/>
    <n v="3762"/>
    <n v="153.44"/>
    <n v="579082.56000000006"/>
    <n v="577241.28"/>
    <n v="-12"/>
    <n v="-3.1796502384737681E-3"/>
  </r>
  <r>
    <x v="0"/>
    <s v="Interior Fit-out"/>
    <s v="Partition Walls"/>
    <s v="nos"/>
    <n v="2329"/>
    <n v="2767"/>
    <n v="167.23"/>
    <n v="389478.67"/>
    <n v="462725.41"/>
    <n v="438"/>
    <n v="0.18806354658651783"/>
  </r>
  <r>
    <x v="0"/>
    <s v="Interior Fit-out"/>
    <s v="Flooring"/>
    <s v="rmt"/>
    <n v="720"/>
    <n v="764"/>
    <n v="151.06"/>
    <n v="108763.2"/>
    <n v="115409.84"/>
    <n v="44"/>
    <n v="6.1111111111111109E-2"/>
  </r>
  <r>
    <x v="0"/>
    <s v="Interior Fit-out"/>
    <s v="Painting"/>
    <s v="cum"/>
    <n v="2916"/>
    <n v="2772"/>
    <n v="18.38"/>
    <n v="53596.08"/>
    <n v="50949.36"/>
    <n v="-144"/>
    <n v="-4.9382716049382713E-2"/>
  </r>
  <r>
    <x v="0"/>
    <s v="Interior Fit-out"/>
    <s v="Joinery Work"/>
    <s v="set"/>
    <n v="379"/>
    <n v="450"/>
    <n v="190.17"/>
    <n v="72074.429999999993"/>
    <n v="85576.5"/>
    <n v="71"/>
    <n v="0.18733509234828497"/>
  </r>
  <r>
    <x v="1"/>
    <s v="Civil &amp; Structure"/>
    <s v="Excavation"/>
    <s v="sqm"/>
    <n v="216"/>
    <n v="243"/>
    <n v="51.52"/>
    <n v="11128.32"/>
    <n v="12519.36"/>
    <n v="27"/>
    <n v="0.125"/>
  </r>
  <r>
    <x v="1"/>
    <s v="Civil &amp; Structure"/>
    <s v="PCC"/>
    <s v="nos"/>
    <n v="987"/>
    <n v="1089"/>
    <n v="47.5"/>
    <n v="46882.5"/>
    <n v="51727.5"/>
    <n v="102"/>
    <n v="0.10334346504559271"/>
  </r>
  <r>
    <x v="1"/>
    <s v="Civil &amp; Structure"/>
    <s v="RCC Columns"/>
    <s v="set"/>
    <n v="2149"/>
    <n v="2568"/>
    <n v="37.72"/>
    <n v="81060.28"/>
    <n v="96864.959999999992"/>
    <n v="419"/>
    <n v="0.19497440670079105"/>
  </r>
  <r>
    <x v="1"/>
    <s v="Civil &amp; Structure"/>
    <s v="RCC Slabs"/>
    <s v="kg"/>
    <n v="988"/>
    <n v="1185"/>
    <n v="36.93"/>
    <n v="36486.839999999997"/>
    <n v="43762.05"/>
    <n v="197"/>
    <n v="0.19939271255060728"/>
  </r>
  <r>
    <x v="1"/>
    <s v="Civil &amp; Structure"/>
    <s v="Brickwork"/>
    <s v="rmt"/>
    <n v="935"/>
    <n v="1038"/>
    <n v="186.13"/>
    <n v="174031.55"/>
    <n v="193202.94"/>
    <n v="103"/>
    <n v="0.11016042780748662"/>
  </r>
  <r>
    <x v="1"/>
    <s v="Civil &amp; Structure"/>
    <s v="Plastering"/>
    <s v="kg"/>
    <n v="3124"/>
    <n v="3213"/>
    <n v="144.43"/>
    <n v="451199.32"/>
    <n v="464053.59"/>
    <n v="89"/>
    <n v="2.8489116517285532E-2"/>
  </r>
  <r>
    <x v="1"/>
    <s v="MEP - HVAC"/>
    <s v="AHU Supply"/>
    <s v="cum"/>
    <n v="4900"/>
    <n v="5687"/>
    <n v="127.31"/>
    <n v="623819"/>
    <n v="724011.97"/>
    <n v="787"/>
    <n v="0.16061224489795919"/>
  </r>
  <r>
    <x v="1"/>
    <s v="MEP - HVAC"/>
    <s v="Ductwork"/>
    <s v="cum"/>
    <n v="2520"/>
    <n v="3106"/>
    <n v="122.08"/>
    <n v="307641.59999999998"/>
    <n v="379180.48"/>
    <n v="586"/>
    <n v="0.23253968253968255"/>
  </r>
  <r>
    <x v="1"/>
    <s v="MEP - HVAC"/>
    <s v="Chilled Water Piping"/>
    <s v="cum"/>
    <n v="4686"/>
    <n v="5633"/>
    <n v="72.7"/>
    <n v="340672.2"/>
    <n v="409519.10000000003"/>
    <n v="947"/>
    <n v="0.20209133589415279"/>
  </r>
  <r>
    <x v="1"/>
    <s v="MEP - HVAC"/>
    <s v="Insulation"/>
    <s v="nos"/>
    <n v="3085"/>
    <n v="2717"/>
    <n v="131.27000000000001"/>
    <n v="404967.95"/>
    <n v="356660.59"/>
    <n v="-368"/>
    <n v="-0.1192868719611021"/>
  </r>
  <r>
    <x v="1"/>
    <s v="MEP - Electrical"/>
    <s v="Cable Trays"/>
    <s v="cum"/>
    <n v="3491"/>
    <n v="4259"/>
    <n v="25.58"/>
    <n v="89299.78"/>
    <n v="108945.21999999999"/>
    <n v="768"/>
    <n v="0.2199942709825265"/>
  </r>
  <r>
    <x v="1"/>
    <s v="MEP - Electrical"/>
    <s v="HT Cables"/>
    <s v="rmt"/>
    <n v="3816"/>
    <n v="4458"/>
    <n v="89.92"/>
    <n v="343134.71999999997"/>
    <n v="400863.36"/>
    <n v="642"/>
    <n v="0.16823899371069181"/>
  </r>
  <r>
    <x v="1"/>
    <s v="MEP - Electrical"/>
    <s v="LT Panels"/>
    <s v="set"/>
    <n v="4324"/>
    <n v="5554"/>
    <n v="57.67"/>
    <n v="249365.08"/>
    <n v="320299.18"/>
    <n v="1230"/>
    <n v="0.28445883441258096"/>
  </r>
  <r>
    <x v="1"/>
    <s v="MEP - Electrical"/>
    <s v="DB Boards"/>
    <s v="kg"/>
    <n v="4010"/>
    <n v="4247"/>
    <n v="166.02"/>
    <n v="665740.19999999995"/>
    <n v="705086.94000000006"/>
    <n v="237"/>
    <n v="5.9102244389027433E-2"/>
  </r>
  <r>
    <x v="1"/>
    <s v="MEP - Electrical"/>
    <s v="Conduit Laying"/>
    <s v="kg"/>
    <n v="2248"/>
    <n v="2236"/>
    <n v="52.87"/>
    <n v="118851.76"/>
    <n v="118217.31999999999"/>
    <n v="-12"/>
    <n v="-5.3380782918149468E-3"/>
  </r>
  <r>
    <x v="1"/>
    <s v="MEP - Plumbing"/>
    <s v="CPVC Piping"/>
    <s v="cum"/>
    <n v="2334"/>
    <n v="2909"/>
    <n v="52.55"/>
    <n v="122651.7"/>
    <n v="152867.94999999998"/>
    <n v="575"/>
    <n v="0.24635818337617824"/>
  </r>
  <r>
    <x v="1"/>
    <s v="MEP - Plumbing"/>
    <s v="GI Piping"/>
    <s v="nos"/>
    <n v="4718"/>
    <n v="5306"/>
    <n v="78.900000000000006"/>
    <n v="372250.2"/>
    <n v="418643.4"/>
    <n v="588"/>
    <n v="0.12462908011869436"/>
  </r>
  <r>
    <x v="1"/>
    <s v="MEP - Plumbing"/>
    <s v="Sanitary Fixtures"/>
    <s v="cum"/>
    <n v="4099"/>
    <n v="5053"/>
    <n v="40.46"/>
    <n v="165845.54"/>
    <n v="204444.38"/>
    <n v="954"/>
    <n v="0.23273969260795316"/>
  </r>
  <r>
    <x v="1"/>
    <s v="MEP - Plumbing"/>
    <s v="Drainage Piping"/>
    <s v="sqm"/>
    <n v="2956"/>
    <n v="3573"/>
    <n v="71.37"/>
    <n v="210969.72"/>
    <n v="255005.01"/>
    <n v="617"/>
    <n v="0.20872801082543979"/>
  </r>
  <r>
    <x v="1"/>
    <s v="Interior Fit-out"/>
    <s v="False Ceiling"/>
    <s v="kg"/>
    <n v="2313"/>
    <n v="2544"/>
    <n v="105.74"/>
    <n v="244576.62"/>
    <n v="269002.56"/>
    <n v="231"/>
    <n v="9.9870298313878086E-2"/>
  </r>
  <r>
    <x v="1"/>
    <s v="Interior Fit-out"/>
    <s v="Partition Walls"/>
    <s v="sqm"/>
    <n v="751"/>
    <n v="719"/>
    <n v="84.25"/>
    <n v="63271.75"/>
    <n v="60575.75"/>
    <n v="-32"/>
    <n v="-4.2609853528628498E-2"/>
  </r>
  <r>
    <x v="1"/>
    <s v="Interior Fit-out"/>
    <s v="Flooring"/>
    <s v="kg"/>
    <n v="2018"/>
    <n v="2342"/>
    <n v="130.94999999999999"/>
    <n v="264257.09999999998"/>
    <n v="306684.89999999997"/>
    <n v="324"/>
    <n v="0.1605550049554014"/>
  </r>
  <r>
    <x v="1"/>
    <s v="Interior Fit-out"/>
    <s v="Painting"/>
    <s v="nos"/>
    <n v="3721"/>
    <n v="4490"/>
    <n v="23.15"/>
    <n v="86141.15"/>
    <n v="103943.5"/>
    <n v="769"/>
    <n v="0.20666487503359313"/>
  </r>
  <r>
    <x v="1"/>
    <s v="Interior Fit-out"/>
    <s v="Joinery Work"/>
    <s v="sqm"/>
    <n v="3362"/>
    <n v="3904"/>
    <n v="64.709999999999994"/>
    <n v="217555.02"/>
    <n v="252627.83999999997"/>
    <n v="542"/>
    <n v="0.16121356335514575"/>
  </r>
  <r>
    <x v="2"/>
    <s v="Civil &amp; Structure"/>
    <s v="Excavation"/>
    <s v="kg"/>
    <n v="3073"/>
    <n v="3266"/>
    <n v="108.53"/>
    <n v="333512.69"/>
    <n v="354458.98"/>
    <n v="193"/>
    <n v="6.2805076472502441E-2"/>
  </r>
  <r>
    <x v="2"/>
    <s v="Civil &amp; Structure"/>
    <s v="PCC"/>
    <s v="nos"/>
    <n v="4558"/>
    <n v="4552"/>
    <n v="142.06"/>
    <n v="647509.48"/>
    <n v="646657.12"/>
    <n v="-6"/>
    <n v="-1.3163668275559457E-3"/>
  </r>
  <r>
    <x v="2"/>
    <s v="Civil &amp; Structure"/>
    <s v="RCC Columns"/>
    <s v="rmt"/>
    <n v="2561"/>
    <n v="2466"/>
    <n v="28.53"/>
    <n v="73065.33"/>
    <n v="70354.98"/>
    <n v="-95"/>
    <n v="-3.709488481062085E-2"/>
  </r>
  <r>
    <x v="2"/>
    <s v="Civil &amp; Structure"/>
    <s v="RCC Slabs"/>
    <s v="sqm"/>
    <n v="2634"/>
    <n v="2380"/>
    <n v="109.49"/>
    <n v="288396.65999999997"/>
    <n v="260586.19999999998"/>
    <n v="-254"/>
    <n v="-9.6431283219438113E-2"/>
  </r>
  <r>
    <x v="2"/>
    <s v="Civil &amp; Structure"/>
    <s v="Brickwork"/>
    <s v="set"/>
    <n v="1566"/>
    <n v="1466"/>
    <n v="149.03"/>
    <n v="233380.98"/>
    <n v="218477.98"/>
    <n v="-100"/>
    <n v="-6.3856960408684549E-2"/>
  </r>
  <r>
    <x v="2"/>
    <s v="Civil &amp; Structure"/>
    <s v="Plastering"/>
    <s v="rmt"/>
    <n v="4879"/>
    <n v="6291"/>
    <n v="107.3"/>
    <n v="523516.7"/>
    <n v="675024.29999999993"/>
    <n v="1412"/>
    <n v="0.28940356630457059"/>
  </r>
  <r>
    <x v="2"/>
    <s v="MEP - HVAC"/>
    <s v="AHU Supply"/>
    <s v="rmt"/>
    <n v="873"/>
    <n v="1069"/>
    <n v="62.77"/>
    <n v="54798.21"/>
    <n v="67101.13"/>
    <n v="196"/>
    <n v="0.22451317296678122"/>
  </r>
  <r>
    <x v="2"/>
    <s v="MEP - HVAC"/>
    <s v="Ductwork"/>
    <s v="rmt"/>
    <n v="1519"/>
    <n v="1497"/>
    <n v="143.06"/>
    <n v="217308.14"/>
    <n v="214160.82"/>
    <n v="-22"/>
    <n v="-1.4483212639894667E-2"/>
  </r>
  <r>
    <x v="2"/>
    <s v="MEP - HVAC"/>
    <s v="Chilled Water Piping"/>
    <s v="sqm"/>
    <n v="2297"/>
    <n v="1999"/>
    <n v="15.63"/>
    <n v="35902.11"/>
    <n v="31244.370000000003"/>
    <n v="-298"/>
    <n v="-0.12973443622115804"/>
  </r>
  <r>
    <x v="2"/>
    <s v="MEP - HVAC"/>
    <s v="Insulation"/>
    <s v="rmt"/>
    <n v="1084"/>
    <n v="1232"/>
    <n v="151.79"/>
    <n v="164540.35999999999"/>
    <n v="187005.28"/>
    <n v="148"/>
    <n v="0.13653136531365315"/>
  </r>
  <r>
    <x v="2"/>
    <s v="MEP - Electrical"/>
    <s v="Cable Trays"/>
    <s v="cum"/>
    <n v="150"/>
    <n v="166"/>
    <n v="96.53"/>
    <n v="14479.5"/>
    <n v="16023.98"/>
    <n v="16"/>
    <n v="0.10666666666666667"/>
  </r>
  <r>
    <x v="2"/>
    <s v="MEP - Electrical"/>
    <s v="HT Cables"/>
    <s v="nos"/>
    <n v="2841"/>
    <n v="2650"/>
    <n v="15.02"/>
    <n v="42671.82"/>
    <n v="39803"/>
    <n v="-191"/>
    <n v="-6.7229848644843368E-2"/>
  </r>
  <r>
    <x v="2"/>
    <s v="MEP - Electrical"/>
    <s v="LT Panels"/>
    <s v="nos"/>
    <n v="984"/>
    <n v="1200"/>
    <n v="83.14"/>
    <n v="81809.759999999995"/>
    <n v="99768"/>
    <n v="216"/>
    <n v="0.21951219512195122"/>
  </r>
  <r>
    <x v="2"/>
    <s v="MEP - Electrical"/>
    <s v="DB Boards"/>
    <s v="cum"/>
    <n v="4776"/>
    <n v="5412"/>
    <n v="15.45"/>
    <n v="73789.2"/>
    <n v="83615.399999999994"/>
    <n v="636"/>
    <n v="0.13316582914572864"/>
  </r>
  <r>
    <x v="2"/>
    <s v="MEP - Electrical"/>
    <s v="Conduit Laying"/>
    <s v="sqm"/>
    <n v="4660"/>
    <n v="5951"/>
    <n v="21.61"/>
    <n v="100702.6"/>
    <n v="128601.11"/>
    <n v="1291"/>
    <n v="0.27703862660944206"/>
  </r>
  <r>
    <x v="2"/>
    <s v="MEP - Plumbing"/>
    <s v="CPVC Piping"/>
    <s v="sqm"/>
    <n v="1020"/>
    <n v="1123"/>
    <n v="86.15"/>
    <n v="87873"/>
    <n v="96746.450000000012"/>
    <n v="103"/>
    <n v="0.10098039215686275"/>
  </r>
  <r>
    <x v="2"/>
    <s v="MEP - Plumbing"/>
    <s v="GI Piping"/>
    <s v="kg"/>
    <n v="1898"/>
    <n v="2275"/>
    <n v="79.17"/>
    <n v="150264.66"/>
    <n v="180111.75"/>
    <n v="377"/>
    <n v="0.19863013698630136"/>
  </r>
  <r>
    <x v="2"/>
    <s v="MEP - Plumbing"/>
    <s v="Sanitary Fixtures"/>
    <s v="nos"/>
    <n v="2485"/>
    <n v="3074"/>
    <n v="198.06"/>
    <n v="492179.1"/>
    <n v="608836.44000000006"/>
    <n v="589"/>
    <n v="0.23702213279678069"/>
  </r>
  <r>
    <x v="2"/>
    <s v="MEP - Plumbing"/>
    <s v="Drainage Piping"/>
    <s v="rmt"/>
    <n v="4708"/>
    <n v="5317"/>
    <n v="123.88"/>
    <n v="583227.04"/>
    <n v="658669.96"/>
    <n v="609"/>
    <n v="0.12935429056924383"/>
  </r>
  <r>
    <x v="2"/>
    <s v="Interior Fit-out"/>
    <s v="False Ceiling"/>
    <s v="set"/>
    <n v="862"/>
    <n v="1100"/>
    <n v="45.52"/>
    <n v="39238.239999999998"/>
    <n v="50072"/>
    <n v="238"/>
    <n v="0.27610208816705334"/>
  </r>
  <r>
    <x v="2"/>
    <s v="Interior Fit-out"/>
    <s v="Partition Walls"/>
    <s v="sqm"/>
    <n v="2217"/>
    <n v="2543"/>
    <n v="35.630000000000003"/>
    <n v="78991.710000000006"/>
    <n v="90607.090000000011"/>
    <n v="326"/>
    <n v="0.14704555705908887"/>
  </r>
  <r>
    <x v="2"/>
    <s v="Interior Fit-out"/>
    <s v="Flooring"/>
    <s v="sqm"/>
    <n v="4571"/>
    <n v="4039"/>
    <n v="5.52"/>
    <n v="25231.919999999998"/>
    <n v="22295.279999999999"/>
    <n v="-532"/>
    <n v="-0.11638591117917305"/>
  </r>
  <r>
    <x v="2"/>
    <s v="Interior Fit-out"/>
    <s v="Painting"/>
    <s v="nos"/>
    <n v="4914"/>
    <n v="5216"/>
    <n v="11.36"/>
    <n v="55823.040000000001"/>
    <n v="59253.759999999995"/>
    <n v="302"/>
    <n v="6.1457061457061458E-2"/>
  </r>
  <r>
    <x v="2"/>
    <s v="Interior Fit-out"/>
    <s v="Joinery Work"/>
    <s v="rmt"/>
    <n v="2366"/>
    <n v="2759"/>
    <n v="93.54"/>
    <n v="221315.64"/>
    <n v="258076.86000000002"/>
    <n v="393"/>
    <n v="0.16610312764158919"/>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x v="0"/>
    <s v="Excavation"/>
    <s v="kg"/>
    <n v="2649"/>
    <n v="3384"/>
    <n v="178.83"/>
    <n v="473720.67"/>
    <n v="605160.72000000009"/>
    <n v="735"/>
    <n v="0.27746319365798416"/>
    <s v="Over BOQ"/>
  </r>
  <r>
    <x v="0"/>
    <x v="0"/>
    <s v="PCC"/>
    <s v="kg"/>
    <n v="4185"/>
    <n v="4360"/>
    <n v="181.84"/>
    <n v="761000.4"/>
    <n v="792822.4"/>
    <n v="175"/>
    <n v="4.1816009557945039E-2"/>
    <s v="Over BOQ"/>
  </r>
  <r>
    <x v="0"/>
    <x v="0"/>
    <s v="RCC Columns"/>
    <s v="nos"/>
    <n v="1353"/>
    <n v="1602"/>
    <n v="97.56"/>
    <n v="131998.68"/>
    <n v="156291.12"/>
    <n v="249"/>
    <n v="0.18403547671840353"/>
    <s v="Over BOQ"/>
  </r>
  <r>
    <x v="0"/>
    <x v="0"/>
    <s v="RCC Slabs"/>
    <s v="rmt"/>
    <n v="2075"/>
    <n v="2547"/>
    <n v="59.08"/>
    <n v="122591"/>
    <n v="150476.76"/>
    <n v="472"/>
    <n v="0.22746987951807229"/>
    <s v="Over BOQ"/>
  </r>
  <r>
    <x v="0"/>
    <x v="0"/>
    <s v="Brickwork"/>
    <s v="kg"/>
    <n v="4019"/>
    <n v="4549"/>
    <n v="58.55"/>
    <n v="235312.45"/>
    <n v="266343.95"/>
    <n v="530"/>
    <n v="0.13187360039810897"/>
    <s v="Over BOQ"/>
  </r>
  <r>
    <x v="0"/>
    <x v="0"/>
    <s v="Plastering"/>
    <s v="cum"/>
    <n v="2390"/>
    <n v="2283"/>
    <n v="70.489999999999995"/>
    <n v="168471.1"/>
    <n v="160928.66999999998"/>
    <n v="-107"/>
    <n v="-4.4769874476987451E-2"/>
    <s v="Within BOQ"/>
  </r>
  <r>
    <x v="0"/>
    <x v="1"/>
    <s v="AHU Supply"/>
    <s v="kg"/>
    <n v="710"/>
    <n v="647"/>
    <n v="50.1"/>
    <n v="35571"/>
    <n v="32414.7"/>
    <n v="-63"/>
    <n v="-8.873239436619719E-2"/>
    <s v="Within BOQ"/>
  </r>
  <r>
    <x v="0"/>
    <x v="1"/>
    <s v="Ductwork"/>
    <s v="set"/>
    <n v="1301"/>
    <n v="1519"/>
    <n v="17.52"/>
    <n v="22793.52"/>
    <n v="26612.880000000001"/>
    <n v="218"/>
    <n v="0.16756341275941583"/>
    <s v="Over BOQ"/>
  </r>
  <r>
    <x v="0"/>
    <x v="1"/>
    <s v="Chilled Water Piping"/>
    <s v="nos"/>
    <n v="2760"/>
    <n v="3019"/>
    <n v="86.08"/>
    <n v="237580.79999999999"/>
    <n v="259875.52"/>
    <n v="259"/>
    <n v="9.3840579710144922E-2"/>
    <s v="Over BOQ"/>
  </r>
  <r>
    <x v="0"/>
    <x v="1"/>
    <s v="Insulation"/>
    <s v="sqm"/>
    <n v="3491"/>
    <n v="3579"/>
    <n v="155.11000000000001"/>
    <n v="541489.01"/>
    <n v="555138.69000000006"/>
    <n v="88"/>
    <n v="2.5207676883414496E-2"/>
    <s v="Over BOQ"/>
  </r>
  <r>
    <x v="0"/>
    <x v="2"/>
    <s v="Cable Trays"/>
    <s v="set"/>
    <n v="210"/>
    <n v="259"/>
    <n v="154.29"/>
    <n v="32400.9"/>
    <n v="39961.11"/>
    <n v="49"/>
    <n v="0.23333333333333334"/>
    <s v="Over BOQ"/>
  </r>
  <r>
    <x v="0"/>
    <x v="2"/>
    <s v="HT Cables"/>
    <s v="nos"/>
    <n v="3957"/>
    <n v="3373"/>
    <n v="73.59"/>
    <n v="291195.63"/>
    <n v="248219.07"/>
    <n v="-584"/>
    <n v="-0.14758655547131666"/>
    <s v="Within BOQ"/>
  </r>
  <r>
    <x v="0"/>
    <x v="2"/>
    <s v="LT Panels"/>
    <s v="nos"/>
    <n v="3482"/>
    <n v="3803"/>
    <n v="148.25"/>
    <n v="516206.5"/>
    <n v="563794.75"/>
    <n v="321"/>
    <n v="9.2188397472716829E-2"/>
    <s v="Over BOQ"/>
  </r>
  <r>
    <x v="0"/>
    <x v="2"/>
    <s v="DB Boards"/>
    <s v="kg"/>
    <n v="1856"/>
    <n v="1985"/>
    <n v="58.22"/>
    <n v="108056.32000000001"/>
    <n v="115566.7"/>
    <n v="129"/>
    <n v="6.9504310344827583E-2"/>
    <s v="Over BOQ"/>
  </r>
  <r>
    <x v="0"/>
    <x v="2"/>
    <s v="Conduit Laying"/>
    <s v="nos"/>
    <n v="287"/>
    <n v="294"/>
    <n v="135.43"/>
    <n v="38868.410000000003"/>
    <n v="39816.420000000006"/>
    <n v="7"/>
    <n v="2.4390243902439025E-2"/>
    <s v="Over BOQ"/>
  </r>
  <r>
    <x v="0"/>
    <x v="3"/>
    <s v="CPVC Piping"/>
    <s v="nos"/>
    <n v="1402"/>
    <n v="1721"/>
    <n v="184.31"/>
    <n v="258402.62"/>
    <n v="317197.51"/>
    <n v="319"/>
    <n v="0.22753209700427959"/>
    <s v="Over BOQ"/>
  </r>
  <r>
    <x v="0"/>
    <x v="3"/>
    <s v="GI Piping"/>
    <s v="kg"/>
    <n v="4425"/>
    <n v="3814"/>
    <n v="81.83"/>
    <n v="362097.75"/>
    <n v="312099.62"/>
    <n v="-611"/>
    <n v="-0.13807909604519775"/>
    <s v="Within BOQ"/>
  </r>
  <r>
    <x v="0"/>
    <x v="3"/>
    <s v="Sanitary Fixtures"/>
    <s v="kg"/>
    <n v="272"/>
    <n v="241"/>
    <n v="88.58"/>
    <n v="24093.759999999998"/>
    <n v="21347.78"/>
    <n v="-31"/>
    <n v="-0.11397058823529412"/>
    <s v="Within BOQ"/>
  </r>
  <r>
    <x v="0"/>
    <x v="3"/>
    <s v="Drainage Piping"/>
    <s v="nos"/>
    <n v="1538"/>
    <n v="1342"/>
    <n v="78.930000000000007"/>
    <n v="121394.34"/>
    <n v="105924.06000000001"/>
    <n v="-196"/>
    <n v="-0.12743823146944083"/>
    <s v="Within BOQ"/>
  </r>
  <r>
    <x v="0"/>
    <x v="4"/>
    <s v="False Ceiling"/>
    <s v="sqm"/>
    <n v="3774"/>
    <n v="3762"/>
    <n v="153.44"/>
    <n v="579082.56000000006"/>
    <n v="577241.28"/>
    <n v="-12"/>
    <n v="-3.1796502384737681E-3"/>
    <s v="Within BOQ"/>
  </r>
  <r>
    <x v="0"/>
    <x v="4"/>
    <s v="Partition Walls"/>
    <s v="nos"/>
    <n v="2329"/>
    <n v="2767"/>
    <n v="167.23"/>
    <n v="389478.67"/>
    <n v="462725.41"/>
    <n v="438"/>
    <n v="0.18806354658651783"/>
    <s v="Over BOQ"/>
  </r>
  <r>
    <x v="0"/>
    <x v="4"/>
    <s v="Flooring"/>
    <s v="rmt"/>
    <n v="720"/>
    <n v="764"/>
    <n v="151.06"/>
    <n v="108763.2"/>
    <n v="115409.84"/>
    <n v="44"/>
    <n v="6.1111111111111109E-2"/>
    <s v="Over BOQ"/>
  </r>
  <r>
    <x v="0"/>
    <x v="4"/>
    <s v="Painting"/>
    <s v="cum"/>
    <n v="2916"/>
    <n v="2772"/>
    <n v="18.38"/>
    <n v="53596.08"/>
    <n v="50949.36"/>
    <n v="-144"/>
    <n v="-4.9382716049382713E-2"/>
    <s v="Within BOQ"/>
  </r>
  <r>
    <x v="0"/>
    <x v="4"/>
    <s v="Joinery Work"/>
    <s v="set"/>
    <n v="379"/>
    <n v="450"/>
    <n v="190.17"/>
    <n v="72074.429999999993"/>
    <n v="85576.5"/>
    <n v="71"/>
    <n v="0.18733509234828497"/>
    <s v="Over BOQ"/>
  </r>
  <r>
    <x v="1"/>
    <x v="0"/>
    <s v="Excavation"/>
    <s v="sqm"/>
    <n v="216"/>
    <n v="243"/>
    <n v="51.52"/>
    <n v="11128.32"/>
    <n v="12519.36"/>
    <n v="27"/>
    <n v="0.125"/>
    <s v="Over BOQ"/>
  </r>
  <r>
    <x v="1"/>
    <x v="0"/>
    <s v="PCC"/>
    <s v="nos"/>
    <n v="987"/>
    <n v="1089"/>
    <n v="47.5"/>
    <n v="46882.5"/>
    <n v="51727.5"/>
    <n v="102"/>
    <n v="0.10334346504559271"/>
    <s v="Over BOQ"/>
  </r>
  <r>
    <x v="1"/>
    <x v="0"/>
    <s v="RCC Columns"/>
    <s v="set"/>
    <n v="2149"/>
    <n v="2568"/>
    <n v="37.72"/>
    <n v="81060.28"/>
    <n v="96864.959999999992"/>
    <n v="419"/>
    <n v="0.19497440670079105"/>
    <s v="Over BOQ"/>
  </r>
  <r>
    <x v="1"/>
    <x v="0"/>
    <s v="RCC Slabs"/>
    <s v="kg"/>
    <n v="988"/>
    <n v="1185"/>
    <n v="36.93"/>
    <n v="36486.839999999997"/>
    <n v="43762.05"/>
    <n v="197"/>
    <n v="0.19939271255060728"/>
    <s v="Over BOQ"/>
  </r>
  <r>
    <x v="1"/>
    <x v="0"/>
    <s v="Brickwork"/>
    <s v="rmt"/>
    <n v="935"/>
    <n v="1038"/>
    <n v="186.13"/>
    <n v="174031.55"/>
    <n v="193202.94"/>
    <n v="103"/>
    <n v="0.11016042780748662"/>
    <s v="Over BOQ"/>
  </r>
  <r>
    <x v="1"/>
    <x v="0"/>
    <s v="Plastering"/>
    <s v="kg"/>
    <n v="3124"/>
    <n v="3213"/>
    <n v="144.43"/>
    <n v="451199.32"/>
    <n v="464053.59"/>
    <n v="89"/>
    <n v="2.8489116517285532E-2"/>
    <s v="Over BOQ"/>
  </r>
  <r>
    <x v="1"/>
    <x v="1"/>
    <s v="AHU Supply"/>
    <s v="cum"/>
    <n v="4900"/>
    <n v="5687"/>
    <n v="127.31"/>
    <n v="623819"/>
    <n v="724011.97"/>
    <n v="787"/>
    <n v="0.16061224489795919"/>
    <s v="Over BOQ"/>
  </r>
  <r>
    <x v="1"/>
    <x v="1"/>
    <s v="Ductwork"/>
    <s v="cum"/>
    <n v="2520"/>
    <n v="3106"/>
    <n v="122.08"/>
    <n v="307641.59999999998"/>
    <n v="379180.48"/>
    <n v="586"/>
    <n v="0.23253968253968255"/>
    <s v="Over BOQ"/>
  </r>
  <r>
    <x v="1"/>
    <x v="1"/>
    <s v="Chilled Water Piping"/>
    <s v="cum"/>
    <n v="4686"/>
    <n v="5633"/>
    <n v="72.7"/>
    <n v="340672.2"/>
    <n v="409519.10000000003"/>
    <n v="947"/>
    <n v="0.20209133589415279"/>
    <s v="Over BOQ"/>
  </r>
  <r>
    <x v="1"/>
    <x v="1"/>
    <s v="Insulation"/>
    <s v="nos"/>
    <n v="3085"/>
    <n v="2717"/>
    <n v="131.27000000000001"/>
    <n v="404967.95"/>
    <n v="356660.59"/>
    <n v="-368"/>
    <n v="-0.1192868719611021"/>
    <s v="Within BOQ"/>
  </r>
  <r>
    <x v="1"/>
    <x v="2"/>
    <s v="Cable Trays"/>
    <s v="cum"/>
    <n v="3491"/>
    <n v="4259"/>
    <n v="25.58"/>
    <n v="89299.78"/>
    <n v="108945.21999999999"/>
    <n v="768"/>
    <n v="0.2199942709825265"/>
    <s v="Over BOQ"/>
  </r>
  <r>
    <x v="1"/>
    <x v="2"/>
    <s v="HT Cables"/>
    <s v="rmt"/>
    <n v="3816"/>
    <n v="4458"/>
    <n v="89.92"/>
    <n v="343134.71999999997"/>
    <n v="400863.36"/>
    <n v="642"/>
    <n v="0.16823899371069181"/>
    <s v="Over BOQ"/>
  </r>
  <r>
    <x v="1"/>
    <x v="2"/>
    <s v="LT Panels"/>
    <s v="set"/>
    <n v="4324"/>
    <n v="5554"/>
    <n v="57.67"/>
    <n v="249365.08"/>
    <n v="320299.18"/>
    <n v="1230"/>
    <n v="0.28445883441258096"/>
    <s v="Over BOQ"/>
  </r>
  <r>
    <x v="1"/>
    <x v="2"/>
    <s v="DB Boards"/>
    <s v="kg"/>
    <n v="4010"/>
    <n v="4247"/>
    <n v="166.02"/>
    <n v="665740.19999999995"/>
    <n v="705086.94000000006"/>
    <n v="237"/>
    <n v="5.9102244389027433E-2"/>
    <s v="Over BOQ"/>
  </r>
  <r>
    <x v="1"/>
    <x v="2"/>
    <s v="Conduit Laying"/>
    <s v="kg"/>
    <n v="2248"/>
    <n v="2236"/>
    <n v="52.87"/>
    <n v="118851.76"/>
    <n v="118217.31999999999"/>
    <n v="-12"/>
    <n v="-5.3380782918149468E-3"/>
    <s v="Within BOQ"/>
  </r>
  <r>
    <x v="1"/>
    <x v="3"/>
    <s v="CPVC Piping"/>
    <s v="cum"/>
    <n v="2334"/>
    <n v="2909"/>
    <n v="52.55"/>
    <n v="122651.7"/>
    <n v="152867.94999999998"/>
    <n v="575"/>
    <n v="0.24635818337617824"/>
    <s v="Over BOQ"/>
  </r>
  <r>
    <x v="1"/>
    <x v="3"/>
    <s v="GI Piping"/>
    <s v="nos"/>
    <n v="4718"/>
    <n v="5306"/>
    <n v="78.900000000000006"/>
    <n v="372250.2"/>
    <n v="418643.4"/>
    <n v="588"/>
    <n v="0.12462908011869436"/>
    <s v="Over BOQ"/>
  </r>
  <r>
    <x v="1"/>
    <x v="3"/>
    <s v="Sanitary Fixtures"/>
    <s v="cum"/>
    <n v="4099"/>
    <n v="5053"/>
    <n v="40.46"/>
    <n v="165845.54"/>
    <n v="204444.38"/>
    <n v="954"/>
    <n v="0.23273969260795316"/>
    <s v="Over BOQ"/>
  </r>
  <r>
    <x v="1"/>
    <x v="3"/>
    <s v="Drainage Piping"/>
    <s v="sqm"/>
    <n v="2956"/>
    <n v="3573"/>
    <n v="71.37"/>
    <n v="210969.72"/>
    <n v="255005.01"/>
    <n v="617"/>
    <n v="0.20872801082543979"/>
    <s v="Over BOQ"/>
  </r>
  <r>
    <x v="1"/>
    <x v="4"/>
    <s v="False Ceiling"/>
    <s v="kg"/>
    <n v="2313"/>
    <n v="2544"/>
    <n v="105.74"/>
    <n v="244576.62"/>
    <n v="269002.56"/>
    <n v="231"/>
    <n v="9.9870298313878086E-2"/>
    <s v="Over BOQ"/>
  </r>
  <r>
    <x v="1"/>
    <x v="4"/>
    <s v="Partition Walls"/>
    <s v="sqm"/>
    <n v="751"/>
    <n v="719"/>
    <n v="84.25"/>
    <n v="63271.75"/>
    <n v="60575.75"/>
    <n v="-32"/>
    <n v="-4.2609853528628498E-2"/>
    <s v="Within BOQ"/>
  </r>
  <r>
    <x v="1"/>
    <x v="4"/>
    <s v="Flooring"/>
    <s v="kg"/>
    <n v="2018"/>
    <n v="2342"/>
    <n v="130.94999999999999"/>
    <n v="264257.09999999998"/>
    <n v="306684.89999999997"/>
    <n v="324"/>
    <n v="0.1605550049554014"/>
    <s v="Over BOQ"/>
  </r>
  <r>
    <x v="1"/>
    <x v="4"/>
    <s v="Painting"/>
    <s v="nos"/>
    <n v="3721"/>
    <n v="4490"/>
    <n v="23.15"/>
    <n v="86141.15"/>
    <n v="103943.5"/>
    <n v="769"/>
    <n v="0.20666487503359313"/>
    <s v="Over BOQ"/>
  </r>
  <r>
    <x v="1"/>
    <x v="4"/>
    <s v="Joinery Work"/>
    <s v="sqm"/>
    <n v="3362"/>
    <n v="3904"/>
    <n v="64.709999999999994"/>
    <n v="217555.02"/>
    <n v="252627.83999999997"/>
    <n v="542"/>
    <n v="0.16121356335514575"/>
    <s v="Over BOQ"/>
  </r>
  <r>
    <x v="2"/>
    <x v="0"/>
    <s v="Excavation"/>
    <s v="kg"/>
    <n v="3073"/>
    <n v="3266"/>
    <n v="108.53"/>
    <n v="333512.69"/>
    <n v="354458.98"/>
    <n v="193"/>
    <n v="6.2805076472502441E-2"/>
    <s v="Over BOQ"/>
  </r>
  <r>
    <x v="2"/>
    <x v="0"/>
    <s v="PCC"/>
    <s v="nos"/>
    <n v="4558"/>
    <n v="4552"/>
    <n v="142.06"/>
    <n v="647509.48"/>
    <n v="646657.12"/>
    <n v="-6"/>
    <n v="-1.3163668275559457E-3"/>
    <s v="Within BOQ"/>
  </r>
  <r>
    <x v="2"/>
    <x v="0"/>
    <s v="RCC Columns"/>
    <s v="rmt"/>
    <n v="2561"/>
    <n v="2466"/>
    <n v="28.53"/>
    <n v="73065.33"/>
    <n v="70354.98"/>
    <n v="-95"/>
    <n v="-3.709488481062085E-2"/>
    <s v="Within BOQ"/>
  </r>
  <r>
    <x v="2"/>
    <x v="0"/>
    <s v="RCC Slabs"/>
    <s v="sqm"/>
    <n v="2634"/>
    <n v="2380"/>
    <n v="109.49"/>
    <n v="288396.65999999997"/>
    <n v="260586.19999999998"/>
    <n v="-254"/>
    <n v="-9.6431283219438113E-2"/>
    <s v="Within BOQ"/>
  </r>
  <r>
    <x v="2"/>
    <x v="0"/>
    <s v="Brickwork"/>
    <s v="set"/>
    <n v="1566"/>
    <n v="1466"/>
    <n v="149.03"/>
    <n v="233380.98"/>
    <n v="218477.98"/>
    <n v="-100"/>
    <n v="-6.3856960408684549E-2"/>
    <s v="Within BOQ"/>
  </r>
  <r>
    <x v="2"/>
    <x v="0"/>
    <s v="Plastering"/>
    <s v="rmt"/>
    <n v="4879"/>
    <n v="6291"/>
    <n v="107.3"/>
    <n v="523516.7"/>
    <n v="675024.29999999993"/>
    <n v="1412"/>
    <n v="0.28940356630457059"/>
    <s v="Over BOQ"/>
  </r>
  <r>
    <x v="2"/>
    <x v="1"/>
    <s v="AHU Supply"/>
    <s v="rmt"/>
    <n v="873"/>
    <n v="1069"/>
    <n v="62.77"/>
    <n v="54798.21"/>
    <n v="67101.13"/>
    <n v="196"/>
    <n v="0.22451317296678122"/>
    <s v="Over BOQ"/>
  </r>
  <r>
    <x v="2"/>
    <x v="1"/>
    <s v="Ductwork"/>
    <s v="rmt"/>
    <n v="1519"/>
    <n v="1497"/>
    <n v="143.06"/>
    <n v="217308.14"/>
    <n v="214160.82"/>
    <n v="-22"/>
    <n v="-1.4483212639894667E-2"/>
    <s v="Within BOQ"/>
  </r>
  <r>
    <x v="2"/>
    <x v="1"/>
    <s v="Chilled Water Piping"/>
    <s v="sqm"/>
    <n v="2297"/>
    <n v="1999"/>
    <n v="15.63"/>
    <n v="35902.11"/>
    <n v="31244.370000000003"/>
    <n v="-298"/>
    <n v="-0.12973443622115804"/>
    <s v="Within BOQ"/>
  </r>
  <r>
    <x v="2"/>
    <x v="1"/>
    <s v="Insulation"/>
    <s v="rmt"/>
    <n v="1084"/>
    <n v="1232"/>
    <n v="151.79"/>
    <n v="164540.35999999999"/>
    <n v="187005.28"/>
    <n v="148"/>
    <n v="0.13653136531365315"/>
    <s v="Over BOQ"/>
  </r>
  <r>
    <x v="2"/>
    <x v="2"/>
    <s v="Cable Trays"/>
    <s v="cum"/>
    <n v="150"/>
    <n v="166"/>
    <n v="96.53"/>
    <n v="14479.5"/>
    <n v="16023.98"/>
    <n v="16"/>
    <n v="0.10666666666666667"/>
    <s v="Over BOQ"/>
  </r>
  <r>
    <x v="2"/>
    <x v="2"/>
    <s v="HT Cables"/>
    <s v="nos"/>
    <n v="2841"/>
    <n v="2650"/>
    <n v="15.02"/>
    <n v="42671.82"/>
    <n v="39803"/>
    <n v="-191"/>
    <n v="-6.7229848644843368E-2"/>
    <s v="Within BOQ"/>
  </r>
  <r>
    <x v="2"/>
    <x v="2"/>
    <s v="LT Panels"/>
    <s v="nos"/>
    <n v="984"/>
    <n v="1200"/>
    <n v="83.14"/>
    <n v="81809.759999999995"/>
    <n v="99768"/>
    <n v="216"/>
    <n v="0.21951219512195122"/>
    <s v="Over BOQ"/>
  </r>
  <r>
    <x v="2"/>
    <x v="2"/>
    <s v="DB Boards"/>
    <s v="cum"/>
    <n v="4776"/>
    <n v="5412"/>
    <n v="15.45"/>
    <n v="73789.2"/>
    <n v="83615.399999999994"/>
    <n v="636"/>
    <n v="0.13316582914572864"/>
    <s v="Over BOQ"/>
  </r>
  <r>
    <x v="2"/>
    <x v="2"/>
    <s v="Conduit Laying"/>
    <s v="sqm"/>
    <n v="4660"/>
    <n v="5951"/>
    <n v="21.61"/>
    <n v="100702.6"/>
    <n v="128601.11"/>
    <n v="1291"/>
    <n v="0.27703862660944206"/>
    <s v="Over BOQ"/>
  </r>
  <r>
    <x v="2"/>
    <x v="3"/>
    <s v="CPVC Piping"/>
    <s v="sqm"/>
    <n v="1020"/>
    <n v="1123"/>
    <n v="86.15"/>
    <n v="87873"/>
    <n v="96746.450000000012"/>
    <n v="103"/>
    <n v="0.10098039215686275"/>
    <s v="Over BOQ"/>
  </r>
  <r>
    <x v="2"/>
    <x v="3"/>
    <s v="GI Piping"/>
    <s v="kg"/>
    <n v="1898"/>
    <n v="2275"/>
    <n v="79.17"/>
    <n v="150264.66"/>
    <n v="180111.75"/>
    <n v="377"/>
    <n v="0.19863013698630136"/>
    <s v="Over BOQ"/>
  </r>
  <r>
    <x v="2"/>
    <x v="3"/>
    <s v="Sanitary Fixtures"/>
    <s v="nos"/>
    <n v="2485"/>
    <n v="3074"/>
    <n v="198.06"/>
    <n v="492179.1"/>
    <n v="608836.44000000006"/>
    <n v="589"/>
    <n v="0.23702213279678069"/>
    <s v="Over BOQ"/>
  </r>
  <r>
    <x v="2"/>
    <x v="3"/>
    <s v="Drainage Piping"/>
    <s v="rmt"/>
    <n v="4708"/>
    <n v="5317"/>
    <n v="123.88"/>
    <n v="583227.04"/>
    <n v="658669.96"/>
    <n v="609"/>
    <n v="0.12935429056924383"/>
    <s v="Over BOQ"/>
  </r>
  <r>
    <x v="2"/>
    <x v="4"/>
    <s v="False Ceiling"/>
    <s v="set"/>
    <n v="862"/>
    <n v="1100"/>
    <n v="45.52"/>
    <n v="39238.239999999998"/>
    <n v="50072"/>
    <n v="238"/>
    <n v="0.27610208816705334"/>
    <s v="Over BOQ"/>
  </r>
  <r>
    <x v="2"/>
    <x v="4"/>
    <s v="Partition Walls"/>
    <s v="sqm"/>
    <n v="2217"/>
    <n v="2543"/>
    <n v="35.630000000000003"/>
    <n v="78991.710000000006"/>
    <n v="90607.090000000011"/>
    <n v="326"/>
    <n v="0.14704555705908887"/>
    <s v="Over BOQ"/>
  </r>
  <r>
    <x v="2"/>
    <x v="4"/>
    <s v="Flooring"/>
    <s v="sqm"/>
    <n v="4571"/>
    <n v="4039"/>
    <n v="5.52"/>
    <n v="25231.919999999998"/>
    <n v="22295.279999999999"/>
    <n v="-532"/>
    <n v="-0.11638591117917305"/>
    <s v="Within BOQ"/>
  </r>
  <r>
    <x v="2"/>
    <x v="4"/>
    <s v="Painting"/>
    <s v="nos"/>
    <n v="4914"/>
    <n v="5216"/>
    <n v="11.36"/>
    <n v="55823.040000000001"/>
    <n v="59253.759999999995"/>
    <n v="302"/>
    <n v="6.1457061457061458E-2"/>
    <s v="Over BOQ"/>
  </r>
  <r>
    <x v="2"/>
    <x v="4"/>
    <s v="Joinery Work"/>
    <s v="rmt"/>
    <n v="2366"/>
    <n v="2759"/>
    <n v="93.54"/>
    <n v="221315.64"/>
    <n v="258076.86000000002"/>
    <n v="393"/>
    <n v="0.16610312764158919"/>
    <s v="Over BOQ"/>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s v="Civil &amp; Structure"/>
    <s v="Plastering"/>
    <s v="rmt"/>
    <n v="4879"/>
    <n v="6291"/>
    <n v="107.3"/>
    <n v="523516.7"/>
    <n v="675024.29999999993"/>
    <n v="1412"/>
    <n v="0.28940356630457059"/>
    <s v="Over BOQ"/>
    <n v="151507.6"/>
  </r>
  <r>
    <x v="1"/>
    <s v="MEP - Electrical"/>
    <s v="LT Panels"/>
    <s v="set"/>
    <n v="4324"/>
    <n v="5554"/>
    <n v="57.67"/>
    <n v="249365.08"/>
    <n v="320299.18"/>
    <n v="1230"/>
    <n v="0.28445883441258096"/>
    <s v="Over BOQ"/>
    <n v="70934.100000000006"/>
  </r>
  <r>
    <x v="2"/>
    <s v="Civil &amp; Structure"/>
    <s v="Excavation"/>
    <s v="kg"/>
    <n v="2649"/>
    <n v="3384"/>
    <n v="178.83"/>
    <n v="473720.67"/>
    <n v="605160.72000000009"/>
    <n v="735"/>
    <n v="0.27746319365798416"/>
    <s v="Over BOQ"/>
    <n v="131440.05000000002"/>
  </r>
  <r>
    <x v="0"/>
    <s v="MEP - Electrical"/>
    <s v="Conduit Laying"/>
    <s v="sqm"/>
    <n v="4660"/>
    <n v="5951"/>
    <n v="21.61"/>
    <n v="100702.6"/>
    <n v="128601.11"/>
    <n v="1291"/>
    <n v="0.27703862660944206"/>
    <s v="Over BOQ"/>
    <n v="27898.51"/>
  </r>
  <r>
    <x v="0"/>
    <s v="Interior Fit-out"/>
    <s v="False Ceiling"/>
    <s v="set"/>
    <n v="862"/>
    <n v="1100"/>
    <n v="45.52"/>
    <n v="39238.239999999998"/>
    <n v="50072"/>
    <n v="238"/>
    <n v="0.27610208816705334"/>
    <s v="Over BOQ"/>
    <n v="10833.76"/>
  </r>
  <r>
    <x v="1"/>
    <s v="MEP - Plumbing"/>
    <s v="CPVC Piping"/>
    <s v="cum"/>
    <n v="2334"/>
    <n v="2909"/>
    <n v="52.55"/>
    <n v="122651.7"/>
    <n v="152867.94999999998"/>
    <n v="575"/>
    <n v="0.24635818337617824"/>
    <s v="Over BOQ"/>
    <n v="30216.25"/>
  </r>
  <r>
    <x v="0"/>
    <s v="MEP - Plumbing"/>
    <s v="Sanitary Fixtures"/>
    <s v="nos"/>
    <n v="2485"/>
    <n v="3074"/>
    <n v="198.06"/>
    <n v="492179.1"/>
    <n v="608836.44000000006"/>
    <n v="589"/>
    <n v="0.23702213279678069"/>
    <s v="Over BOQ"/>
    <n v="116657.34"/>
  </r>
  <r>
    <x v="2"/>
    <s v="MEP - Electrical"/>
    <s v="Cable Trays"/>
    <s v="set"/>
    <n v="210"/>
    <n v="259"/>
    <n v="154.29"/>
    <n v="32400.9"/>
    <n v="39961.11"/>
    <n v="49"/>
    <n v="0.23333333333333334"/>
    <s v="Over BOQ"/>
    <n v="7560.21"/>
  </r>
  <r>
    <x v="1"/>
    <s v="MEP - Plumbing"/>
    <s v="Sanitary Fixtures"/>
    <s v="cum"/>
    <n v="4099"/>
    <n v="5053"/>
    <n v="40.46"/>
    <n v="165845.54"/>
    <n v="204444.38"/>
    <n v="954"/>
    <n v="0.23273969260795316"/>
    <s v="Over BOQ"/>
    <n v="38598.840000000004"/>
  </r>
  <r>
    <x v="1"/>
    <s v="MEP - HVAC"/>
    <s v="Ductwork"/>
    <s v="cum"/>
    <n v="2520"/>
    <n v="3106"/>
    <n v="122.08"/>
    <n v="307641.59999999998"/>
    <n v="379180.48"/>
    <n v="586"/>
    <n v="0.23253968253968255"/>
    <s v="Over BOQ"/>
    <n v="71538.880000000005"/>
  </r>
  <r>
    <x v="2"/>
    <s v="MEP - Plumbing"/>
    <s v="CPVC Piping"/>
    <s v="nos"/>
    <n v="1402"/>
    <n v="1721"/>
    <n v="184.31"/>
    <n v="258402.62"/>
    <n v="317197.51"/>
    <n v="319"/>
    <n v="0.22753209700427959"/>
    <s v="Over BOQ"/>
    <n v="58794.89"/>
  </r>
  <r>
    <x v="2"/>
    <s v="Civil &amp; Structure"/>
    <s v="RCC Slabs"/>
    <s v="rmt"/>
    <n v="2075"/>
    <n v="2547"/>
    <n v="59.08"/>
    <n v="122591"/>
    <n v="150476.76"/>
    <n v="472"/>
    <n v="0.22746987951807229"/>
    <s v="Over BOQ"/>
    <n v="27885.759999999998"/>
  </r>
  <r>
    <x v="0"/>
    <s v="MEP - HVAC"/>
    <s v="AHU Supply"/>
    <s v="rmt"/>
    <n v="873"/>
    <n v="1069"/>
    <n v="62.77"/>
    <n v="54798.21"/>
    <n v="67101.13"/>
    <n v="196"/>
    <n v="0.22451317296678122"/>
    <s v="Over BOQ"/>
    <n v="12302.92"/>
  </r>
  <r>
    <x v="1"/>
    <s v="MEP - Electrical"/>
    <s v="Cable Trays"/>
    <s v="cum"/>
    <n v="3491"/>
    <n v="4259"/>
    <n v="25.58"/>
    <n v="89299.78"/>
    <n v="108945.21999999999"/>
    <n v="768"/>
    <n v="0.2199942709825265"/>
    <s v="Over BOQ"/>
    <n v="19645.439999999999"/>
  </r>
  <r>
    <x v="0"/>
    <s v="MEP - Electrical"/>
    <s v="LT Panels"/>
    <s v="nos"/>
    <n v="984"/>
    <n v="1200"/>
    <n v="83.14"/>
    <n v="81809.759999999995"/>
    <n v="99768"/>
    <n v="216"/>
    <n v="0.21951219512195122"/>
    <s v="Over BOQ"/>
    <n v="17958.240000000002"/>
  </r>
  <r>
    <x v="1"/>
    <s v="MEP - Plumbing"/>
    <s v="Drainage Piping"/>
    <s v="sqm"/>
    <n v="2956"/>
    <n v="3573"/>
    <n v="71.37"/>
    <n v="210969.72"/>
    <n v="255005.01"/>
    <n v="617"/>
    <n v="0.20872801082543979"/>
    <s v="Over BOQ"/>
    <n v="44035.29"/>
  </r>
  <r>
    <x v="1"/>
    <s v="Interior Fit-out"/>
    <s v="Painting"/>
    <s v="nos"/>
    <n v="3721"/>
    <n v="4490"/>
    <n v="23.15"/>
    <n v="86141.15"/>
    <n v="103943.5"/>
    <n v="769"/>
    <n v="0.20666487503359313"/>
    <s v="Over BOQ"/>
    <n v="17802.349999999999"/>
  </r>
  <r>
    <x v="1"/>
    <s v="MEP - HVAC"/>
    <s v="Chilled Water Piping"/>
    <s v="cum"/>
    <n v="4686"/>
    <n v="5633"/>
    <n v="72.7"/>
    <n v="340672.2"/>
    <n v="409519.10000000003"/>
    <n v="947"/>
    <n v="0.20209133589415279"/>
    <s v="Over BOQ"/>
    <n v="68846.900000000009"/>
  </r>
  <r>
    <x v="1"/>
    <s v="Civil &amp; Structure"/>
    <s v="RCC Slabs"/>
    <s v="kg"/>
    <n v="988"/>
    <n v="1185"/>
    <n v="36.93"/>
    <n v="36486.839999999997"/>
    <n v="43762.05"/>
    <n v="197"/>
    <n v="0.19939271255060728"/>
    <s v="Over BOQ"/>
    <n v="7275.21"/>
  </r>
  <r>
    <x v="0"/>
    <s v="MEP - Plumbing"/>
    <s v="GI Piping"/>
    <s v="kg"/>
    <n v="1898"/>
    <n v="2275"/>
    <n v="79.17"/>
    <n v="150264.66"/>
    <n v="180111.75"/>
    <n v="377"/>
    <n v="0.19863013698630136"/>
    <s v="Over BOQ"/>
    <n v="29847.09"/>
  </r>
  <r>
    <x v="1"/>
    <s v="Civil &amp; Structure"/>
    <s v="RCC Columns"/>
    <s v="set"/>
    <n v="2149"/>
    <n v="2568"/>
    <n v="37.72"/>
    <n v="81060.28"/>
    <n v="96864.959999999992"/>
    <n v="419"/>
    <n v="0.19497440670079105"/>
    <s v="Over BOQ"/>
    <n v="15804.68"/>
  </r>
  <r>
    <x v="2"/>
    <s v="Interior Fit-out"/>
    <s v="Partition Walls"/>
    <s v="nos"/>
    <n v="2329"/>
    <n v="2767"/>
    <n v="167.23"/>
    <n v="389478.67"/>
    <n v="462725.41"/>
    <n v="438"/>
    <n v="0.18806354658651783"/>
    <s v="Over BOQ"/>
    <n v="73246.739999999991"/>
  </r>
  <r>
    <x v="2"/>
    <s v="Interior Fit-out"/>
    <s v="Joinery Work"/>
    <s v="set"/>
    <n v="379"/>
    <n v="450"/>
    <n v="190.17"/>
    <n v="72074.429999999993"/>
    <n v="85576.5"/>
    <n v="71"/>
    <n v="0.18733509234828497"/>
    <s v="Over BOQ"/>
    <n v="13502.07"/>
  </r>
  <r>
    <x v="2"/>
    <s v="Civil &amp; Structure"/>
    <s v="RCC Columns"/>
    <s v="nos"/>
    <n v="1353"/>
    <n v="1602"/>
    <n v="97.56"/>
    <n v="131998.68"/>
    <n v="156291.12"/>
    <n v="249"/>
    <n v="0.18403547671840353"/>
    <s v="Over BOQ"/>
    <n v="24292.440000000002"/>
  </r>
  <r>
    <x v="1"/>
    <s v="MEP - Electrical"/>
    <s v="HT Cables"/>
    <s v="rmt"/>
    <n v="3816"/>
    <n v="4458"/>
    <n v="89.92"/>
    <n v="343134.71999999997"/>
    <n v="400863.36"/>
    <n v="642"/>
    <n v="0.16823899371069181"/>
    <s v="Over BOQ"/>
    <n v="57728.639999999999"/>
  </r>
  <r>
    <x v="2"/>
    <s v="MEP - HVAC"/>
    <s v="Ductwork"/>
    <s v="set"/>
    <n v="1301"/>
    <n v="1519"/>
    <n v="17.52"/>
    <n v="22793.52"/>
    <n v="26612.880000000001"/>
    <n v="218"/>
    <n v="0.16756341275941583"/>
    <s v="Over BOQ"/>
    <n v="3819.36"/>
  </r>
  <r>
    <x v="0"/>
    <s v="Interior Fit-out"/>
    <s v="Joinery Work"/>
    <s v="rmt"/>
    <n v="2366"/>
    <n v="2759"/>
    <n v="93.54"/>
    <n v="221315.64"/>
    <n v="258076.86000000002"/>
    <n v="393"/>
    <n v="0.16610312764158919"/>
    <s v="Over BOQ"/>
    <n v="36761.22"/>
  </r>
  <r>
    <x v="1"/>
    <s v="Interior Fit-out"/>
    <s v="Joinery Work"/>
    <s v="sqm"/>
    <n v="3362"/>
    <n v="3904"/>
    <n v="64.709999999999994"/>
    <n v="217555.02"/>
    <n v="252627.83999999997"/>
    <n v="542"/>
    <n v="0.16121356335514575"/>
    <s v="Over BOQ"/>
    <n v="35072.82"/>
  </r>
  <r>
    <x v="1"/>
    <s v="MEP - HVAC"/>
    <s v="AHU Supply"/>
    <s v="cum"/>
    <n v="4900"/>
    <n v="5687"/>
    <n v="127.31"/>
    <n v="623819"/>
    <n v="724011.97"/>
    <n v="787"/>
    <n v="0.16061224489795919"/>
    <s v="Over BOQ"/>
    <n v="100192.97"/>
  </r>
  <r>
    <x v="1"/>
    <s v="Interior Fit-out"/>
    <s v="Flooring"/>
    <s v="kg"/>
    <n v="2018"/>
    <n v="2342"/>
    <n v="130.94999999999999"/>
    <n v="264257.09999999998"/>
    <n v="306684.89999999997"/>
    <n v="324"/>
    <n v="0.1605550049554014"/>
    <s v="Over BOQ"/>
    <n v="42427.799999999996"/>
  </r>
  <r>
    <x v="0"/>
    <s v="Interior Fit-out"/>
    <s v="Partition Walls"/>
    <s v="sqm"/>
    <n v="2217"/>
    <n v="2543"/>
    <n v="35.630000000000003"/>
    <n v="78991.710000000006"/>
    <n v="90607.090000000011"/>
    <n v="326"/>
    <n v="0.14704555705908887"/>
    <s v="Over BOQ"/>
    <n v="11615.380000000001"/>
  </r>
  <r>
    <x v="0"/>
    <s v="MEP - HVAC"/>
    <s v="Insulation"/>
    <s v="rmt"/>
    <n v="1084"/>
    <n v="1232"/>
    <n v="151.79"/>
    <n v="164540.35999999999"/>
    <n v="187005.28"/>
    <n v="148"/>
    <n v="0.13653136531365315"/>
    <s v="Over BOQ"/>
    <n v="22464.92"/>
  </r>
  <r>
    <x v="0"/>
    <s v="MEP - Electrical"/>
    <s v="DB Boards"/>
    <s v="cum"/>
    <n v="4776"/>
    <n v="5412"/>
    <n v="15.45"/>
    <n v="73789.2"/>
    <n v="83615.399999999994"/>
    <n v="636"/>
    <n v="0.13316582914572864"/>
    <s v="Over BOQ"/>
    <n v="9826.1999999999989"/>
  </r>
  <r>
    <x v="2"/>
    <s v="Civil &amp; Structure"/>
    <s v="Brickwork"/>
    <s v="kg"/>
    <n v="4019"/>
    <n v="4549"/>
    <n v="58.55"/>
    <n v="235312.45"/>
    <n v="266343.95"/>
    <n v="530"/>
    <n v="0.13187360039810897"/>
    <s v="Over BOQ"/>
    <n v="31031.5"/>
  </r>
  <r>
    <x v="0"/>
    <s v="MEP - Plumbing"/>
    <s v="Drainage Piping"/>
    <s v="rmt"/>
    <n v="4708"/>
    <n v="5317"/>
    <n v="123.88"/>
    <n v="583227.04"/>
    <n v="658669.96"/>
    <n v="609"/>
    <n v="0.12935429056924383"/>
    <s v="Over BOQ"/>
    <n v="75442.92"/>
  </r>
  <r>
    <x v="1"/>
    <s v="Civil &amp; Structure"/>
    <s v="Excavation"/>
    <s v="sqm"/>
    <n v="216"/>
    <n v="243"/>
    <n v="51.52"/>
    <n v="11128.32"/>
    <n v="12519.36"/>
    <n v="27"/>
    <n v="0.125"/>
    <s v="Over BOQ"/>
    <n v="1391.0400000000002"/>
  </r>
  <r>
    <x v="1"/>
    <s v="MEP - Plumbing"/>
    <s v="GI Piping"/>
    <s v="nos"/>
    <n v="4718"/>
    <n v="5306"/>
    <n v="78.900000000000006"/>
    <n v="372250.2"/>
    <n v="418643.4"/>
    <n v="588"/>
    <n v="0.12462908011869436"/>
    <s v="Over BOQ"/>
    <n v="46393.200000000004"/>
  </r>
  <r>
    <x v="1"/>
    <s v="Civil &amp; Structure"/>
    <s v="Brickwork"/>
    <s v="rmt"/>
    <n v="935"/>
    <n v="1038"/>
    <n v="186.13"/>
    <n v="174031.55"/>
    <n v="193202.94"/>
    <n v="103"/>
    <n v="0.11016042780748662"/>
    <s v="Over BOQ"/>
    <n v="19171.39"/>
  </r>
  <r>
    <x v="0"/>
    <s v="MEP - Electrical"/>
    <s v="Cable Trays"/>
    <s v="cum"/>
    <n v="150"/>
    <n v="166"/>
    <n v="96.53"/>
    <n v="14479.5"/>
    <n v="16023.98"/>
    <n v="16"/>
    <n v="0.10666666666666667"/>
    <s v="Over BOQ"/>
    <n v="1544.48"/>
  </r>
  <r>
    <x v="1"/>
    <s v="Civil &amp; Structure"/>
    <s v="PCC"/>
    <s v="nos"/>
    <n v="987"/>
    <n v="1089"/>
    <n v="47.5"/>
    <n v="46882.5"/>
    <n v="51727.5"/>
    <n v="102"/>
    <n v="0.10334346504559271"/>
    <s v="Over BOQ"/>
    <n v="4845"/>
  </r>
  <r>
    <x v="0"/>
    <s v="MEP - Plumbing"/>
    <s v="CPVC Piping"/>
    <s v="sqm"/>
    <n v="1020"/>
    <n v="1123"/>
    <n v="86.15"/>
    <n v="87873"/>
    <n v="96746.450000000012"/>
    <n v="103"/>
    <n v="0.10098039215686275"/>
    <s v="Over BOQ"/>
    <n v="8873.4500000000007"/>
  </r>
  <r>
    <x v="1"/>
    <s v="Interior Fit-out"/>
    <s v="False Ceiling"/>
    <s v="kg"/>
    <n v="2313"/>
    <n v="2544"/>
    <n v="105.74"/>
    <n v="244576.62"/>
    <n v="269002.56"/>
    <n v="231"/>
    <n v="9.9870298313878086E-2"/>
    <s v="Over BOQ"/>
    <n v="24425.94"/>
  </r>
  <r>
    <x v="2"/>
    <s v="MEP - HVAC"/>
    <s v="Chilled Water Piping"/>
    <s v="nos"/>
    <n v="2760"/>
    <n v="3019"/>
    <n v="86.08"/>
    <n v="237580.79999999999"/>
    <n v="259875.52"/>
    <n v="259"/>
    <n v="9.3840579710144922E-2"/>
    <s v="Over BOQ"/>
    <n v="22294.720000000001"/>
  </r>
  <r>
    <x v="2"/>
    <s v="MEP - Electrical"/>
    <s v="LT Panels"/>
    <s v="nos"/>
    <n v="3482"/>
    <n v="3803"/>
    <n v="148.25"/>
    <n v="516206.5"/>
    <n v="563794.75"/>
    <n v="321"/>
    <n v="9.2188397472716829E-2"/>
    <s v="Over BOQ"/>
    <n v="47588.25"/>
  </r>
  <r>
    <x v="2"/>
    <s v="MEP - Electrical"/>
    <s v="DB Boards"/>
    <s v="kg"/>
    <n v="1856"/>
    <n v="1985"/>
    <n v="58.22"/>
    <n v="108056.32000000001"/>
    <n v="115566.7"/>
    <n v="129"/>
    <n v="6.9504310344827583E-2"/>
    <s v="Over BOQ"/>
    <n v="7510.38"/>
  </r>
  <r>
    <x v="0"/>
    <s v="Civil &amp; Structure"/>
    <s v="Excavation"/>
    <s v="kg"/>
    <n v="3073"/>
    <n v="3266"/>
    <n v="108.53"/>
    <n v="333512.69"/>
    <n v="354458.98"/>
    <n v="193"/>
    <n v="6.2805076472502441E-2"/>
    <s v="Over BOQ"/>
    <n v="20946.29"/>
  </r>
  <r>
    <x v="0"/>
    <s v="Interior Fit-out"/>
    <s v="Painting"/>
    <s v="nos"/>
    <n v="4914"/>
    <n v="5216"/>
    <n v="11.36"/>
    <n v="55823.040000000001"/>
    <n v="59253.759999999995"/>
    <n v="302"/>
    <n v="6.1457061457061458E-2"/>
    <s v="Over BOQ"/>
    <n v="3430.72"/>
  </r>
  <r>
    <x v="2"/>
    <s v="Interior Fit-out"/>
    <s v="Flooring"/>
    <s v="rmt"/>
    <n v="720"/>
    <n v="764"/>
    <n v="151.06"/>
    <n v="108763.2"/>
    <n v="115409.84"/>
    <n v="44"/>
    <n v="6.1111111111111109E-2"/>
    <s v="Over BOQ"/>
    <n v="6646.64"/>
  </r>
  <r>
    <x v="1"/>
    <s v="MEP - Electrical"/>
    <s v="DB Boards"/>
    <s v="kg"/>
    <n v="4010"/>
    <n v="4247"/>
    <n v="166.02"/>
    <n v="665740.19999999995"/>
    <n v="705086.94000000006"/>
    <n v="237"/>
    <n v="5.9102244389027433E-2"/>
    <s v="Over BOQ"/>
    <n v="39346.740000000005"/>
  </r>
  <r>
    <x v="2"/>
    <s v="Civil &amp; Structure"/>
    <s v="PCC"/>
    <s v="kg"/>
    <n v="4185"/>
    <n v="4360"/>
    <n v="181.84"/>
    <n v="761000.4"/>
    <n v="792822.4"/>
    <n v="175"/>
    <n v="4.1816009557945039E-2"/>
    <s v="Over BOQ"/>
    <n v="31822"/>
  </r>
  <r>
    <x v="1"/>
    <s v="Civil &amp; Structure"/>
    <s v="Plastering"/>
    <s v="kg"/>
    <n v="3124"/>
    <n v="3213"/>
    <n v="144.43"/>
    <n v="451199.32"/>
    <n v="464053.59"/>
    <n v="89"/>
    <n v="2.8489116517285532E-2"/>
    <s v="Over BOQ"/>
    <n v="12854.27"/>
  </r>
  <r>
    <x v="2"/>
    <s v="MEP - HVAC"/>
    <s v="Insulation"/>
    <s v="sqm"/>
    <n v="3491"/>
    <n v="3579"/>
    <n v="155.11000000000001"/>
    <n v="541489.01"/>
    <n v="555138.69000000006"/>
    <n v="88"/>
    <n v="2.5207676883414496E-2"/>
    <s v="Over BOQ"/>
    <n v="13649.68"/>
  </r>
  <r>
    <x v="2"/>
    <s v="MEP - Electrical"/>
    <s v="Conduit Laying"/>
    <s v="nos"/>
    <n v="287"/>
    <n v="294"/>
    <n v="135.43"/>
    <n v="38868.410000000003"/>
    <n v="39816.420000000006"/>
    <n v="7"/>
    <n v="2.4390243902439025E-2"/>
    <s v="Over BOQ"/>
    <n v="948.01"/>
  </r>
  <r>
    <x v="0"/>
    <s v="Civil &amp; Structure"/>
    <s v="PCC"/>
    <s v="nos"/>
    <n v="4558"/>
    <n v="4552"/>
    <n v="142.06"/>
    <n v="647509.48"/>
    <n v="646657.12"/>
    <n v="-6"/>
    <n v="-1.3163668275559457E-3"/>
    <s v="Within BOQ"/>
    <n v="0"/>
  </r>
  <r>
    <x v="2"/>
    <s v="Interior Fit-out"/>
    <s v="False Ceiling"/>
    <s v="sqm"/>
    <n v="3774"/>
    <n v="3762"/>
    <n v="153.44"/>
    <n v="579082.56000000006"/>
    <n v="577241.28"/>
    <n v="-12"/>
    <n v="-3.1796502384737681E-3"/>
    <s v="Within BOQ"/>
    <n v="0"/>
  </r>
  <r>
    <x v="1"/>
    <s v="MEP - Electrical"/>
    <s v="Conduit Laying"/>
    <s v="kg"/>
    <n v="2248"/>
    <n v="2236"/>
    <n v="52.87"/>
    <n v="118851.76"/>
    <n v="118217.31999999999"/>
    <n v="-12"/>
    <n v="-5.3380782918149468E-3"/>
    <s v="Within BOQ"/>
    <n v="0"/>
  </r>
  <r>
    <x v="0"/>
    <s v="MEP - HVAC"/>
    <s v="Ductwork"/>
    <s v="rmt"/>
    <n v="1519"/>
    <n v="1497"/>
    <n v="143.06"/>
    <n v="217308.14"/>
    <n v="214160.82"/>
    <n v="-22"/>
    <n v="-1.4483212639894667E-2"/>
    <s v="Within BOQ"/>
    <n v="0"/>
  </r>
  <r>
    <x v="0"/>
    <s v="Civil &amp; Structure"/>
    <s v="RCC Columns"/>
    <s v="rmt"/>
    <n v="2561"/>
    <n v="2466"/>
    <n v="28.53"/>
    <n v="73065.33"/>
    <n v="70354.98"/>
    <n v="-95"/>
    <n v="-3.709488481062085E-2"/>
    <s v="Within BOQ"/>
    <n v="0"/>
  </r>
  <r>
    <x v="1"/>
    <s v="Interior Fit-out"/>
    <s v="Partition Walls"/>
    <s v="sqm"/>
    <n v="751"/>
    <n v="719"/>
    <n v="84.25"/>
    <n v="63271.75"/>
    <n v="60575.75"/>
    <n v="-32"/>
    <n v="-4.2609853528628498E-2"/>
    <s v="Within BOQ"/>
    <n v="0"/>
  </r>
  <r>
    <x v="2"/>
    <s v="Civil &amp; Structure"/>
    <s v="Plastering"/>
    <s v="cum"/>
    <n v="2390"/>
    <n v="2283"/>
    <n v="70.489999999999995"/>
    <n v="168471.1"/>
    <n v="160928.66999999998"/>
    <n v="-107"/>
    <n v="-4.4769874476987451E-2"/>
    <s v="Within BOQ"/>
    <n v="0"/>
  </r>
  <r>
    <x v="2"/>
    <s v="Interior Fit-out"/>
    <s v="Painting"/>
    <s v="cum"/>
    <n v="2916"/>
    <n v="2772"/>
    <n v="18.38"/>
    <n v="53596.08"/>
    <n v="50949.36"/>
    <n v="-144"/>
    <n v="-4.9382716049382713E-2"/>
    <s v="Within BOQ"/>
    <n v="0"/>
  </r>
  <r>
    <x v="0"/>
    <s v="Civil &amp; Structure"/>
    <s v="Brickwork"/>
    <s v="set"/>
    <n v="1566"/>
    <n v="1466"/>
    <n v="149.03"/>
    <n v="233380.98"/>
    <n v="218477.98"/>
    <n v="-100"/>
    <n v="-6.3856960408684549E-2"/>
    <s v="Within BOQ"/>
    <n v="0"/>
  </r>
  <r>
    <x v="0"/>
    <s v="MEP - Electrical"/>
    <s v="HT Cables"/>
    <s v="nos"/>
    <n v="2841"/>
    <n v="2650"/>
    <n v="15.02"/>
    <n v="42671.82"/>
    <n v="39803"/>
    <n v="-191"/>
    <n v="-6.7229848644843368E-2"/>
    <s v="Within BOQ"/>
    <n v="0"/>
  </r>
  <r>
    <x v="2"/>
    <s v="MEP - HVAC"/>
    <s v="AHU Supply"/>
    <s v="kg"/>
    <n v="710"/>
    <n v="647"/>
    <n v="50.1"/>
    <n v="35571"/>
    <n v="32414.7"/>
    <n v="-63"/>
    <n v="-8.873239436619719E-2"/>
    <s v="Within BOQ"/>
    <n v="0"/>
  </r>
  <r>
    <x v="0"/>
    <s v="Civil &amp; Structure"/>
    <s v="RCC Slabs"/>
    <s v="sqm"/>
    <n v="2634"/>
    <n v="2380"/>
    <n v="109.49"/>
    <n v="288396.65999999997"/>
    <n v="260586.19999999998"/>
    <n v="-254"/>
    <n v="-9.6431283219438113E-2"/>
    <s v="Within BOQ"/>
    <n v="0"/>
  </r>
  <r>
    <x v="2"/>
    <s v="MEP - Plumbing"/>
    <s v="Sanitary Fixtures"/>
    <s v="kg"/>
    <n v="272"/>
    <n v="241"/>
    <n v="88.58"/>
    <n v="24093.759999999998"/>
    <n v="21347.78"/>
    <n v="-31"/>
    <n v="-0.11397058823529412"/>
    <s v="Within BOQ"/>
    <n v="0"/>
  </r>
  <r>
    <x v="0"/>
    <s v="Interior Fit-out"/>
    <s v="Flooring"/>
    <s v="sqm"/>
    <n v="4571"/>
    <n v="4039"/>
    <n v="5.52"/>
    <n v="25231.919999999998"/>
    <n v="22295.279999999999"/>
    <n v="-532"/>
    <n v="-0.11638591117917305"/>
    <s v="Within BOQ"/>
    <n v="0"/>
  </r>
  <r>
    <x v="1"/>
    <s v="MEP - HVAC"/>
    <s v="Insulation"/>
    <s v="nos"/>
    <n v="3085"/>
    <n v="2717"/>
    <n v="131.27000000000001"/>
    <n v="404967.95"/>
    <n v="356660.59"/>
    <n v="-368"/>
    <n v="-0.1192868719611021"/>
    <s v="Within BOQ"/>
    <n v="0"/>
  </r>
  <r>
    <x v="2"/>
    <s v="MEP - Plumbing"/>
    <s v="Drainage Piping"/>
    <s v="nos"/>
    <n v="1538"/>
    <n v="1342"/>
    <n v="78.930000000000007"/>
    <n v="121394.34"/>
    <n v="105924.06000000001"/>
    <n v="-196"/>
    <n v="-0.12743823146944083"/>
    <s v="Within BOQ"/>
    <n v="0"/>
  </r>
  <r>
    <x v="0"/>
    <s v="MEP - HVAC"/>
    <s v="Chilled Water Piping"/>
    <s v="sqm"/>
    <n v="2297"/>
    <n v="1999"/>
    <n v="15.63"/>
    <n v="35902.11"/>
    <n v="31244.370000000003"/>
    <n v="-298"/>
    <n v="-0.12973443622115804"/>
    <s v="Within BOQ"/>
    <n v="0"/>
  </r>
  <r>
    <x v="2"/>
    <s v="MEP - Plumbing"/>
    <s v="GI Piping"/>
    <s v="kg"/>
    <n v="4425"/>
    <n v="3814"/>
    <n v="81.83"/>
    <n v="362097.75"/>
    <n v="312099.62"/>
    <n v="-611"/>
    <n v="-0.13807909604519775"/>
    <s v="Within BOQ"/>
    <n v="0"/>
  </r>
  <r>
    <x v="2"/>
    <s v="MEP - Electrical"/>
    <s v="HT Cables"/>
    <s v="nos"/>
    <n v="3957"/>
    <n v="3373"/>
    <n v="73.59"/>
    <n v="291195.63"/>
    <n v="248219.07"/>
    <n v="-584"/>
    <n v="-0.14758655547131666"/>
    <s v="Within BOQ"/>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752612-1B44-470A-BA5C-FD372F2376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7:B11" firstHeaderRow="1" firstDataRow="1" firstDataCol="1"/>
  <pivotFields count="10">
    <pivotField showAll="0"/>
    <pivotField showAll="0"/>
    <pivotField showAll="0"/>
    <pivotField axis="axisRow" showAll="0">
      <items count="4">
        <item x="1"/>
        <item x="0"/>
        <item x="2"/>
        <item t="default"/>
      </items>
    </pivotField>
    <pivotField showAll="0"/>
    <pivotField showAll="0"/>
    <pivotField showAll="0"/>
    <pivotField showAll="0"/>
    <pivotField showAll="0"/>
    <pivotField dataField="1" numFmtId="10" showAll="0"/>
  </pivotFields>
  <rowFields count="1">
    <field x="3"/>
  </rowFields>
  <rowItems count="4">
    <i>
      <x/>
    </i>
    <i>
      <x v="1"/>
    </i>
    <i>
      <x v="2"/>
    </i>
    <i t="grand">
      <x/>
    </i>
  </rowItems>
  <colItems count="1">
    <i/>
  </colItems>
  <dataFields count="1">
    <dataField name="Average of Variance_%" fld="9" subtotal="average"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BF8DF1-7A70-4A25-B9DA-AA7C7D6342A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77:B96" firstHeaderRow="1" firstDataRow="1" firstDataCol="1"/>
  <pivotFields count="13">
    <pivotField showAll="0"/>
    <pivotField showAll="0"/>
    <pivotField axis="axisRow" showAll="0" sortType="ascending">
      <items count="19">
        <item x="10"/>
        <item x="13"/>
        <item x="7"/>
        <item x="15"/>
        <item x="12"/>
        <item x="4"/>
        <item x="8"/>
        <item x="9"/>
        <item x="5"/>
        <item x="17"/>
        <item x="11"/>
        <item x="1"/>
        <item x="3"/>
        <item x="6"/>
        <item x="0"/>
        <item x="16"/>
        <item x="2"/>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0" showAll="0"/>
    <pivotField showAll="0"/>
    <pivotField showAll="0"/>
    <pivotField showAll="0"/>
  </pivotFields>
  <rowFields count="1">
    <field x="2"/>
  </rowFields>
  <rowItems count="19">
    <i>
      <x v="9"/>
    </i>
    <i>
      <x v="15"/>
    </i>
    <i>
      <x v="1"/>
    </i>
    <i>
      <x v="4"/>
    </i>
    <i>
      <x/>
    </i>
    <i>
      <x v="10"/>
    </i>
    <i>
      <x v="13"/>
    </i>
    <i>
      <x v="8"/>
    </i>
    <i>
      <x v="6"/>
    </i>
    <i>
      <x v="7"/>
    </i>
    <i>
      <x v="14"/>
    </i>
    <i>
      <x v="5"/>
    </i>
    <i>
      <x v="12"/>
    </i>
    <i>
      <x v="17"/>
    </i>
    <i>
      <x v="11"/>
    </i>
    <i>
      <x v="2"/>
    </i>
    <i>
      <x v="3"/>
    </i>
    <i>
      <x v="16"/>
    </i>
    <i t="grand">
      <x/>
    </i>
  </rowItems>
  <colItems count="1">
    <i/>
  </colItems>
  <dataFields count="1">
    <dataField name="Average of Variance_%" fld="9" subtotal="average"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487905-BB90-4AFD-B9E6-CBF3A1AC10F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L60" firstHeaderRow="1" firstDataRow="2" firstDataCol="1"/>
  <pivotFields count="11">
    <pivotField showAll="0"/>
    <pivotField showAll="0"/>
    <pivotField showAll="0"/>
    <pivotField axis="axisRow" showAll="0">
      <items count="4">
        <item x="0"/>
        <item x="1"/>
        <item x="2"/>
        <item t="default"/>
      </items>
    </pivotField>
    <pivotField axis="axisCol" showAll="0">
      <items count="11">
        <item x="6"/>
        <item x="4"/>
        <item x="5"/>
        <item x="7"/>
        <item x="3"/>
        <item x="1"/>
        <item x="8"/>
        <item x="0"/>
        <item x="9"/>
        <item x="2"/>
        <item t="default"/>
      </items>
    </pivotField>
    <pivotField showAll="0"/>
    <pivotField showAll="0"/>
    <pivotField showAll="0"/>
    <pivotField showAll="0"/>
    <pivotField dataField="1" numFmtId="10" showAll="0"/>
    <pivotField showAll="0"/>
  </pivotFields>
  <rowFields count="1">
    <field x="3"/>
  </rowFields>
  <rowItems count="4">
    <i>
      <x/>
    </i>
    <i>
      <x v="1"/>
    </i>
    <i>
      <x v="2"/>
    </i>
    <i t="grand">
      <x/>
    </i>
  </rowItems>
  <colFields count="1">
    <field x="4"/>
  </colFields>
  <colItems count="11">
    <i>
      <x/>
    </i>
    <i>
      <x v="1"/>
    </i>
    <i>
      <x v="2"/>
    </i>
    <i>
      <x v="3"/>
    </i>
    <i>
      <x v="4"/>
    </i>
    <i>
      <x v="5"/>
    </i>
    <i>
      <x v="6"/>
    </i>
    <i>
      <x v="7"/>
    </i>
    <i>
      <x v="8"/>
    </i>
    <i>
      <x v="9"/>
    </i>
    <i t="grand">
      <x/>
    </i>
  </colItems>
  <dataFields count="1">
    <dataField name="Average of Variance_%" fld="9" subtotal="average"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9AB560-76E8-4C39-81A7-ECA9908B679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Type" fieldListSortAscending="1">
  <location ref="A18:E29" firstHeaderRow="0" firstDataRow="1" firstDataCol="1"/>
  <pivotFields count="10">
    <pivotField showAll="0"/>
    <pivotField showAll="0"/>
    <pivotField showAll="0"/>
    <pivotField showAll="0"/>
    <pivotField axis="axisRow" showAll="0">
      <items count="11">
        <item x="0"/>
        <item x="2"/>
        <item x="3"/>
        <item x="5"/>
        <item x="4"/>
        <item x="1"/>
        <item x="8"/>
        <item x="9"/>
        <item x="7"/>
        <item x="6"/>
        <item t="default"/>
      </items>
    </pivotField>
    <pivotField dataField="1" showAll="0"/>
    <pivotField dataField="1" showAll="0"/>
    <pivotField showAll="0"/>
    <pivotField dataField="1" showAll="0"/>
    <pivotField dataField="1" numFmtId="10" showAll="0"/>
  </pivotFields>
  <rowFields count="1">
    <field x="4"/>
  </rowFields>
  <rowItems count="11">
    <i>
      <x/>
    </i>
    <i>
      <x v="1"/>
    </i>
    <i>
      <x v="2"/>
    </i>
    <i>
      <x v="3"/>
    </i>
    <i>
      <x v="4"/>
    </i>
    <i>
      <x v="5"/>
    </i>
    <i>
      <x v="6"/>
    </i>
    <i>
      <x v="7"/>
    </i>
    <i>
      <x v="8"/>
    </i>
    <i>
      <x v="9"/>
    </i>
    <i t="grand">
      <x/>
    </i>
  </rowItems>
  <colFields count="1">
    <field x="-2"/>
  </colFields>
  <colItems count="4">
    <i>
      <x/>
    </i>
    <i i="1">
      <x v="1"/>
    </i>
    <i i="2">
      <x v="2"/>
    </i>
    <i i="3">
      <x v="3"/>
    </i>
  </colItems>
  <dataFields count="4">
    <dataField name="Total Budget" fld="5" baseField="4" baseItem="0"/>
    <dataField name="Actual Cost" fld="6" baseField="4" baseItem="0"/>
    <dataField name="Total Variance" fld="8" baseField="4" baseItem="0"/>
    <dataField name="Average of Variance_%" fld="9" subtotal="average" baseField="4" baseItem="0" numFmtId="10"/>
  </dataFields>
  <conditionalFormats count="2">
    <conditionalFormat type="all" priority="2">
      <pivotAreas count="1">
        <pivotArea type="data" collapsedLevelsAreSubtotals="1" fieldPosition="0">
          <references count="2">
            <reference field="4294967294" count="1" selected="0">
              <x v="3"/>
            </reference>
            <reference field="4" count="10">
              <x v="0"/>
              <x v="1"/>
              <x v="2"/>
              <x v="3"/>
              <x v="4"/>
              <x v="5"/>
              <x v="6"/>
              <x v="7"/>
              <x v="8"/>
              <x v="9"/>
            </reference>
          </references>
        </pivotArea>
      </pivotAreas>
    </conditionalFormat>
    <conditionalFormat type="all" priority="1">
      <pivotAreas count="1">
        <pivotArea type="data" collapsedLevelsAreSubtotals="1" fieldPosition="0">
          <references count="2">
            <reference field="4294967294" count="1" selected="0">
              <x v="2"/>
            </reference>
            <reference field="4"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1291EB-83D1-46A1-90D4-815C3F93AF2A}"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terials">
  <location ref="A93:B109" firstHeaderRow="1" firstDataRow="1" firstDataCol="1"/>
  <pivotFields count="9">
    <pivotField showAll="0"/>
    <pivotField axis="axisRow" showAll="0" sortType="descending">
      <items count="16">
        <item x="8"/>
        <item x="2"/>
        <item x="3"/>
        <item x="1"/>
        <item x="12"/>
        <item x="11"/>
        <item x="9"/>
        <item x="13"/>
        <item x="5"/>
        <item x="10"/>
        <item x="6"/>
        <item x="7"/>
        <item x="4"/>
        <item x="1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0" showAll="0"/>
    <pivotField showAll="0"/>
  </pivotFields>
  <rowFields count="1">
    <field x="1"/>
  </rowFields>
  <rowItems count="16">
    <i>
      <x v="9"/>
    </i>
    <i>
      <x/>
    </i>
    <i>
      <x v="3"/>
    </i>
    <i>
      <x v="1"/>
    </i>
    <i>
      <x v="6"/>
    </i>
    <i>
      <x v="10"/>
    </i>
    <i>
      <x v="7"/>
    </i>
    <i>
      <x v="12"/>
    </i>
    <i>
      <x v="2"/>
    </i>
    <i>
      <x v="11"/>
    </i>
    <i>
      <x v="5"/>
    </i>
    <i>
      <x v="13"/>
    </i>
    <i>
      <x v="8"/>
    </i>
    <i>
      <x v="14"/>
    </i>
    <i>
      <x v="4"/>
    </i>
    <i t="grand">
      <x/>
    </i>
  </rowItems>
  <colItems count="1">
    <i/>
  </colItems>
  <dataFields count="1">
    <dataField name="Average of Price_Change_%" fld="7"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AFFE7D-D3CF-4130-8B09-68B830EBB1A4}"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2:B88" firstHeaderRow="1" firstDataRow="1" firstDataCol="1"/>
  <pivotFields count="9">
    <pivotField showAll="0"/>
    <pivotField axis="axisRow" showAll="0" sortType="descending">
      <items count="16">
        <item x="8"/>
        <item x="2"/>
        <item x="3"/>
        <item x="1"/>
        <item x="12"/>
        <item x="11"/>
        <item x="9"/>
        <item x="13"/>
        <item x="5"/>
        <item x="10"/>
        <item x="6"/>
        <item x="7"/>
        <item x="4"/>
        <item x="1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10" showAll="0"/>
    <pivotField showAll="0"/>
  </pivotFields>
  <rowFields count="1">
    <field x="1"/>
  </rowFields>
  <rowItems count="16">
    <i>
      <x v="14"/>
    </i>
    <i>
      <x v="3"/>
    </i>
    <i>
      <x v="1"/>
    </i>
    <i>
      <x v="2"/>
    </i>
    <i>
      <x v="12"/>
    </i>
    <i>
      <x v="8"/>
    </i>
    <i>
      <x v="10"/>
    </i>
    <i>
      <x v="11"/>
    </i>
    <i>
      <x/>
    </i>
    <i>
      <x v="6"/>
    </i>
    <i>
      <x v="9"/>
    </i>
    <i>
      <x v="5"/>
    </i>
    <i>
      <x v="4"/>
    </i>
    <i>
      <x v="7"/>
    </i>
    <i>
      <x v="13"/>
    </i>
    <i t="grand">
      <x/>
    </i>
  </rowItems>
  <colItems count="1">
    <i/>
  </colItems>
  <dataFields count="1">
    <dataField name="Max of Price_Change_%" fld="7" subtotal="max"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C9535B-A1F5-4EEE-B8BD-B3983383B542}"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62:B66" firstHeaderRow="1" firstDataRow="1" firstDataCol="1"/>
  <pivotFields count="8">
    <pivotField showAll="0"/>
    <pivotField showAll="0"/>
    <pivotField showAll="0"/>
    <pivotField showAll="0"/>
    <pivotField showAll="0"/>
    <pivotField showAll="0"/>
    <pivotField axis="axisRow" showAll="0">
      <items count="4">
        <item x="1"/>
        <item x="2"/>
        <item x="0"/>
        <item t="default"/>
      </items>
    </pivotField>
    <pivotField dataField="1" numFmtId="10" showAll="0"/>
  </pivotFields>
  <rowFields count="1">
    <field x="6"/>
  </rowFields>
  <rowItems count="4">
    <i>
      <x/>
    </i>
    <i>
      <x v="1"/>
    </i>
    <i>
      <x v="2"/>
    </i>
    <i t="grand">
      <x/>
    </i>
  </rowItems>
  <colItems count="1">
    <i/>
  </colItems>
  <dataFields count="1">
    <dataField name="StdDev of Price_Change_%" fld="7" subtotal="stdDev"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E7BE5F-F83D-4793-9B06-A338B4645AAE}" name="PivotTable5" cacheId="3" applyNumberFormats="0" applyBorderFormats="0" applyFontFormats="0" applyPatternFormats="0" applyAlignmentFormats="0" applyWidthHeightFormats="1" dataCaption="Values" missingCaption="1" updatedVersion="8" minRefreshableVersion="3" useAutoFormatting="1" itemPrintTitles="1" createdVersion="8" indent="0" outline="1" outlineData="1" multipleFieldFilters="0" chartFormat="5" rowHeaderCaption="Month timeline" colHeaderCaption="Material Filter">
  <location ref="A29:D41" firstHeaderRow="1" firstDataRow="2" firstDataCol="1"/>
  <pivotFields count="8">
    <pivotField axis="axisRow" showAll="0">
      <items count="19">
        <item x="0"/>
        <item x="1"/>
        <item x="2"/>
        <item x="3"/>
        <item x="4"/>
        <item x="5"/>
        <item x="6"/>
        <item x="7"/>
        <item x="8"/>
        <item x="9"/>
        <item x="10"/>
        <item x="11"/>
        <item x="12"/>
        <item x="13"/>
        <item x="14"/>
        <item x="15"/>
        <item x="16"/>
        <item x="17"/>
        <item t="default"/>
      </items>
    </pivotField>
    <pivotField axis="axisCol" showAll="0">
      <items count="16">
        <item h="1" x="13"/>
        <item h="1" x="3"/>
        <item h="1" x="8"/>
        <item x="1"/>
        <item h="1" x="6"/>
        <item h="1" x="0"/>
        <item h="1" x="14"/>
        <item h="1" x="4"/>
        <item h="1" x="7"/>
        <item h="1" x="12"/>
        <item h="1" x="5"/>
        <item h="1" x="9"/>
        <item h="1" x="11"/>
        <item x="10"/>
        <item h="1" x="2"/>
        <item t="default"/>
      </items>
    </pivotField>
    <pivotField showAll="0"/>
    <pivotField showAll="0"/>
    <pivotField dataField="1" showAll="0"/>
    <pivotField showAll="0"/>
    <pivotField showAll="0"/>
    <pivotField numFmtId="10" showAll="0"/>
  </pivotFields>
  <rowFields count="1">
    <field x="0"/>
  </rowFields>
  <rowItems count="11">
    <i>
      <x/>
    </i>
    <i>
      <x v="1"/>
    </i>
    <i>
      <x v="2"/>
    </i>
    <i>
      <x v="5"/>
    </i>
    <i>
      <x v="8"/>
    </i>
    <i>
      <x v="11"/>
    </i>
    <i>
      <x v="12"/>
    </i>
    <i>
      <x v="13"/>
    </i>
    <i>
      <x v="16"/>
    </i>
    <i>
      <x v="17"/>
    </i>
    <i t="grand">
      <x/>
    </i>
  </rowItems>
  <colFields count="1">
    <field x="1"/>
  </colFields>
  <colItems count="3">
    <i>
      <x v="3"/>
    </i>
    <i>
      <x v="13"/>
    </i>
    <i t="grand">
      <x/>
    </i>
  </colItems>
  <dataFields count="1">
    <dataField name="Average of Current_Price_USD" fld="4" subtotal="average" baseField="0" baseItem="2"/>
  </dataFields>
  <chartFormats count="2">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76AF65-2C51-4E10-A55B-C3F730137307}"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terials">
  <location ref="A7:B23" firstHeaderRow="1" firstDataRow="1" firstDataCol="1"/>
  <pivotFields count="8">
    <pivotField showAll="0"/>
    <pivotField axis="axisRow" showAll="0">
      <items count="16">
        <item x="13"/>
        <item x="3"/>
        <item x="8"/>
        <item x="1"/>
        <item x="6"/>
        <item x="0"/>
        <item x="14"/>
        <item x="4"/>
        <item x="7"/>
        <item x="12"/>
        <item x="5"/>
        <item x="9"/>
        <item x="11"/>
        <item x="10"/>
        <item x="2"/>
        <item t="default"/>
      </items>
    </pivotField>
    <pivotField showAll="0"/>
    <pivotField showAll="0"/>
    <pivotField showAll="0"/>
    <pivotField showAll="0"/>
    <pivotField showAll="0"/>
    <pivotField dataField="1" numFmtId="10"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Price_Change_%" fld="7" subtotal="average" baseField="1" baseItem="0" numFmtId="10"/>
  </dataFields>
  <conditionalFormats count="1">
    <conditionalFormat type="all" priority="1">
      <pivotAreas count="1">
        <pivotArea type="data" collapsedLevelsAreSubtotals="1" fieldPosition="0">
          <references count="2">
            <reference field="4294967294" count="1" selected="0">
              <x v="0"/>
            </reference>
            <reference field="1"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13FB37-51EE-4EAB-A06F-10C6795869FC}" name="PivotTable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colHeaderCaption="TMT Steel Material">
  <location ref="A114:C120" firstHeaderRow="1" firstDataRow="2" firstDataCol="1"/>
  <pivotFields count="9">
    <pivotField axis="axisRow" showAll="0">
      <items count="19">
        <item x="15"/>
        <item x="5"/>
        <item x="3"/>
        <item x="0"/>
        <item x="4"/>
        <item x="12"/>
        <item x="9"/>
        <item x="16"/>
        <item x="1"/>
        <item x="11"/>
        <item x="6"/>
        <item x="17"/>
        <item x="2"/>
        <item x="13"/>
        <item x="8"/>
        <item x="10"/>
        <item x="7"/>
        <item x="14"/>
        <item t="default"/>
      </items>
    </pivotField>
    <pivotField axis="axisCol" showAll="0">
      <items count="16">
        <item h="1" x="8"/>
        <item h="1" x="2"/>
        <item h="1" x="3"/>
        <item h="1" x="1"/>
        <item h="1" x="12"/>
        <item h="1" x="11"/>
        <item h="1" x="9"/>
        <item h="1" x="13"/>
        <item h="1" x="5"/>
        <item h="1" x="10"/>
        <item h="1" x="6"/>
        <item h="1" x="7"/>
        <item h="1" x="4"/>
        <item x="14"/>
        <item h="1" x="0"/>
        <item t="default"/>
      </items>
    </pivotField>
    <pivotField showAll="0"/>
    <pivotField showAll="0"/>
    <pivotField dataField="1" showAll="0"/>
    <pivotField showAll="0"/>
    <pivotField showAll="0"/>
    <pivotField numFmtId="10" showAll="0"/>
    <pivotField showAll="0"/>
  </pivotFields>
  <rowFields count="1">
    <field x="0"/>
  </rowFields>
  <rowItems count="5">
    <i>
      <x v="2"/>
    </i>
    <i>
      <x v="12"/>
    </i>
    <i>
      <x v="13"/>
    </i>
    <i>
      <x v="17"/>
    </i>
    <i t="grand">
      <x/>
    </i>
  </rowItems>
  <colFields count="1">
    <field x="1"/>
  </colFields>
  <colItems count="2">
    <i>
      <x v="13"/>
    </i>
    <i t="grand">
      <x/>
    </i>
  </colItems>
  <dataFields count="1">
    <dataField name="Average of Current_Price_USD"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FBF821-4A86-4A1C-A7BB-A252579EC3D6}"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ID">
  <location ref="A7:C11" firstHeaderRow="0" firstDataRow="1" firstDataCol="1"/>
  <pivotFields count="11">
    <pivotField axis="axisRow" showAll="0">
      <items count="4">
        <item x="0"/>
        <item x="2"/>
        <item x="1"/>
        <item t="default"/>
      </items>
    </pivotField>
    <pivotField showAll="0"/>
    <pivotField showAll="0"/>
    <pivotField showAll="0"/>
    <pivotField showAll="0"/>
    <pivotField showAll="0"/>
    <pivotField showAll="0"/>
    <pivotField dataField="1" numFmtId="2" showAll="0"/>
    <pivotField dataField="1" showAll="0"/>
    <pivotField showAll="0"/>
    <pivotField numFmtId="10" showAll="0"/>
  </pivotFields>
  <rowFields count="1">
    <field x="0"/>
  </rowFields>
  <rowItems count="4">
    <i>
      <x/>
    </i>
    <i>
      <x v="1"/>
    </i>
    <i>
      <x v="2"/>
    </i>
    <i t="grand">
      <x/>
    </i>
  </rowItems>
  <colFields count="1">
    <field x="-2"/>
  </colFields>
  <colItems count="2">
    <i>
      <x/>
    </i>
    <i i="1">
      <x v="1"/>
    </i>
  </colItems>
  <dataFields count="2">
    <dataField name="Sum of BOQ_Amount_USD" fld="7" baseField="0" baseItem="0" numFmtId="2"/>
    <dataField name="Sum of Actual_Amount_US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FBA9A2-73DC-49E3-84D4-946B5B3392BB}"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ID">
  <location ref="A45:B49" firstHeaderRow="1" firstDataRow="1" firstDataCol="1"/>
  <pivotFields count="13">
    <pivotField axis="axisRow" showAll="0">
      <items count="4">
        <item x="2"/>
        <item x="0"/>
        <item x="1"/>
        <item t="default"/>
      </items>
    </pivotField>
    <pivotField showAll="0"/>
    <pivotField showAll="0"/>
    <pivotField showAll="0"/>
    <pivotField showAll="0"/>
    <pivotField showAll="0"/>
    <pivotField showAll="0"/>
    <pivotField numFmtId="2" showAll="0"/>
    <pivotField showAll="0"/>
    <pivotField showAll="0"/>
    <pivotField numFmtId="10" showAll="0"/>
    <pivotField showAll="0"/>
    <pivotField dataField="1" showAll="0"/>
  </pivotFields>
  <rowFields count="1">
    <field x="0"/>
  </rowFields>
  <rowItems count="4">
    <i>
      <x/>
    </i>
    <i>
      <x v="1"/>
    </i>
    <i>
      <x v="2"/>
    </i>
    <i t="grand">
      <x/>
    </i>
  </rowItems>
  <colItems count="1">
    <i/>
  </colItems>
  <dataFields count="1">
    <dataField name="Sum of Overrun_Imapact_US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208BE0-3566-450E-90D4-14D084DD7A99}"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Project ID">
  <location ref="A19:E26" firstHeaderRow="1" firstDataRow="2" firstDataCol="1"/>
  <pivotFields count="12">
    <pivotField axis="axisCol" showAll="0">
      <items count="4">
        <item x="0"/>
        <item x="2"/>
        <item x="1"/>
        <item t="default"/>
      </items>
    </pivotField>
    <pivotField axis="axisRow" showAll="0">
      <items count="6">
        <item x="0"/>
        <item x="4"/>
        <item x="2"/>
        <item x="1"/>
        <item x="3"/>
        <item t="default"/>
      </items>
    </pivotField>
    <pivotField showAll="0"/>
    <pivotField showAll="0"/>
    <pivotField showAll="0"/>
    <pivotField showAll="0"/>
    <pivotField showAll="0"/>
    <pivotField numFmtId="2" showAll="0"/>
    <pivotField showAll="0"/>
    <pivotField dataField="1" showAll="0"/>
    <pivotField numFmtId="10" showAll="0"/>
    <pivotField showAll="0"/>
  </pivotFields>
  <rowFields count="1">
    <field x="1"/>
  </rowFields>
  <rowItems count="6">
    <i>
      <x/>
    </i>
    <i>
      <x v="1"/>
    </i>
    <i>
      <x v="2"/>
    </i>
    <i>
      <x v="3"/>
    </i>
    <i>
      <x v="4"/>
    </i>
    <i t="grand">
      <x/>
    </i>
  </rowItems>
  <colFields count="1">
    <field x="0"/>
  </colFields>
  <colItems count="4">
    <i>
      <x/>
    </i>
    <i>
      <x v="1"/>
    </i>
    <i>
      <x v="2"/>
    </i>
    <i t="grand">
      <x/>
    </i>
  </colItems>
  <dataFields count="1">
    <dataField name="Sum of Qty_Varian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F7C08E4-B1AA-457A-B0B5-7DD6C1B1F20A}">
  <we:reference id="wa200009404" version="1.0.0.8" store="en-US" storeType="OMEX"/>
  <we:alternateReferences>
    <we:reference id="wa200009404" version="1.0.0.8" store="" storeType="OMEX"/>
  </we:alternateReferences>
  <we:properties>
    <we:property name="claude.fileId" value="&quot;bc77bc1f-745b-4d86-a218-156b1f14db49&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E24"/>
  <sheetViews>
    <sheetView zoomScale="53" zoomScaleNormal="100" workbookViewId="0">
      <selection sqref="A1:E1"/>
    </sheetView>
  </sheetViews>
  <sheetFormatPr defaultColWidth="8.6640625" defaultRowHeight="14.4"/>
  <cols>
    <col min="1" max="1" width="5" customWidth="1"/>
    <col min="2" max="2" width="42" customWidth="1"/>
    <col min="3" max="3" width="24" customWidth="1"/>
    <col min="4" max="4" width="22" customWidth="1"/>
    <col min="5" max="5" width="14" customWidth="1"/>
  </cols>
  <sheetData>
    <row r="1" spans="1:5" ht="21">
      <c r="A1" s="94" t="s">
        <v>0</v>
      </c>
      <c r="B1" s="94"/>
      <c r="C1" s="94"/>
      <c r="D1" s="94"/>
      <c r="E1" s="94"/>
    </row>
    <row r="2" spans="1:5">
      <c r="A2" s="95" t="s">
        <v>1</v>
      </c>
      <c r="B2" s="95"/>
      <c r="C2" s="95"/>
      <c r="D2" s="95"/>
      <c r="E2" s="95"/>
    </row>
    <row r="4" spans="1:5" ht="26.4">
      <c r="A4" s="1" t="s">
        <v>2</v>
      </c>
      <c r="B4" s="1" t="s">
        <v>3</v>
      </c>
      <c r="C4" s="1" t="s">
        <v>4</v>
      </c>
      <c r="D4" s="1" t="s">
        <v>5</v>
      </c>
      <c r="E4" s="1" t="s">
        <v>6</v>
      </c>
    </row>
    <row r="5" spans="1:5">
      <c r="A5" s="2">
        <v>1</v>
      </c>
      <c r="B5" s="2" t="s">
        <v>7</v>
      </c>
      <c r="C5" s="2" t="s">
        <v>8</v>
      </c>
      <c r="D5" s="2" t="s">
        <v>9</v>
      </c>
      <c r="E5" s="2">
        <v>50</v>
      </c>
    </row>
    <row r="6" spans="1:5">
      <c r="A6" s="3">
        <v>2</v>
      </c>
      <c r="B6" s="3" t="s">
        <v>10</v>
      </c>
      <c r="C6" s="3" t="s">
        <v>11</v>
      </c>
      <c r="D6" s="3" t="s">
        <v>12</v>
      </c>
      <c r="E6" s="3">
        <v>90</v>
      </c>
    </row>
    <row r="7" spans="1:5">
      <c r="A7" s="2">
        <v>3</v>
      </c>
      <c r="B7" s="2" t="s">
        <v>13</v>
      </c>
      <c r="C7" s="2" t="s">
        <v>14</v>
      </c>
      <c r="D7" s="2" t="s">
        <v>15</v>
      </c>
      <c r="E7" s="2">
        <v>60</v>
      </c>
    </row>
    <row r="8" spans="1:5">
      <c r="A8" s="3">
        <v>4</v>
      </c>
      <c r="B8" s="3" t="s">
        <v>16</v>
      </c>
      <c r="C8" s="3" t="s">
        <v>17</v>
      </c>
      <c r="D8" s="3" t="s">
        <v>18</v>
      </c>
      <c r="E8" s="3">
        <v>80</v>
      </c>
    </row>
    <row r="9" spans="1:5">
      <c r="A9" s="2">
        <v>5</v>
      </c>
      <c r="B9" s="2" t="s">
        <v>19</v>
      </c>
      <c r="C9" s="2" t="s">
        <v>20</v>
      </c>
      <c r="D9" s="2" t="s">
        <v>21</v>
      </c>
      <c r="E9" s="2">
        <v>40</v>
      </c>
    </row>
    <row r="10" spans="1:5">
      <c r="A10" s="3">
        <v>6</v>
      </c>
      <c r="B10" s="3" t="s">
        <v>22</v>
      </c>
      <c r="C10" s="3" t="s">
        <v>23</v>
      </c>
      <c r="D10" s="3" t="s">
        <v>24</v>
      </c>
      <c r="E10" s="3">
        <v>60</v>
      </c>
    </row>
    <row r="11" spans="1:5">
      <c r="A11" s="2">
        <v>7</v>
      </c>
      <c r="B11" s="2" t="s">
        <v>25</v>
      </c>
      <c r="C11" s="2" t="s">
        <v>26</v>
      </c>
      <c r="D11" s="2" t="s">
        <v>27</v>
      </c>
      <c r="E11" s="2">
        <v>48</v>
      </c>
    </row>
    <row r="12" spans="1:5">
      <c r="A12" s="3">
        <v>8</v>
      </c>
      <c r="B12" s="3" t="s">
        <v>28</v>
      </c>
      <c r="C12" s="3" t="s">
        <v>29</v>
      </c>
      <c r="D12" s="3" t="s">
        <v>30</v>
      </c>
      <c r="E12" s="3">
        <v>45</v>
      </c>
    </row>
    <row r="13" spans="1:5">
      <c r="A13" s="2">
        <v>9</v>
      </c>
      <c r="B13" s="2" t="s">
        <v>31</v>
      </c>
      <c r="C13" s="2" t="s">
        <v>32</v>
      </c>
      <c r="D13" s="2" t="s">
        <v>33</v>
      </c>
      <c r="E13" s="2">
        <v>30</v>
      </c>
    </row>
    <row r="14" spans="1:5">
      <c r="A14" s="3">
        <v>10</v>
      </c>
      <c r="B14" s="3" t="s">
        <v>34</v>
      </c>
      <c r="C14" s="3" t="s">
        <v>35</v>
      </c>
      <c r="D14" s="3" t="s">
        <v>36</v>
      </c>
      <c r="E14" s="3">
        <v>40</v>
      </c>
    </row>
    <row r="15" spans="1:5">
      <c r="A15" s="2">
        <v>11</v>
      </c>
      <c r="B15" s="2" t="s">
        <v>37</v>
      </c>
      <c r="C15" s="2" t="s">
        <v>38</v>
      </c>
      <c r="D15" s="2" t="s">
        <v>39</v>
      </c>
      <c r="E15" s="2">
        <v>35</v>
      </c>
    </row>
    <row r="16" spans="1:5">
      <c r="A16" s="3">
        <v>12</v>
      </c>
      <c r="B16" s="3" t="s">
        <v>40</v>
      </c>
      <c r="C16" s="3" t="s">
        <v>41</v>
      </c>
      <c r="D16" s="3" t="s">
        <v>42</v>
      </c>
      <c r="E16" s="3">
        <v>36</v>
      </c>
    </row>
    <row r="17" spans="1:5">
      <c r="A17" s="2">
        <v>13</v>
      </c>
      <c r="B17" s="2" t="s">
        <v>43</v>
      </c>
      <c r="C17" s="2" t="s">
        <v>44</v>
      </c>
      <c r="D17" s="2" t="s">
        <v>45</v>
      </c>
      <c r="E17" s="2">
        <v>60</v>
      </c>
    </row>
    <row r="18" spans="1:5">
      <c r="A18" s="3">
        <v>14</v>
      </c>
      <c r="B18" s="3" t="s">
        <v>46</v>
      </c>
      <c r="C18" s="3" t="s">
        <v>47</v>
      </c>
      <c r="D18" s="3" t="s">
        <v>48</v>
      </c>
      <c r="E18" s="3">
        <v>50</v>
      </c>
    </row>
    <row r="19" spans="1:5">
      <c r="A19" s="2">
        <v>15</v>
      </c>
      <c r="B19" s="2" t="s">
        <v>49</v>
      </c>
      <c r="C19" s="2" t="s">
        <v>50</v>
      </c>
      <c r="D19" s="2" t="s">
        <v>51</v>
      </c>
      <c r="E19" s="2">
        <v>40</v>
      </c>
    </row>
    <row r="20" spans="1:5">
      <c r="A20" s="3">
        <v>16</v>
      </c>
      <c r="B20" s="3" t="s">
        <v>52</v>
      </c>
      <c r="C20" s="3" t="s">
        <v>53</v>
      </c>
      <c r="D20" s="3" t="s">
        <v>54</v>
      </c>
      <c r="E20" s="3">
        <v>50</v>
      </c>
    </row>
    <row r="21" spans="1:5">
      <c r="A21" s="2">
        <v>17</v>
      </c>
      <c r="B21" s="2" t="s">
        <v>55</v>
      </c>
      <c r="C21" s="2" t="s">
        <v>56</v>
      </c>
      <c r="D21" s="2" t="s">
        <v>57</v>
      </c>
      <c r="E21" s="2">
        <v>70</v>
      </c>
    </row>
    <row r="22" spans="1:5">
      <c r="A22" s="3">
        <v>18</v>
      </c>
      <c r="B22" s="3" t="s">
        <v>58</v>
      </c>
      <c r="C22" s="3" t="s">
        <v>59</v>
      </c>
      <c r="D22" s="3" t="s">
        <v>60</v>
      </c>
      <c r="E22" s="3">
        <v>30</v>
      </c>
    </row>
    <row r="23" spans="1:5">
      <c r="A23" s="2">
        <v>19</v>
      </c>
      <c r="B23" s="2" t="s">
        <v>61</v>
      </c>
      <c r="C23" s="2" t="s">
        <v>62</v>
      </c>
      <c r="D23" s="2" t="s">
        <v>63</v>
      </c>
      <c r="E23" s="2">
        <v>40</v>
      </c>
    </row>
    <row r="24" spans="1:5">
      <c r="A24" s="3">
        <v>20</v>
      </c>
      <c r="B24" s="3" t="s">
        <v>64</v>
      </c>
      <c r="C24" s="3" t="s">
        <v>65</v>
      </c>
      <c r="D24" s="3" t="s">
        <v>66</v>
      </c>
      <c r="E24" s="3">
        <v>25</v>
      </c>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E52C7-061E-4358-A9BB-656FA9BA0B8C}">
  <dimension ref="A2:G114"/>
  <sheetViews>
    <sheetView topLeftCell="A89" workbookViewId="0">
      <selection activeCell="A2" sqref="A2:G114"/>
    </sheetView>
  </sheetViews>
  <sheetFormatPr defaultRowHeight="14.4"/>
  <cols>
    <col min="1" max="1" width="10.88671875" bestFit="1" customWidth="1"/>
    <col min="2" max="2" width="78.88671875" bestFit="1" customWidth="1"/>
  </cols>
  <sheetData>
    <row r="2" spans="1:7">
      <c r="A2" t="s">
        <v>5</v>
      </c>
      <c r="B2" t="s">
        <v>9</v>
      </c>
    </row>
    <row r="3" spans="1:7">
      <c r="B3" s="96" t="s">
        <v>210</v>
      </c>
      <c r="C3" s="96"/>
      <c r="D3" s="96"/>
      <c r="E3" s="96"/>
      <c r="F3" s="96"/>
      <c r="G3" s="96"/>
    </row>
    <row r="4" spans="1:7">
      <c r="B4" s="96" t="s">
        <v>211</v>
      </c>
      <c r="C4" s="96"/>
      <c r="D4" s="96"/>
      <c r="E4" s="96"/>
      <c r="F4" s="96"/>
      <c r="G4" s="96"/>
    </row>
    <row r="5" spans="1:7">
      <c r="B5" s="96" t="s">
        <v>212</v>
      </c>
      <c r="C5" s="96"/>
      <c r="D5" s="96"/>
      <c r="E5" s="96"/>
      <c r="F5" s="96"/>
      <c r="G5" s="96"/>
    </row>
    <row r="6" spans="1:7">
      <c r="B6" s="96" t="s">
        <v>213</v>
      </c>
      <c r="C6" s="96"/>
      <c r="D6" s="96"/>
      <c r="E6" s="96"/>
      <c r="F6" s="96"/>
      <c r="G6" s="96"/>
    </row>
    <row r="7" spans="1:7">
      <c r="B7" s="96" t="s">
        <v>214</v>
      </c>
      <c r="C7" s="96"/>
      <c r="D7" s="96"/>
      <c r="E7" s="96"/>
      <c r="F7" s="96"/>
      <c r="G7" s="96"/>
    </row>
    <row r="8" spans="1:7">
      <c r="B8" s="96" t="s">
        <v>215</v>
      </c>
      <c r="C8" s="96"/>
      <c r="D8" s="96"/>
      <c r="E8" s="96"/>
      <c r="F8" s="96"/>
      <c r="G8" s="96"/>
    </row>
    <row r="9" spans="1:7">
      <c r="B9" s="96" t="s">
        <v>216</v>
      </c>
      <c r="C9" s="96"/>
      <c r="D9" s="96"/>
      <c r="E9" s="96"/>
      <c r="F9" s="96"/>
      <c r="G9" s="96"/>
    </row>
    <row r="11" spans="1:7">
      <c r="A11" t="s">
        <v>5</v>
      </c>
      <c r="B11" t="s">
        <v>12</v>
      </c>
    </row>
    <row r="12" spans="1:7">
      <c r="B12" s="96" t="s">
        <v>266</v>
      </c>
      <c r="C12" s="96"/>
      <c r="D12" s="96"/>
      <c r="E12" s="96"/>
      <c r="F12" s="96"/>
      <c r="G12" s="96"/>
    </row>
    <row r="13" spans="1:7">
      <c r="B13" s="96" t="s">
        <v>267</v>
      </c>
      <c r="C13" s="96"/>
      <c r="D13" s="96"/>
      <c r="E13" s="96"/>
      <c r="F13" s="96"/>
      <c r="G13" s="96"/>
    </row>
    <row r="14" spans="1:7">
      <c r="B14" s="96" t="s">
        <v>268</v>
      </c>
      <c r="C14" s="96"/>
      <c r="D14" s="96"/>
      <c r="E14" s="96"/>
      <c r="F14" s="96"/>
      <c r="G14" s="96"/>
    </row>
    <row r="15" spans="1:7">
      <c r="B15" s="96" t="s">
        <v>269</v>
      </c>
      <c r="C15" s="96"/>
      <c r="D15" s="96"/>
      <c r="E15" s="96"/>
      <c r="F15" s="96"/>
      <c r="G15" s="96"/>
    </row>
    <row r="16" spans="1:7">
      <c r="B16" s="96" t="s">
        <v>270</v>
      </c>
      <c r="C16" s="96"/>
      <c r="D16" s="96"/>
      <c r="E16" s="96"/>
      <c r="F16" s="96"/>
      <c r="G16" s="96"/>
    </row>
    <row r="17" spans="1:7">
      <c r="B17" s="96" t="s">
        <v>271</v>
      </c>
      <c r="C17" s="96"/>
      <c r="D17" s="96"/>
      <c r="E17" s="96"/>
      <c r="F17" s="96"/>
      <c r="G17" s="96"/>
    </row>
    <row r="19" spans="1:7">
      <c r="A19" t="s">
        <v>5</v>
      </c>
      <c r="B19" t="s">
        <v>15</v>
      </c>
    </row>
    <row r="20" spans="1:7">
      <c r="B20" s="96" t="s">
        <v>319</v>
      </c>
      <c r="C20" s="96"/>
      <c r="D20" s="96"/>
      <c r="E20" s="96"/>
      <c r="F20" s="96"/>
      <c r="G20" s="96"/>
    </row>
    <row r="21" spans="1:7">
      <c r="B21" s="96" t="s">
        <v>320</v>
      </c>
      <c r="C21" s="96"/>
      <c r="D21" s="96"/>
      <c r="E21" s="96"/>
      <c r="F21" s="96"/>
      <c r="G21" s="96"/>
    </row>
    <row r="22" spans="1:7">
      <c r="B22" s="96" t="s">
        <v>321</v>
      </c>
      <c r="C22" s="96"/>
      <c r="D22" s="96"/>
      <c r="E22" s="96"/>
      <c r="F22" s="96"/>
      <c r="G22" s="96"/>
    </row>
    <row r="23" spans="1:7">
      <c r="B23" s="96" t="s">
        <v>322</v>
      </c>
      <c r="C23" s="96"/>
      <c r="D23" s="96"/>
      <c r="E23" s="96"/>
      <c r="F23" s="96"/>
      <c r="G23" s="96"/>
    </row>
    <row r="24" spans="1:7">
      <c r="B24" s="96" t="s">
        <v>323</v>
      </c>
      <c r="C24" s="96"/>
      <c r="D24" s="96"/>
      <c r="E24" s="96"/>
      <c r="F24" s="96"/>
      <c r="G24" s="96"/>
    </row>
    <row r="25" spans="1:7">
      <c r="B25" s="96" t="s">
        <v>324</v>
      </c>
      <c r="C25" s="96"/>
      <c r="D25" s="96"/>
      <c r="E25" s="96"/>
      <c r="F25" s="96"/>
      <c r="G25" s="96"/>
    </row>
    <row r="27" spans="1:7">
      <c r="A27" t="s">
        <v>5</v>
      </c>
      <c r="B27" t="s">
        <v>18</v>
      </c>
    </row>
    <row r="28" spans="1:7">
      <c r="B28" s="96" t="s">
        <v>397</v>
      </c>
      <c r="C28" s="96"/>
      <c r="D28" s="96"/>
      <c r="E28" s="96"/>
      <c r="F28" s="96"/>
      <c r="G28" s="96"/>
    </row>
    <row r="29" spans="1:7">
      <c r="B29" s="96" t="s">
        <v>398</v>
      </c>
      <c r="C29" s="96"/>
      <c r="D29" s="96"/>
      <c r="E29" s="96"/>
      <c r="F29" s="96"/>
      <c r="G29" s="96"/>
    </row>
    <row r="30" spans="1:7">
      <c r="B30" s="96" t="s">
        <v>399</v>
      </c>
      <c r="C30" s="96"/>
      <c r="D30" s="96"/>
      <c r="E30" s="96"/>
      <c r="F30" s="96"/>
      <c r="G30" s="96"/>
    </row>
    <row r="31" spans="1:7">
      <c r="B31" s="96" t="s">
        <v>400</v>
      </c>
      <c r="C31" s="96"/>
      <c r="D31" s="96"/>
      <c r="E31" s="96"/>
      <c r="F31" s="96"/>
      <c r="G31" s="96"/>
    </row>
    <row r="32" spans="1:7">
      <c r="B32" s="96" t="s">
        <v>401</v>
      </c>
      <c r="C32" s="96"/>
      <c r="D32" s="96"/>
      <c r="E32" s="96"/>
      <c r="F32" s="96"/>
      <c r="G32" s="96"/>
    </row>
    <row r="33" spans="1:7">
      <c r="B33" s="96" t="s">
        <v>402</v>
      </c>
      <c r="C33" s="96"/>
      <c r="D33" s="96"/>
      <c r="E33" s="96"/>
      <c r="F33" s="96"/>
      <c r="G33" s="96"/>
    </row>
    <row r="35" spans="1:7">
      <c r="A35" t="s">
        <v>5</v>
      </c>
      <c r="B35" t="s">
        <v>21</v>
      </c>
    </row>
    <row r="36" spans="1:7">
      <c r="B36" s="96" t="s">
        <v>430</v>
      </c>
      <c r="C36" s="96"/>
      <c r="D36" s="96"/>
      <c r="E36" s="96"/>
      <c r="F36" s="96"/>
      <c r="G36" s="96"/>
    </row>
    <row r="37" spans="1:7">
      <c r="B37" s="96" t="s">
        <v>431</v>
      </c>
      <c r="C37" s="96"/>
      <c r="D37" s="96"/>
      <c r="E37" s="96"/>
      <c r="F37" s="96"/>
      <c r="G37" s="96"/>
    </row>
    <row r="38" spans="1:7">
      <c r="B38" s="96" t="s">
        <v>432</v>
      </c>
      <c r="C38" s="96"/>
      <c r="D38" s="96"/>
      <c r="E38" s="96"/>
      <c r="F38" s="96"/>
      <c r="G38" s="96"/>
    </row>
    <row r="39" spans="1:7">
      <c r="B39" s="96" t="s">
        <v>433</v>
      </c>
      <c r="C39" s="96"/>
      <c r="D39" s="96"/>
      <c r="E39" s="96"/>
      <c r="F39" s="96"/>
      <c r="G39" s="96"/>
    </row>
    <row r="40" spans="1:7">
      <c r="B40" s="96" t="s">
        <v>434</v>
      </c>
      <c r="C40" s="96"/>
      <c r="D40" s="96"/>
      <c r="E40" s="96"/>
      <c r="F40" s="96"/>
      <c r="G40" s="96"/>
    </row>
    <row r="41" spans="1:7">
      <c r="B41" s="96" t="s">
        <v>435</v>
      </c>
      <c r="C41" s="96"/>
      <c r="D41" s="96"/>
      <c r="E41" s="96"/>
      <c r="F41" s="96"/>
      <c r="G41" s="96"/>
    </row>
    <row r="43" spans="1:7">
      <c r="A43" t="s">
        <v>5</v>
      </c>
      <c r="B43" t="s">
        <v>24</v>
      </c>
    </row>
    <row r="44" spans="1:7">
      <c r="B44" s="35" t="s">
        <v>629</v>
      </c>
      <c r="C44" s="35"/>
      <c r="D44" s="35"/>
      <c r="E44" s="35"/>
      <c r="F44" s="35"/>
    </row>
    <row r="45" spans="1:7">
      <c r="B45" s="35" t="s">
        <v>630</v>
      </c>
      <c r="C45" s="35"/>
      <c r="D45" s="35"/>
      <c r="E45" s="35"/>
      <c r="F45" s="35"/>
    </row>
    <row r="46" spans="1:7">
      <c r="B46" s="35" t="s">
        <v>631</v>
      </c>
      <c r="C46" s="35"/>
      <c r="D46" s="35"/>
      <c r="E46" s="35"/>
      <c r="F46" s="35"/>
    </row>
    <row r="47" spans="1:7">
      <c r="B47" s="35" t="s">
        <v>632</v>
      </c>
      <c r="C47" s="35"/>
      <c r="D47" s="35"/>
      <c r="E47" s="35"/>
      <c r="F47" s="35"/>
    </row>
    <row r="48" spans="1:7">
      <c r="B48" s="35" t="s">
        <v>633</v>
      </c>
      <c r="C48" s="35"/>
      <c r="D48" s="35"/>
      <c r="E48" s="35"/>
      <c r="F48" s="35"/>
    </row>
    <row r="49" spans="1:7">
      <c r="B49" s="35" t="s">
        <v>634</v>
      </c>
      <c r="C49" s="35"/>
      <c r="D49" s="35"/>
      <c r="E49" s="35"/>
      <c r="F49" s="35"/>
    </row>
    <row r="51" spans="1:7">
      <c r="A51" t="s">
        <v>5</v>
      </c>
      <c r="B51" t="s">
        <v>27</v>
      </c>
    </row>
    <row r="52" spans="1:7">
      <c r="B52" s="96" t="s">
        <v>642</v>
      </c>
      <c r="C52" s="96"/>
      <c r="D52" s="96"/>
      <c r="E52" s="96"/>
      <c r="F52" s="96"/>
      <c r="G52" s="96"/>
    </row>
    <row r="53" spans="1:7">
      <c r="B53" s="96" t="s">
        <v>643</v>
      </c>
      <c r="C53" s="96"/>
      <c r="D53" s="96"/>
      <c r="E53" s="96"/>
      <c r="F53" s="96"/>
      <c r="G53" s="96"/>
    </row>
    <row r="54" spans="1:7">
      <c r="B54" s="96" t="s">
        <v>644</v>
      </c>
      <c r="C54" s="96"/>
      <c r="D54" s="96"/>
      <c r="E54" s="96"/>
      <c r="F54" s="96"/>
      <c r="G54" s="96"/>
    </row>
    <row r="55" spans="1:7">
      <c r="B55" s="96" t="s">
        <v>645</v>
      </c>
      <c r="C55" s="96"/>
      <c r="D55" s="96"/>
      <c r="E55" s="96"/>
      <c r="F55" s="96"/>
      <c r="G55" s="96"/>
    </row>
    <row r="56" spans="1:7">
      <c r="B56" s="96" t="s">
        <v>646</v>
      </c>
      <c r="C56" s="96"/>
      <c r="D56" s="96"/>
      <c r="E56" s="96"/>
      <c r="F56" s="96"/>
      <c r="G56" s="96"/>
    </row>
    <row r="57" spans="1:7">
      <c r="B57" s="96" t="s">
        <v>647</v>
      </c>
      <c r="C57" s="96"/>
      <c r="D57" s="96"/>
      <c r="E57" s="96"/>
      <c r="F57" s="96"/>
      <c r="G57" s="96"/>
    </row>
    <row r="59" spans="1:7">
      <c r="A59" t="s">
        <v>5</v>
      </c>
      <c r="B59" t="s">
        <v>30</v>
      </c>
    </row>
    <row r="60" spans="1:7">
      <c r="B60" s="96" t="s">
        <v>752</v>
      </c>
      <c r="C60" s="96"/>
      <c r="D60" s="96"/>
      <c r="E60" s="96"/>
      <c r="F60" s="96"/>
      <c r="G60" s="96"/>
    </row>
    <row r="61" spans="1:7">
      <c r="B61" s="96" t="s">
        <v>753</v>
      </c>
      <c r="C61" s="96"/>
      <c r="D61" s="96"/>
      <c r="E61" s="96"/>
      <c r="F61" s="96"/>
      <c r="G61" s="96"/>
    </row>
    <row r="62" spans="1:7">
      <c r="B62" s="96" t="s">
        <v>754</v>
      </c>
      <c r="C62" s="96"/>
      <c r="D62" s="96"/>
      <c r="E62" s="96"/>
      <c r="F62" s="96"/>
      <c r="G62" s="96"/>
    </row>
    <row r="63" spans="1:7">
      <c r="B63" s="96" t="s">
        <v>755</v>
      </c>
      <c r="C63" s="96"/>
      <c r="D63" s="96"/>
      <c r="E63" s="96"/>
      <c r="F63" s="96"/>
      <c r="G63" s="96"/>
    </row>
    <row r="64" spans="1:7">
      <c r="B64" s="96" t="s">
        <v>756</v>
      </c>
      <c r="C64" s="96"/>
      <c r="D64" s="96"/>
      <c r="E64" s="96"/>
      <c r="F64" s="96"/>
      <c r="G64" s="96"/>
    </row>
    <row r="65" spans="1:7">
      <c r="B65" s="96" t="s">
        <v>757</v>
      </c>
      <c r="C65" s="96"/>
      <c r="D65" s="96"/>
      <c r="E65" s="96"/>
      <c r="F65" s="96"/>
      <c r="G65" s="96"/>
    </row>
    <row r="67" spans="1:7">
      <c r="A67" t="s">
        <v>5</v>
      </c>
      <c r="B67" t="s">
        <v>33</v>
      </c>
    </row>
    <row r="68" spans="1:7">
      <c r="B68" s="96" t="s">
        <v>772</v>
      </c>
      <c r="C68" s="96"/>
      <c r="D68" s="96"/>
      <c r="E68" s="96"/>
      <c r="F68" s="96"/>
      <c r="G68" s="96"/>
    </row>
    <row r="69" spans="1:7">
      <c r="B69" s="96" t="s">
        <v>773</v>
      </c>
      <c r="C69" s="96"/>
      <c r="D69" s="96"/>
      <c r="E69" s="96"/>
      <c r="F69" s="96"/>
      <c r="G69" s="96"/>
    </row>
    <row r="70" spans="1:7">
      <c r="B70" s="96" t="s">
        <v>774</v>
      </c>
      <c r="C70" s="96"/>
      <c r="D70" s="96"/>
      <c r="E70" s="96"/>
      <c r="F70" s="96"/>
      <c r="G70" s="96"/>
    </row>
    <row r="71" spans="1:7">
      <c r="B71" s="96" t="s">
        <v>775</v>
      </c>
      <c r="C71" s="96"/>
      <c r="D71" s="96"/>
      <c r="E71" s="96"/>
      <c r="F71" s="96"/>
      <c r="G71" s="96"/>
    </row>
    <row r="72" spans="1:7">
      <c r="B72" s="96" t="s">
        <v>776</v>
      </c>
      <c r="C72" s="96"/>
      <c r="D72" s="96"/>
      <c r="E72" s="96"/>
      <c r="F72" s="96"/>
      <c r="G72" s="96"/>
    </row>
    <row r="73" spans="1:7">
      <c r="B73" s="96" t="s">
        <v>777</v>
      </c>
      <c r="C73" s="96"/>
      <c r="D73" s="96"/>
      <c r="E73" s="96"/>
      <c r="F73" s="96"/>
      <c r="G73" s="96"/>
    </row>
    <row r="75" spans="1:7">
      <c r="A75" t="s">
        <v>5</v>
      </c>
      <c r="B75" t="s">
        <v>36</v>
      </c>
    </row>
    <row r="76" spans="1:7">
      <c r="B76" s="96" t="s">
        <v>825</v>
      </c>
      <c r="C76" s="96"/>
      <c r="D76" s="96"/>
      <c r="E76" s="96"/>
      <c r="F76" s="96"/>
      <c r="G76" s="96"/>
    </row>
    <row r="77" spans="1:7">
      <c r="B77" s="96" t="s">
        <v>826</v>
      </c>
      <c r="C77" s="96"/>
      <c r="D77" s="96"/>
      <c r="E77" s="96"/>
      <c r="F77" s="96"/>
      <c r="G77" s="96"/>
    </row>
    <row r="78" spans="1:7">
      <c r="B78" s="96" t="s">
        <v>827</v>
      </c>
      <c r="C78" s="96"/>
      <c r="D78" s="96"/>
      <c r="E78" s="96"/>
      <c r="F78" s="96"/>
      <c r="G78" s="96"/>
    </row>
    <row r="79" spans="1:7">
      <c r="B79" s="96" t="s">
        <v>828</v>
      </c>
      <c r="C79" s="96"/>
      <c r="D79" s="96"/>
      <c r="E79" s="96"/>
      <c r="F79" s="96"/>
      <c r="G79" s="96"/>
    </row>
    <row r="80" spans="1:7">
      <c r="B80" s="96" t="s">
        <v>829</v>
      </c>
      <c r="C80" s="96"/>
      <c r="D80" s="96"/>
      <c r="E80" s="96"/>
      <c r="F80" s="96"/>
      <c r="G80" s="96"/>
    </row>
    <row r="81" spans="1:7">
      <c r="B81" s="96" t="s">
        <v>830</v>
      </c>
      <c r="C81" s="96"/>
      <c r="D81" s="96"/>
      <c r="E81" s="96"/>
      <c r="F81" s="96"/>
      <c r="G81" s="96"/>
    </row>
    <row r="83" spans="1:7">
      <c r="A83" t="s">
        <v>5</v>
      </c>
      <c r="B83" t="s">
        <v>42</v>
      </c>
    </row>
    <row r="84" spans="1:7">
      <c r="B84" s="96" t="s">
        <v>880</v>
      </c>
      <c r="C84" s="96"/>
      <c r="D84" s="96"/>
      <c r="E84" s="96"/>
      <c r="F84" s="96"/>
      <c r="G84" s="96"/>
    </row>
    <row r="85" spans="1:7">
      <c r="B85" s="96" t="s">
        <v>881</v>
      </c>
      <c r="C85" s="96"/>
      <c r="D85" s="96"/>
      <c r="E85" s="96"/>
      <c r="F85" s="96"/>
      <c r="G85" s="96"/>
    </row>
    <row r="86" spans="1:7">
      <c r="B86" s="96" t="s">
        <v>882</v>
      </c>
      <c r="C86" s="96"/>
      <c r="D86" s="96"/>
      <c r="E86" s="96"/>
      <c r="F86" s="96"/>
      <c r="G86" s="96"/>
    </row>
    <row r="87" spans="1:7">
      <c r="B87" s="96" t="s">
        <v>883</v>
      </c>
      <c r="C87" s="96"/>
      <c r="D87" s="96"/>
      <c r="E87" s="96"/>
      <c r="F87" s="96"/>
      <c r="G87" s="96"/>
    </row>
    <row r="88" spans="1:7">
      <c r="B88" s="96" t="s">
        <v>884</v>
      </c>
      <c r="C88" s="96"/>
      <c r="D88" s="96"/>
      <c r="E88" s="96"/>
      <c r="F88" s="96"/>
      <c r="G88" s="96"/>
    </row>
    <row r="89" spans="1:7">
      <c r="B89" s="96" t="s">
        <v>885</v>
      </c>
      <c r="C89" s="96"/>
      <c r="D89" s="96"/>
      <c r="E89" s="96"/>
      <c r="F89" s="96"/>
      <c r="G89" s="96"/>
    </row>
    <row r="91" spans="1:7">
      <c r="A91" t="s">
        <v>5</v>
      </c>
      <c r="B91" t="s">
        <v>1294</v>
      </c>
    </row>
    <row r="92" spans="1:7">
      <c r="B92" s="96" t="s">
        <v>1034</v>
      </c>
      <c r="C92" s="96"/>
      <c r="D92" s="96"/>
      <c r="E92" s="96"/>
      <c r="F92" s="96"/>
      <c r="G92" s="96"/>
    </row>
    <row r="93" spans="1:7">
      <c r="B93" s="96" t="s">
        <v>1035</v>
      </c>
      <c r="C93" s="96"/>
      <c r="D93" s="96"/>
      <c r="E93" s="96"/>
      <c r="F93" s="96"/>
      <c r="G93" s="96"/>
    </row>
    <row r="94" spans="1:7">
      <c r="B94" s="96" t="s">
        <v>1036</v>
      </c>
      <c r="C94" s="96"/>
      <c r="D94" s="96"/>
      <c r="E94" s="96"/>
      <c r="F94" s="96"/>
      <c r="G94" s="96"/>
    </row>
    <row r="95" spans="1:7">
      <c r="B95" s="96" t="s">
        <v>1037</v>
      </c>
      <c r="C95" s="96"/>
      <c r="D95" s="96"/>
      <c r="E95" s="96"/>
      <c r="F95" s="96"/>
      <c r="G95" s="96"/>
    </row>
    <row r="96" spans="1:7">
      <c r="B96" s="96" t="s">
        <v>1038</v>
      </c>
      <c r="C96" s="96"/>
      <c r="D96" s="96"/>
      <c r="E96" s="96"/>
      <c r="F96" s="96"/>
      <c r="G96" s="96"/>
    </row>
    <row r="97" spans="1:7">
      <c r="B97" s="96" t="s">
        <v>1039</v>
      </c>
      <c r="C97" s="96"/>
      <c r="D97" s="96"/>
      <c r="E97" s="96"/>
      <c r="F97" s="96"/>
      <c r="G97" s="96"/>
    </row>
    <row r="99" spans="1:7">
      <c r="A99" t="s">
        <v>5</v>
      </c>
      <c r="B99" t="s">
        <v>1295</v>
      </c>
    </row>
    <row r="100" spans="1:7">
      <c r="B100" s="96" t="s">
        <v>1152</v>
      </c>
      <c r="C100" s="96"/>
      <c r="D100" s="96"/>
      <c r="E100" s="96"/>
      <c r="F100" s="96"/>
      <c r="G100" s="96"/>
    </row>
    <row r="101" spans="1:7">
      <c r="B101" s="96" t="s">
        <v>1153</v>
      </c>
      <c r="C101" s="96"/>
      <c r="D101" s="96"/>
      <c r="E101" s="96"/>
      <c r="F101" s="96"/>
      <c r="G101" s="96"/>
    </row>
    <row r="102" spans="1:7">
      <c r="B102" s="96" t="s">
        <v>1154</v>
      </c>
      <c r="C102" s="96"/>
      <c r="D102" s="96"/>
      <c r="E102" s="96"/>
      <c r="F102" s="96"/>
      <c r="G102" s="96"/>
    </row>
    <row r="103" spans="1:7">
      <c r="B103" s="96" t="s">
        <v>1155</v>
      </c>
      <c r="C103" s="96"/>
      <c r="D103" s="96"/>
      <c r="E103" s="96"/>
      <c r="F103" s="96"/>
      <c r="G103" s="96"/>
    </row>
    <row r="104" spans="1:7">
      <c r="B104" s="96" t="s">
        <v>1156</v>
      </c>
      <c r="C104" s="96"/>
      <c r="D104" s="96"/>
      <c r="E104" s="96"/>
      <c r="F104" s="96"/>
      <c r="G104" s="96"/>
    </row>
    <row r="105" spans="1:7">
      <c r="B105" s="96" t="s">
        <v>1157</v>
      </c>
      <c r="C105" s="96"/>
      <c r="D105" s="96"/>
      <c r="E105" s="96"/>
      <c r="F105" s="96"/>
      <c r="G105" s="96"/>
    </row>
    <row r="107" spans="1:7">
      <c r="A107" t="s">
        <v>5</v>
      </c>
      <c r="B107" t="s">
        <v>1296</v>
      </c>
    </row>
    <row r="108" spans="1:7">
      <c r="B108" s="96" t="s">
        <v>1219</v>
      </c>
      <c r="C108" s="96"/>
      <c r="D108" s="96"/>
      <c r="E108" s="96"/>
      <c r="F108" s="96"/>
      <c r="G108" s="96"/>
    </row>
    <row r="109" spans="1:7">
      <c r="B109" s="96" t="s">
        <v>1220</v>
      </c>
      <c r="C109" s="96"/>
      <c r="D109" s="96"/>
      <c r="E109" s="96"/>
      <c r="F109" s="96"/>
      <c r="G109" s="96"/>
    </row>
    <row r="110" spans="1:7">
      <c r="B110" s="96" t="s">
        <v>1221</v>
      </c>
      <c r="C110" s="96"/>
      <c r="D110" s="96"/>
      <c r="E110" s="96"/>
      <c r="F110" s="96"/>
      <c r="G110" s="96"/>
    </row>
    <row r="111" spans="1:7">
      <c r="B111" s="96" t="s">
        <v>1222</v>
      </c>
      <c r="C111" s="96"/>
      <c r="D111" s="96"/>
      <c r="E111" s="96"/>
      <c r="F111" s="96"/>
      <c r="G111" s="96"/>
    </row>
    <row r="112" spans="1:7">
      <c r="B112" s="96" t="s">
        <v>1223</v>
      </c>
      <c r="C112" s="96"/>
      <c r="D112" s="96"/>
      <c r="E112" s="96"/>
      <c r="F112" s="96"/>
      <c r="G112" s="96"/>
    </row>
    <row r="113" spans="2:7">
      <c r="B113" s="96" t="s">
        <v>1224</v>
      </c>
      <c r="C113" s="96"/>
      <c r="D113" s="96"/>
      <c r="E113" s="96"/>
      <c r="F113" s="96"/>
      <c r="G113" s="96"/>
    </row>
    <row r="114" spans="2:7">
      <c r="B114" s="96" t="s">
        <v>1225</v>
      </c>
      <c r="C114" s="96"/>
      <c r="D114" s="96"/>
      <c r="E114" s="96"/>
      <c r="F114" s="96"/>
      <c r="G114" s="96"/>
    </row>
  </sheetData>
  <mergeCells count="80">
    <mergeCell ref="B113:G113"/>
    <mergeCell ref="B114:G114"/>
    <mergeCell ref="B105:G105"/>
    <mergeCell ref="B108:G108"/>
    <mergeCell ref="B109:G109"/>
    <mergeCell ref="B110:G110"/>
    <mergeCell ref="B111:G111"/>
    <mergeCell ref="B112:G112"/>
    <mergeCell ref="B104:G104"/>
    <mergeCell ref="B89:G89"/>
    <mergeCell ref="B92:G92"/>
    <mergeCell ref="B93:G93"/>
    <mergeCell ref="B94:G94"/>
    <mergeCell ref="B95:G95"/>
    <mergeCell ref="B96:G96"/>
    <mergeCell ref="B97:G97"/>
    <mergeCell ref="B100:G100"/>
    <mergeCell ref="B101:G101"/>
    <mergeCell ref="B102:G102"/>
    <mergeCell ref="B103:G103"/>
    <mergeCell ref="B88:G88"/>
    <mergeCell ref="B73:G73"/>
    <mergeCell ref="B76:G76"/>
    <mergeCell ref="B77:G77"/>
    <mergeCell ref="B78:G78"/>
    <mergeCell ref="B79:G79"/>
    <mergeCell ref="B80:G80"/>
    <mergeCell ref="B81:G81"/>
    <mergeCell ref="B84:G84"/>
    <mergeCell ref="B85:G85"/>
    <mergeCell ref="B86:G86"/>
    <mergeCell ref="B87:G87"/>
    <mergeCell ref="B72:G72"/>
    <mergeCell ref="B57:G57"/>
    <mergeCell ref="B60:G60"/>
    <mergeCell ref="B61:G61"/>
    <mergeCell ref="B62:G62"/>
    <mergeCell ref="B63:G63"/>
    <mergeCell ref="B64:G64"/>
    <mergeCell ref="B65:G65"/>
    <mergeCell ref="B68:G68"/>
    <mergeCell ref="B69:G69"/>
    <mergeCell ref="B70:G70"/>
    <mergeCell ref="B71:G71"/>
    <mergeCell ref="B56:G56"/>
    <mergeCell ref="B33:G33"/>
    <mergeCell ref="B36:G36"/>
    <mergeCell ref="B37:G37"/>
    <mergeCell ref="B38:G38"/>
    <mergeCell ref="B39:G39"/>
    <mergeCell ref="B40:G40"/>
    <mergeCell ref="B41:G41"/>
    <mergeCell ref="B52:G52"/>
    <mergeCell ref="B53:G53"/>
    <mergeCell ref="B54:G54"/>
    <mergeCell ref="B55:G55"/>
    <mergeCell ref="B32:G32"/>
    <mergeCell ref="B17:G17"/>
    <mergeCell ref="B20:G20"/>
    <mergeCell ref="B21:G21"/>
    <mergeCell ref="B22:G22"/>
    <mergeCell ref="B23:G23"/>
    <mergeCell ref="B24:G24"/>
    <mergeCell ref="B25:G25"/>
    <mergeCell ref="B28:G28"/>
    <mergeCell ref="B29:G29"/>
    <mergeCell ref="B30:G30"/>
    <mergeCell ref="B31:G31"/>
    <mergeCell ref="B16:G16"/>
    <mergeCell ref="B3:G3"/>
    <mergeCell ref="B4:G4"/>
    <mergeCell ref="B5:G5"/>
    <mergeCell ref="B6:G6"/>
    <mergeCell ref="B7:G7"/>
    <mergeCell ref="B8:G8"/>
    <mergeCell ref="B9:G9"/>
    <mergeCell ref="B12:G12"/>
    <mergeCell ref="B13:G13"/>
    <mergeCell ref="B14:G14"/>
    <mergeCell ref="B15:G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43CC-9BC0-4EBE-B6EB-AB2AFECFE298}">
  <sheetPr>
    <tabColor rgb="FF1F4E79"/>
  </sheetPr>
  <dimension ref="A1:F39"/>
  <sheetViews>
    <sheetView tabSelected="1" zoomScale="70" zoomScaleNormal="70" workbookViewId="0">
      <pane ySplit="7" topLeftCell="A18" activePane="bottomLeft" state="frozen"/>
      <selection activeCell="E1" sqref="E1"/>
      <selection pane="bottomLeft" activeCell="E10" sqref="E10"/>
    </sheetView>
  </sheetViews>
  <sheetFormatPr defaultRowHeight="14.4"/>
  <cols>
    <col min="1" max="1" width="7" customWidth="1"/>
    <col min="2" max="2" width="11.44140625" customWidth="1"/>
    <col min="3" max="3" width="38.88671875" customWidth="1"/>
    <col min="4" max="4" width="79.6640625" customWidth="1"/>
    <col min="5" max="5" width="55.5546875" customWidth="1"/>
    <col min="6" max="6" width="51.88671875" customWidth="1"/>
  </cols>
  <sheetData>
    <row r="1" spans="1:6" ht="31.95" customHeight="1">
      <c r="A1" s="142" t="s">
        <v>1973</v>
      </c>
      <c r="B1" s="142"/>
      <c r="C1" s="142"/>
      <c r="D1" s="142"/>
      <c r="E1" s="142"/>
      <c r="F1" s="142"/>
    </row>
    <row r="2" spans="1:6" ht="28.05" customHeight="1">
      <c r="A2" s="160" t="s">
        <v>1974</v>
      </c>
      <c r="B2" s="143"/>
      <c r="C2" s="143"/>
      <c r="D2" s="143"/>
      <c r="E2" s="143"/>
      <c r="F2" s="143"/>
    </row>
    <row r="4" spans="1:6" ht="15.6">
      <c r="A4" s="144" t="s">
        <v>1975</v>
      </c>
      <c r="B4" s="144"/>
      <c r="C4" s="144"/>
      <c r="D4" s="144"/>
      <c r="E4" s="144"/>
      <c r="F4" s="144"/>
    </row>
    <row r="5" spans="1:6" ht="91.95" customHeight="1">
      <c r="A5" s="162" t="s">
        <v>1976</v>
      </c>
      <c r="B5" s="145"/>
      <c r="C5" s="145"/>
      <c r="D5" s="145"/>
      <c r="E5" s="145"/>
      <c r="F5" s="145"/>
    </row>
    <row r="7" spans="1:6">
      <c r="A7" s="148" t="s">
        <v>1977</v>
      </c>
      <c r="B7" s="148" t="s">
        <v>1978</v>
      </c>
      <c r="C7" s="149" t="s">
        <v>1979</v>
      </c>
      <c r="D7" s="149" t="s">
        <v>1980</v>
      </c>
      <c r="E7" s="149" t="s">
        <v>1981</v>
      </c>
      <c r="F7" s="149" t="s">
        <v>2046</v>
      </c>
    </row>
    <row r="8" spans="1:6" ht="22.05" customHeight="1">
      <c r="A8" s="150" t="s">
        <v>1982</v>
      </c>
      <c r="B8" s="150"/>
      <c r="C8" s="150"/>
      <c r="D8" s="150"/>
      <c r="E8" s="150"/>
      <c r="F8" s="150"/>
    </row>
    <row r="9" spans="1:6" ht="108" customHeight="1">
      <c r="A9" s="151">
        <v>1</v>
      </c>
      <c r="B9" s="152" t="s">
        <v>1983</v>
      </c>
      <c r="C9" s="153" t="s">
        <v>1984</v>
      </c>
      <c r="D9" s="154" t="s">
        <v>2056</v>
      </c>
      <c r="E9" s="155" t="str">
        <f>'Analysis report'!A366</f>
        <v>ANSWER: Awarding every package to the cheapest bid totals $1,01,30,539 (avg score 76.0/100). Awarding to the highest-scored bid totals $1,17,16,950 (avg score 79.1) — $15,86,411 (15.7%) more. That premium buys better programme, safety and defect performance.</v>
      </c>
      <c r="F9" s="156" t="s">
        <v>1985</v>
      </c>
    </row>
    <row r="10" spans="1:6" ht="108" customHeight="1">
      <c r="A10" s="151">
        <v>2</v>
      </c>
      <c r="B10" s="152" t="s">
        <v>1986</v>
      </c>
      <c r="C10" s="153" t="s">
        <v>1987</v>
      </c>
      <c r="D10" s="154" t="s">
        <v>1988</v>
      </c>
      <c r="E10" s="155" t="str">
        <f>'Analysis report'!A656</f>
        <v>ANSWER: Australia is the most expensive market at $3,677/sqm, India the cheapest at $670/sqm — a 448.5% premium. Global average: $2,430/sqm.</v>
      </c>
      <c r="F10" s="156" t="s">
        <v>1989</v>
      </c>
    </row>
    <row r="11" spans="1:6" ht="22.05" customHeight="1">
      <c r="A11" s="161" t="s">
        <v>1990</v>
      </c>
      <c r="B11" s="157"/>
      <c r="C11" s="150"/>
      <c r="D11" s="150"/>
      <c r="E11" s="158"/>
      <c r="F11" s="159"/>
    </row>
    <row r="12" spans="1:6" ht="108" customHeight="1">
      <c r="A12" s="151">
        <v>3</v>
      </c>
      <c r="B12" s="152" t="s">
        <v>1991</v>
      </c>
      <c r="C12" s="153" t="s">
        <v>1992</v>
      </c>
      <c r="D12" s="154" t="s">
        <v>1993</v>
      </c>
      <c r="E12" s="155" t="str">
        <f>'Analysis report'!A26</f>
        <v>ANSWER: Worst variance = Residential Tower at 26.3% ($6,26,62,924 over budget). Best = Shopping Mall at 3.4%. Portfolio total: $2,15,23,99,053 budget vs $2,53,19,47,246 actual (17.6%).</v>
      </c>
      <c r="F12" s="156" t="s">
        <v>1994</v>
      </c>
    </row>
    <row r="13" spans="1:6" ht="108" customHeight="1">
      <c r="A13" s="151">
        <v>4</v>
      </c>
      <c r="B13" s="152" t="s">
        <v>1995</v>
      </c>
      <c r="C13" s="153" t="s">
        <v>1996</v>
      </c>
      <c r="D13" s="154" t="s">
        <v>1997</v>
      </c>
      <c r="E13" s="155" t="str">
        <f>'Analysis report'!A192</f>
        <v>ANSWER: Gross overrun impact is $18,28,491 against $2,37,902 of savings, a net $15,90,589 across the three projects. Worst project: WT-OFF-SYD-02 at $7,16,910 net.</v>
      </c>
      <c r="F13" s="156" t="s">
        <v>1998</v>
      </c>
    </row>
    <row r="14" spans="1:6" ht="108" customHeight="1">
      <c r="A14" s="151">
        <v>5</v>
      </c>
      <c r="B14" s="152" t="s">
        <v>1999</v>
      </c>
      <c r="C14" s="153" t="s">
        <v>2000</v>
      </c>
      <c r="D14" s="154" t="s">
        <v>2001</v>
      </c>
      <c r="E14" s="155" t="str">
        <f>'Analysis report'!A561</f>
        <v>ANSWER: 15 of 45 change orders (33.3%) are still Pending or Under Review, carrying $32,97,152 of unquantified cost exposure (23.0% of all VO value). That is the number to put in the risk register until these are determined.</v>
      </c>
      <c r="F14" s="156" t="s">
        <v>2002</v>
      </c>
    </row>
    <row r="15" spans="1:6" ht="22.05" customHeight="1">
      <c r="A15" s="161" t="s">
        <v>2003</v>
      </c>
      <c r="B15" s="157"/>
      <c r="C15" s="150"/>
      <c r="D15" s="150"/>
      <c r="E15" s="158"/>
      <c r="F15" s="159"/>
    </row>
    <row r="16" spans="1:6" ht="108" customHeight="1">
      <c r="A16" s="151">
        <v>6</v>
      </c>
      <c r="B16" s="152" t="s">
        <v>2004</v>
      </c>
      <c r="C16" s="153" t="s">
        <v>2005</v>
      </c>
      <c r="D16" s="154" t="s">
        <v>2006</v>
      </c>
      <c r="E16" s="155" t="str">
        <f>'Analysis report'!A239</f>
        <v>ANSWER: Civil &amp; Structure shows the most variance (std dev 2.00, CV 56.4%); the most consistent is MEP - HVAC (std dev 1.13). High variance points to unstable crew mix or interrupted work fronts.</v>
      </c>
      <c r="F16" s="156" t="s">
        <v>2007</v>
      </c>
    </row>
    <row r="17" spans="1:6" ht="108" customHeight="1">
      <c r="A17" s="151">
        <v>7</v>
      </c>
      <c r="B17" s="152" t="s">
        <v>2008</v>
      </c>
      <c r="C17" s="153" t="s">
        <v>2009</v>
      </c>
      <c r="D17" s="154" t="s">
        <v>2010</v>
      </c>
      <c r="E17" s="155" t="str">
        <f>'Analysis report'!A463</f>
        <v>ANSWER: At $15,000/day the portfolio's 1,467 delay days cost roughly $2,20,05,000. The most exposed project is WT-DC-MUM-01 at $57,30,000 (382 days); the least is WT-HOS-AKL-03 at $30,75,000.</v>
      </c>
      <c r="F17" s="156" t="s">
        <v>2011</v>
      </c>
    </row>
    <row r="18" spans="1:6" ht="108" customHeight="1">
      <c r="A18" s="151">
        <v>8</v>
      </c>
      <c r="B18" s="152" t="s">
        <v>2012</v>
      </c>
      <c r="C18" s="153" t="s">
        <v>2013</v>
      </c>
      <c r="D18" s="154" t="s">
        <v>2014</v>
      </c>
      <c r="E18" s="155" t="str">
        <f>'Analysis report'!A639</f>
        <v>ANSWER: 2 scorecard(s) breach both blacklist criteria and are listed above. Separately 4 score below 3.0 and 13 carry more than 15 defects.</v>
      </c>
      <c r="F18" s="156" t="s">
        <v>2015</v>
      </c>
    </row>
    <row r="19" spans="1:6" ht="108" customHeight="1">
      <c r="A19" s="151">
        <v>9</v>
      </c>
      <c r="B19" s="152" t="s">
        <v>2016</v>
      </c>
      <c r="C19" s="153" t="s">
        <v>2017</v>
      </c>
      <c r="D19" s="154" t="s">
        <v>2018</v>
      </c>
      <c r="E19" s="155" t="str">
        <f>'Analysis report'!A728</f>
        <v>ANSWER: EAC at Month 36 is $2,77,85,221 against a BAC of $2,50,00,000 — a projected OVERRUN of $27,85,221 (11.1%). Variance at Completion is -$27,85,221.</v>
      </c>
      <c r="F19" s="156" t="s">
        <v>2019</v>
      </c>
    </row>
    <row r="20" spans="1:6" ht="22.05" customHeight="1">
      <c r="A20" s="161" t="s">
        <v>2020</v>
      </c>
      <c r="B20" s="157"/>
      <c r="C20" s="150"/>
      <c r="D20" s="150"/>
      <c r="E20" s="158"/>
      <c r="F20" s="159"/>
    </row>
    <row r="21" spans="1:6" ht="108" customHeight="1">
      <c r="A21" s="151">
        <v>10</v>
      </c>
      <c r="B21" s="152" t="s">
        <v>2021</v>
      </c>
      <c r="C21" s="153" t="s">
        <v>2022</v>
      </c>
      <c r="D21" s="154" t="s">
        <v>2023</v>
      </c>
      <c r="E21" s="155" t="str">
        <f>'Analysis report'!A140</f>
        <v>ANSWER: No material's AVERAGE increase exceeds 15% (highest is RMC M30 at 14.8%), though 20 of 90 individual monthly records are above 15%. Treat the top 3 — RMC M30 (14.8%), Aggregate (20mm) (14.6%), Cement (OPC 53) (11.9%) — as procurement risk and forward-buy / lock rates.</v>
      </c>
      <c r="F21" s="156" t="s">
        <v>2024</v>
      </c>
    </row>
    <row r="22" spans="1:6" ht="108" customHeight="1">
      <c r="A22" s="151">
        <v>11</v>
      </c>
      <c r="B22" s="152" t="s">
        <v>2025</v>
      </c>
      <c r="C22" s="153" t="s">
        <v>2026</v>
      </c>
      <c r="D22" s="154" t="s">
        <v>2027</v>
      </c>
      <c r="E22" s="155" t="str">
        <f>'Analysis report'!A844</f>
        <v>ANSWER: The scorecard above ranks all 10 suppliers. 0 rate A (90%+ on time), 0 rate B, 0 are watch-list and 10 should be replaced. Portfolio on-time performance is 30.0%.</v>
      </c>
      <c r="F22" s="156" t="s">
        <v>2028</v>
      </c>
    </row>
    <row r="23" spans="1:6" ht="22.05" customHeight="1">
      <c r="A23" s="161" t="s">
        <v>2029</v>
      </c>
      <c r="B23" s="157"/>
      <c r="C23" s="150"/>
      <c r="D23" s="150"/>
      <c r="E23" s="158"/>
      <c r="F23" s="159"/>
    </row>
    <row r="24" spans="1:6" ht="108" customHeight="1">
      <c r="A24" s="151">
        <v>12</v>
      </c>
      <c r="B24" s="152" t="s">
        <v>2030</v>
      </c>
      <c r="C24" s="153" t="s">
        <v>2031</v>
      </c>
      <c r="D24" s="154" t="s">
        <v>2032</v>
      </c>
      <c r="E24" s="155" t="str">
        <f>'Analysis report'!A481</f>
        <v>ANSWER: At 31-Dec-2024 the portfolio sits at -$73,16,487 cumulative cash. 3 of 4 projects are cash-negative. Best: WT-DC-MUM-01 at $8,39,758; worst: WT-HOS-AKL-03 at -$38,67,202. Collections came in $1,28,96,910 below plan.</v>
      </c>
      <c r="F24" s="156" t="s">
        <v>2033</v>
      </c>
    </row>
    <row r="25" spans="1:6" ht="108" customHeight="1">
      <c r="A25" s="151">
        <v>13</v>
      </c>
      <c r="B25" s="152" t="s">
        <v>2034</v>
      </c>
      <c r="C25" s="153" t="s">
        <v>2035</v>
      </c>
      <c r="D25" s="154" t="s">
        <v>2036</v>
      </c>
      <c r="E25" s="155" t="str">
        <f>'Analysis report'!A874</f>
        <v>ANSWER: Of $1,18,56,858 outstanding, $1,09,01,155 is past due and splits as: $9,98,469 (9.2%) 0–30 days, $30,71,180 (28.2%) 31–60 days, $0 (0.0%) 61–90 days and $68,31,506 (62.7%) 90+ days. The remaining $9,55,703 is not yet due. Average age of past-due debt: 80 days.</v>
      </c>
      <c r="F25" s="156" t="s">
        <v>2037</v>
      </c>
    </row>
    <row r="26" spans="1:6" ht="108" customHeight="1">
      <c r="A26" s="151">
        <v>14</v>
      </c>
      <c r="B26" s="152" t="s">
        <v>2038</v>
      </c>
      <c r="C26" s="153" t="s">
        <v>2039</v>
      </c>
      <c r="D26" s="154" t="s">
        <v>2040</v>
      </c>
      <c r="E26" s="155" t="str">
        <f>'Analysis report'!A977</f>
        <v>ANSWER: The busiest quadrant is "Late and over cost" with 11 of 25 projects (44.0%) and $63,55,84,316 of budget. Only 4 projects are true stars (both indices at or above 1.00).</v>
      </c>
      <c r="F26" s="156" t="s">
        <v>2041</v>
      </c>
    </row>
    <row r="27" spans="1:6" ht="108" customHeight="1">
      <c r="A27" s="151">
        <v>15</v>
      </c>
      <c r="B27" s="152" t="s">
        <v>2042</v>
      </c>
      <c r="C27" s="153" t="s">
        <v>2043</v>
      </c>
      <c r="D27" s="154" t="s">
        <v>2044</v>
      </c>
      <c r="E27" s="155" t="str">
        <f>"Index lists "&amp;COUNTA(Index!D5:D24)&amp;" problems; 14 have data sheets, P11 (Risk Register) does not. P16-P20 are out of scope for this story."</f>
        <v>Index lists 20 problems; 14 have data sheets, P11 (Risk Register) does not. P16-P20 are out of scope for this story.</v>
      </c>
      <c r="F27" s="156" t="s">
        <v>2045</v>
      </c>
    </row>
    <row r="29" spans="1:6" ht="15.6">
      <c r="A29" s="144" t="s">
        <v>2047</v>
      </c>
      <c r="B29" s="144"/>
      <c r="C29" s="144"/>
      <c r="D29" s="144"/>
      <c r="E29" s="144"/>
      <c r="F29" s="144"/>
    </row>
    <row r="30" spans="1:6" ht="60" customHeight="1">
      <c r="A30" s="163" t="s">
        <v>2048</v>
      </c>
      <c r="B30" s="146"/>
      <c r="C30" s="146"/>
      <c r="D30" s="146"/>
      <c r="E30" s="146"/>
      <c r="F30" s="146"/>
    </row>
    <row r="32" spans="1:6" ht="15.6">
      <c r="A32" s="144" t="s">
        <v>2049</v>
      </c>
      <c r="B32" s="144"/>
      <c r="C32" s="144"/>
      <c r="D32" s="144"/>
      <c r="E32" s="144"/>
      <c r="F32" s="144"/>
    </row>
    <row r="33" spans="1:6">
      <c r="A33" s="90" t="s">
        <v>2050</v>
      </c>
      <c r="B33" s="90"/>
      <c r="C33" s="90"/>
      <c r="D33" s="90"/>
      <c r="E33" s="90"/>
      <c r="F33" s="90"/>
    </row>
    <row r="34" spans="1:6">
      <c r="A34" s="90" t="s">
        <v>2051</v>
      </c>
      <c r="B34" s="90"/>
      <c r="C34" s="90"/>
      <c r="D34" s="90"/>
      <c r="E34" s="90"/>
      <c r="F34" s="90"/>
    </row>
    <row r="35" spans="1:6">
      <c r="A35" s="90" t="s">
        <v>2052</v>
      </c>
      <c r="B35" s="90"/>
      <c r="C35" s="90"/>
      <c r="D35" s="90"/>
      <c r="E35" s="90"/>
      <c r="F35" s="90"/>
    </row>
    <row r="36" spans="1:6">
      <c r="A36" s="90" t="s">
        <v>2053</v>
      </c>
      <c r="B36" s="90"/>
      <c r="C36" s="90"/>
      <c r="D36" s="90"/>
      <c r="E36" s="90"/>
      <c r="F36" s="90"/>
    </row>
    <row r="37" spans="1:6">
      <c r="A37" s="90" t="s">
        <v>2054</v>
      </c>
      <c r="B37" s="90"/>
      <c r="C37" s="90"/>
      <c r="D37" s="90"/>
      <c r="E37" s="90"/>
      <c r="F37" s="90"/>
    </row>
    <row r="39" spans="1:6">
      <c r="A39" s="147" t="s">
        <v>2055</v>
      </c>
      <c r="B39" s="147"/>
      <c r="C39" s="147"/>
      <c r="D39" s="147"/>
      <c r="E39" s="147"/>
      <c r="F39" s="147"/>
    </row>
  </sheetData>
  <mergeCells count="18">
    <mergeCell ref="A33:F33"/>
    <mergeCell ref="A34:F34"/>
    <mergeCell ref="A35:F35"/>
    <mergeCell ref="A36:F36"/>
    <mergeCell ref="A37:F37"/>
    <mergeCell ref="A39:F39"/>
    <mergeCell ref="A15:F15"/>
    <mergeCell ref="A20:F20"/>
    <mergeCell ref="A23:F23"/>
    <mergeCell ref="A29:F29"/>
    <mergeCell ref="A30:F30"/>
    <mergeCell ref="A32:F32"/>
    <mergeCell ref="A1:F1"/>
    <mergeCell ref="A2:F2"/>
    <mergeCell ref="A4:F4"/>
    <mergeCell ref="A5:F5"/>
    <mergeCell ref="A8:F8"/>
    <mergeCell ref="A11:F11"/>
  </mergeCells>
  <pageMargins left="0.7" right="0.7" top="0.75" bottom="0.75" header="0.3" footer="0.3"/>
  <pageSetup paperSize="12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523D0-43B5-496B-8B80-E4B3960BDE50}">
  <dimension ref="A1:AG200"/>
  <sheetViews>
    <sheetView showGridLines="0" zoomScale="44" workbookViewId="0">
      <pane ySplit="3" topLeftCell="A4" activePane="bottomLeft" state="frozen"/>
      <selection pane="bottomLeft" activeCell="W12" sqref="W12"/>
    </sheetView>
  </sheetViews>
  <sheetFormatPr defaultRowHeight="14.4"/>
  <cols>
    <col min="1" max="1" width="2.5546875" customWidth="1"/>
    <col min="2" max="25" width="11.44140625" customWidth="1"/>
    <col min="26" max="27" width="3.6640625" customWidth="1"/>
    <col min="28" max="33" width="17.5546875" customWidth="1"/>
  </cols>
  <sheetData>
    <row r="1" spans="1:29" ht="24" customHeight="1">
      <c r="A1" s="79"/>
      <c r="B1" s="114" t="s">
        <v>1808</v>
      </c>
      <c r="C1" s="90"/>
      <c r="D1" s="90"/>
      <c r="E1" s="90"/>
      <c r="F1" s="90"/>
      <c r="G1" s="90"/>
      <c r="H1" s="90"/>
      <c r="I1" s="90"/>
      <c r="J1" s="90"/>
      <c r="K1" s="90"/>
      <c r="L1" s="90"/>
      <c r="M1" s="90"/>
      <c r="N1" s="90"/>
      <c r="O1" s="90"/>
      <c r="P1" s="90"/>
      <c r="Q1" s="90"/>
      <c r="R1" s="90"/>
      <c r="S1" s="90"/>
      <c r="T1" s="90"/>
      <c r="U1" s="79"/>
      <c r="V1" s="79"/>
      <c r="W1" s="79"/>
      <c r="X1" s="79"/>
      <c r="Y1" s="79"/>
      <c r="AB1" s="80" t="s">
        <v>1822</v>
      </c>
    </row>
    <row r="2" spans="1:29" ht="24" customHeight="1">
      <c r="A2" s="79"/>
      <c r="B2" s="90"/>
      <c r="C2" s="90"/>
      <c r="D2" s="90"/>
      <c r="E2" s="90"/>
      <c r="F2" s="90"/>
      <c r="G2" s="90"/>
      <c r="H2" s="90"/>
      <c r="I2" s="90"/>
      <c r="J2" s="90"/>
      <c r="K2" s="90"/>
      <c r="L2" s="90"/>
      <c r="M2" s="90"/>
      <c r="N2" s="90"/>
      <c r="O2" s="90"/>
      <c r="P2" s="90"/>
      <c r="Q2" s="90"/>
      <c r="R2" s="90"/>
      <c r="S2" s="90"/>
      <c r="T2" s="90"/>
      <c r="U2" s="79"/>
      <c r="V2" s="79"/>
      <c r="W2" s="79"/>
      <c r="X2" s="79"/>
      <c r="Y2" s="79"/>
      <c r="AB2" s="81" t="s">
        <v>1823</v>
      </c>
    </row>
    <row r="3" spans="1:29" ht="18" customHeight="1">
      <c r="A3" s="79"/>
      <c r="B3" s="115" t="s">
        <v>1809</v>
      </c>
      <c r="C3" s="90"/>
      <c r="D3" s="90"/>
      <c r="E3" s="90"/>
      <c r="F3" s="90"/>
      <c r="G3" s="90"/>
      <c r="H3" s="90"/>
      <c r="I3" s="90"/>
      <c r="J3" s="90"/>
      <c r="K3" s="90"/>
      <c r="L3" s="90"/>
      <c r="M3" s="90"/>
      <c r="N3" s="90"/>
      <c r="O3" s="90"/>
      <c r="P3" s="90"/>
      <c r="Q3" s="90"/>
      <c r="R3" s="90"/>
      <c r="S3" s="90"/>
      <c r="T3" s="90"/>
      <c r="U3" s="79"/>
      <c r="V3" s="79"/>
      <c r="W3" s="79"/>
      <c r="X3" s="79"/>
      <c r="Y3" s="79"/>
      <c r="AB3" s="82" t="s">
        <v>1237</v>
      </c>
      <c r="AC3" s="82" t="s">
        <v>1306</v>
      </c>
    </row>
    <row r="4" spans="1:29">
      <c r="A4" s="79"/>
      <c r="B4" s="79"/>
      <c r="C4" s="79"/>
      <c r="D4" s="79"/>
      <c r="E4" s="79"/>
      <c r="F4" s="79"/>
      <c r="G4" s="79"/>
      <c r="H4" s="79"/>
      <c r="I4" s="79"/>
      <c r="J4" s="79"/>
      <c r="K4" s="79"/>
      <c r="L4" s="79"/>
      <c r="M4" s="79"/>
      <c r="N4" s="79"/>
      <c r="O4" s="79"/>
      <c r="P4" s="79"/>
      <c r="Q4" s="79"/>
      <c r="R4" s="79"/>
      <c r="S4" s="79"/>
      <c r="T4" s="79"/>
      <c r="U4" s="79"/>
      <c r="V4" s="79"/>
      <c r="W4" s="79"/>
      <c r="X4" s="79"/>
      <c r="Y4" s="79"/>
      <c r="AB4" s="83" t="str">
        <f>'Analysis report'!A15</f>
        <v>Residential Tower</v>
      </c>
      <c r="AC4" s="83">
        <f>'Analysis report'!E15</f>
        <v>0.26303253869619536</v>
      </c>
    </row>
    <row r="5" spans="1:29" ht="16.05" customHeight="1">
      <c r="A5" s="79"/>
      <c r="B5" s="100" t="s">
        <v>1810</v>
      </c>
      <c r="C5" s="101"/>
      <c r="D5" s="101"/>
      <c r="E5" s="102"/>
      <c r="F5" s="79"/>
      <c r="G5" s="100" t="s">
        <v>1811</v>
      </c>
      <c r="H5" s="101"/>
      <c r="I5" s="101"/>
      <c r="J5" s="102"/>
      <c r="K5" s="79"/>
      <c r="L5" s="100" t="s">
        <v>1812</v>
      </c>
      <c r="M5" s="101"/>
      <c r="N5" s="101"/>
      <c r="O5" s="102"/>
      <c r="P5" s="79"/>
      <c r="Q5" s="100" t="s">
        <v>1813</v>
      </c>
      <c r="R5" s="101"/>
      <c r="S5" s="101"/>
      <c r="T5" s="102"/>
      <c r="U5" s="79"/>
      <c r="V5" s="79"/>
      <c r="W5" s="79"/>
      <c r="X5" s="79"/>
      <c r="Y5" s="79"/>
      <c r="AB5" s="83" t="str">
        <f>'Analysis report'!A16</f>
        <v>IT Park</v>
      </c>
      <c r="AC5" s="83">
        <f>'Analysis report'!E16</f>
        <v>0.2156748714407726</v>
      </c>
    </row>
    <row r="6" spans="1:29" ht="25.95" customHeight="1">
      <c r="A6" s="79"/>
      <c r="B6" s="116">
        <f>'Analysis report'!B927</f>
        <v>1425725823</v>
      </c>
      <c r="C6" s="104"/>
      <c r="D6" s="104"/>
      <c r="E6" s="105"/>
      <c r="F6" s="79"/>
      <c r="G6" s="116">
        <f>'Analysis report'!D927</f>
        <v>690772336</v>
      </c>
      <c r="H6" s="104"/>
      <c r="I6" s="104"/>
      <c r="J6" s="105"/>
      <c r="K6" s="79"/>
      <c r="L6" s="117">
        <f>'Analysis report'!F928</f>
        <v>0.49759999999999999</v>
      </c>
      <c r="M6" s="104"/>
      <c r="N6" s="104"/>
      <c r="O6" s="105"/>
      <c r="P6" s="79"/>
      <c r="Q6" s="112">
        <f>'Analysis report'!B932</f>
        <v>3</v>
      </c>
      <c r="R6" s="104"/>
      <c r="S6" s="104"/>
      <c r="T6" s="105"/>
      <c r="U6" s="79"/>
      <c r="V6" s="79"/>
      <c r="W6" s="79"/>
      <c r="X6" s="79"/>
      <c r="Y6" s="79"/>
      <c r="AB6" s="83" t="str">
        <f>'Analysis report'!A17</f>
        <v>University Campus</v>
      </c>
      <c r="AC6" s="83">
        <f>'Analysis report'!E17</f>
        <v>0.21727468199894195</v>
      </c>
    </row>
    <row r="7" spans="1:29" ht="15" customHeight="1">
      <c r="A7" s="79"/>
      <c r="B7" s="106" t="str">
        <f>TEXT('Analysis report'!B923,"0")&amp;" live projects  |  India · Australia · New Zealand"</f>
        <v>25 live projects  |  India · Australia · New Zealand</v>
      </c>
      <c r="C7" s="107"/>
      <c r="D7" s="107"/>
      <c r="E7" s="108"/>
      <c r="F7" s="79"/>
      <c r="G7" s="106" t="str">
        <f>TEXT('Analysis report'!D927/'Analysis report'!B927,"0.0%")&amp;" of budget drawn"</f>
        <v>48.5% of budget drawn</v>
      </c>
      <c r="H7" s="107"/>
      <c r="I7" s="107"/>
      <c r="J7" s="108"/>
      <c r="K7" s="79"/>
      <c r="L7" s="106" t="str">
        <f>"Avg CPI "&amp;TEXT('Analysis report'!F984,"0.00")&amp;"  (target 1.00)"</f>
        <v>Avg CPI 0.93  (target 1.00)</v>
      </c>
      <c r="M7" s="107"/>
      <c r="N7" s="107"/>
      <c r="O7" s="108"/>
      <c r="P7" s="79"/>
      <c r="Q7" s="106" t="str">
        <f>"CPI &amp; SPI &lt; 0.90  |  "&amp;TEXT('Analysis report'!E990,"$#,##0")&amp;" budget at risk"</f>
        <v>CPI &amp; SPI &lt; 0.90  |  $8,75,29,465 budget at risk</v>
      </c>
      <c r="R7" s="107"/>
      <c r="S7" s="107"/>
      <c r="T7" s="108"/>
      <c r="U7" s="79"/>
      <c r="V7" s="79"/>
      <c r="W7" s="79"/>
      <c r="X7" s="79"/>
      <c r="Y7" s="79"/>
      <c r="AB7" s="83" t="str">
        <f>'Analysis report'!A18</f>
        <v>Industrial Warehouse</v>
      </c>
      <c r="AC7" s="83">
        <f>'Analysis report'!E18</f>
        <v>0.14692435075205149</v>
      </c>
    </row>
    <row r="8" spans="1:29">
      <c r="A8" s="79"/>
      <c r="B8" s="79"/>
      <c r="C8" s="79"/>
      <c r="D8" s="79"/>
      <c r="E8" s="79"/>
      <c r="F8" s="79"/>
      <c r="G8" s="79"/>
      <c r="H8" s="79"/>
      <c r="I8" s="79"/>
      <c r="J8" s="79"/>
      <c r="K8" s="79"/>
      <c r="L8" s="79"/>
      <c r="M8" s="79"/>
      <c r="N8" s="79"/>
      <c r="O8" s="79"/>
      <c r="P8" s="79"/>
      <c r="Q8" s="79"/>
      <c r="R8" s="79"/>
      <c r="S8" s="79"/>
      <c r="T8" s="79"/>
      <c r="U8" s="79"/>
      <c r="V8" s="79"/>
      <c r="W8" s="79"/>
      <c r="X8" s="79"/>
      <c r="Y8" s="79"/>
      <c r="AB8" s="83" t="str">
        <f>'Analysis report'!A19</f>
        <v>Data Centre</v>
      </c>
      <c r="AC8" s="83">
        <f>'Analysis report'!E19</f>
        <v>0.12160820256079842</v>
      </c>
    </row>
    <row r="9" spans="1:29" ht="16.05" customHeight="1">
      <c r="A9" s="79"/>
      <c r="B9" s="100" t="s">
        <v>1814</v>
      </c>
      <c r="C9" s="101"/>
      <c r="D9" s="101"/>
      <c r="E9" s="102"/>
      <c r="F9" s="79"/>
      <c r="G9" s="100" t="s">
        <v>1815</v>
      </c>
      <c r="H9" s="101"/>
      <c r="I9" s="101"/>
      <c r="J9" s="102"/>
      <c r="K9" s="79"/>
      <c r="L9" s="100" t="s">
        <v>1816</v>
      </c>
      <c r="M9" s="101"/>
      <c r="N9" s="101"/>
      <c r="O9" s="102"/>
      <c r="P9" s="79"/>
      <c r="Q9" s="100" t="s">
        <v>1817</v>
      </c>
      <c r="R9" s="101"/>
      <c r="S9" s="101"/>
      <c r="T9" s="102"/>
      <c r="U9" s="79"/>
      <c r="V9" s="79"/>
      <c r="W9" s="79"/>
      <c r="X9" s="79"/>
      <c r="Y9" s="79"/>
      <c r="AB9" s="83" t="str">
        <f>'Analysis report'!A20</f>
        <v>Hospital</v>
      </c>
      <c r="AC9" s="83">
        <f>'Analysis report'!E20</f>
        <v>0.24714838879751946</v>
      </c>
    </row>
    <row r="10" spans="1:29" ht="25.95" customHeight="1">
      <c r="A10" s="79"/>
      <c r="B10" s="103">
        <f>'Analysis report'!E25</f>
        <v>0.17633727931211834</v>
      </c>
      <c r="C10" s="104"/>
      <c r="D10" s="104"/>
      <c r="E10" s="105"/>
      <c r="F10" s="79"/>
      <c r="G10" s="103">
        <f>'Analysis report'!C59</f>
        <v>0.9</v>
      </c>
      <c r="H10" s="104"/>
      <c r="I10" s="104"/>
      <c r="J10" s="105"/>
      <c r="K10" s="79"/>
      <c r="L10" s="111">
        <f>'Analysis report'!B462</f>
        <v>1467</v>
      </c>
      <c r="M10" s="104"/>
      <c r="N10" s="104"/>
      <c r="O10" s="105"/>
      <c r="P10" s="79"/>
      <c r="Q10" s="113">
        <f>'Analysis report'!B522</f>
        <v>-7316487</v>
      </c>
      <c r="R10" s="104"/>
      <c r="S10" s="104"/>
      <c r="T10" s="105"/>
      <c r="U10" s="79"/>
      <c r="V10" s="79"/>
      <c r="W10" s="79"/>
      <c r="X10" s="79"/>
      <c r="Y10" s="79"/>
      <c r="AB10" s="83" t="str">
        <f>'Analysis report'!A21</f>
        <v>Commercial Office</v>
      </c>
      <c r="AC10" s="83">
        <f>'Analysis report'!E21</f>
        <v>0.1456331045417259</v>
      </c>
    </row>
    <row r="11" spans="1:29" ht="15" customHeight="1">
      <c r="A11" s="79"/>
      <c r="B11" s="106" t="str">
        <f>TEXT('Analysis report'!D25,"$#,##0")&amp;" over budget on 50 projects"</f>
        <v>$37,95,48,193 over budget on 50 projects</v>
      </c>
      <c r="C11" s="107"/>
      <c r="D11" s="107"/>
      <c r="E11" s="108"/>
      <c r="F11" s="79"/>
      <c r="G11" s="106" t="str">
        <f>TEXT('Analysis report'!B59,"0")&amp;" of "&amp;TEXT('Analysis report'!B61,"0")&amp;" projects exceeded budget"</f>
        <v>45 of 50 projects exceeded budget</v>
      </c>
      <c r="H11" s="107"/>
      <c r="I11" s="107"/>
      <c r="J11" s="108"/>
      <c r="K11" s="79"/>
      <c r="L11" s="106" t="str">
        <f>"Cost of delay "&amp;TEXT('Analysis report'!C462,"$#,##0")&amp;" @ $15k/day"</f>
        <v>Cost of delay $2,20,05,000 @ $15k/day</v>
      </c>
      <c r="M11" s="107"/>
      <c r="N11" s="107"/>
      <c r="O11" s="108"/>
      <c r="P11" s="79"/>
      <c r="Q11" s="106" t="str">
        <f>"Collection forecast accuracy "&amp;TEXT('Analysis report'!D531,"0.0%")</f>
        <v>Collection forecast accuracy 76.9%</v>
      </c>
      <c r="R11" s="107"/>
      <c r="S11" s="107"/>
      <c r="T11" s="108"/>
      <c r="U11" s="79"/>
      <c r="V11" s="79"/>
      <c r="W11" s="79"/>
      <c r="X11" s="79"/>
      <c r="Y11" s="79"/>
      <c r="AB11" s="83" t="str">
        <f>'Analysis report'!A22</f>
        <v>Hotel</v>
      </c>
      <c r="AC11" s="83">
        <f>'Analysis report'!E22</f>
        <v>0.13721378428312062</v>
      </c>
    </row>
    <row r="12" spans="1:29">
      <c r="A12" s="79"/>
      <c r="B12" s="79"/>
      <c r="C12" s="79"/>
      <c r="D12" s="79"/>
      <c r="E12" s="79"/>
      <c r="F12" s="79"/>
      <c r="G12" s="79"/>
      <c r="H12" s="79"/>
      <c r="I12" s="79"/>
      <c r="J12" s="79"/>
      <c r="K12" s="79"/>
      <c r="L12" s="79"/>
      <c r="M12" s="79"/>
      <c r="N12" s="79"/>
      <c r="O12" s="79"/>
      <c r="P12" s="79"/>
      <c r="Q12" s="79"/>
      <c r="R12" s="79"/>
      <c r="S12" s="79"/>
      <c r="T12" s="79"/>
      <c r="U12" s="79"/>
      <c r="V12" s="79"/>
      <c r="W12" s="79"/>
      <c r="X12" s="79"/>
      <c r="Y12" s="79"/>
      <c r="AB12" s="83" t="str">
        <f>'Analysis report'!A23</f>
        <v>Metro Station</v>
      </c>
      <c r="AC12" s="83">
        <f>'Analysis report'!E23</f>
        <v>0.1353116741729242</v>
      </c>
    </row>
    <row r="13" spans="1:29" ht="16.05" customHeight="1">
      <c r="A13" s="79"/>
      <c r="B13" s="100" t="s">
        <v>1818</v>
      </c>
      <c r="C13" s="101"/>
      <c r="D13" s="101"/>
      <c r="E13" s="102"/>
      <c r="F13" s="79"/>
      <c r="G13" s="100" t="s">
        <v>1819</v>
      </c>
      <c r="H13" s="101"/>
      <c r="I13" s="101"/>
      <c r="J13" s="102"/>
      <c r="K13" s="79"/>
      <c r="L13" s="100" t="s">
        <v>1820</v>
      </c>
      <c r="M13" s="101"/>
      <c r="N13" s="101"/>
      <c r="O13" s="102"/>
      <c r="P13" s="79"/>
      <c r="Q13" s="100" t="s">
        <v>1821</v>
      </c>
      <c r="R13" s="101"/>
      <c r="S13" s="101"/>
      <c r="T13" s="102"/>
      <c r="U13" s="79"/>
      <c r="V13" s="79"/>
      <c r="W13" s="79"/>
      <c r="X13" s="79"/>
      <c r="Y13" s="79"/>
      <c r="AB13" s="83" t="str">
        <f>'Analysis report'!A24</f>
        <v>Shopping Mall</v>
      </c>
      <c r="AC13" s="83">
        <f>'Analysis report'!E24</f>
        <v>3.3802806582595241E-2</v>
      </c>
    </row>
    <row r="14" spans="1:29" ht="25.95" customHeight="1">
      <c r="A14" s="79"/>
      <c r="B14" s="109">
        <f>'Analysis report'!F848</f>
        <v>11856858</v>
      </c>
      <c r="C14" s="104"/>
      <c r="D14" s="104"/>
      <c r="E14" s="105"/>
      <c r="F14" s="79"/>
      <c r="G14" s="110">
        <f>'Analysis report'!D560</f>
        <v>3297152</v>
      </c>
      <c r="H14" s="104"/>
      <c r="I14" s="104"/>
      <c r="J14" s="105"/>
      <c r="K14" s="79"/>
      <c r="L14" s="103">
        <f>1-'Analysis report'!D816</f>
        <v>0.30000000000000004</v>
      </c>
      <c r="M14" s="104"/>
      <c r="N14" s="104"/>
      <c r="O14" s="105"/>
      <c r="P14" s="79"/>
      <c r="Q14" s="103">
        <f>'Analysis report'!D727</f>
        <v>0.11140885957550287</v>
      </c>
      <c r="R14" s="104"/>
      <c r="S14" s="104"/>
      <c r="T14" s="105"/>
      <c r="U14" s="79"/>
      <c r="V14" s="79"/>
      <c r="W14" s="79"/>
      <c r="X14" s="79"/>
      <c r="Y14" s="79"/>
    </row>
    <row r="15" spans="1:29" ht="15" customHeight="1">
      <c r="A15" s="79"/>
      <c r="B15" s="106" t="str">
        <f>TEXT('Analysis report'!C872,"$#,##0")&amp;" of it is 90+ days overdue ("&amp;TEXT('Analysis report'!C872/'Analysis report'!F848,"0.0%")&amp;")"</f>
        <v>$68,31,506 of it is 90+ days overdue (57.6%)</v>
      </c>
      <c r="C15" s="107"/>
      <c r="D15" s="107"/>
      <c r="E15" s="108"/>
      <c r="F15" s="79"/>
      <c r="G15" s="106" t="str">
        <f>TEXT('Analysis report'!B560,"0")&amp;" of 45 variations pending / under review"</f>
        <v>15 of 45 variations pending / under review</v>
      </c>
      <c r="H15" s="107"/>
      <c r="I15" s="107"/>
      <c r="J15" s="108"/>
      <c r="K15" s="79"/>
      <c r="L15" s="106" t="str">
        <f>TEXT('Analysis report'!B816,"0")&amp;" of "&amp;TEXT('Analysis report'!F816,"0")&amp;" POs late, avg "&amp;TEXT('Analysis report'!D817,"0.0")&amp;" days"</f>
        <v>35 of 50 POs late, avg 5.9 days</v>
      </c>
      <c r="M15" s="107"/>
      <c r="N15" s="107"/>
      <c r="O15" s="108"/>
      <c r="P15" s="79"/>
      <c r="Q15" s="106" t="str">
        <f>"EAC "&amp;TEXT('Analysis report'!D726,"$#,##0")&amp;" vs BAC "&amp;TEXT('Analysis report'!B726,"$#,##0")</f>
        <v>EAC $2,77,85,221 vs BAC $2,50,00,000</v>
      </c>
      <c r="R15" s="107"/>
      <c r="S15" s="107"/>
      <c r="T15" s="108"/>
      <c r="U15" s="79"/>
      <c r="V15" s="79"/>
      <c r="W15" s="79"/>
      <c r="X15" s="79"/>
      <c r="Y15" s="79"/>
      <c r="AB15" s="81" t="s">
        <v>1824</v>
      </c>
    </row>
    <row r="16" spans="1:29">
      <c r="A16" s="79"/>
      <c r="B16" s="79"/>
      <c r="C16" s="79"/>
      <c r="D16" s="79"/>
      <c r="E16" s="79"/>
      <c r="F16" s="79"/>
      <c r="G16" s="79"/>
      <c r="H16" s="79"/>
      <c r="I16" s="79"/>
      <c r="J16" s="79"/>
      <c r="K16" s="79"/>
      <c r="L16" s="79"/>
      <c r="M16" s="79"/>
      <c r="N16" s="79"/>
      <c r="O16" s="79"/>
      <c r="P16" s="79"/>
      <c r="Q16" s="79"/>
      <c r="R16" s="79"/>
      <c r="S16" s="79"/>
      <c r="T16" s="79"/>
      <c r="U16" s="79"/>
      <c r="V16" s="79"/>
      <c r="W16" s="79"/>
      <c r="X16" s="79"/>
      <c r="Y16" s="79"/>
      <c r="AB16" s="82" t="s">
        <v>1698</v>
      </c>
      <c r="AC16" s="82" t="s">
        <v>1311</v>
      </c>
    </row>
    <row r="17" spans="1:29">
      <c r="A17" s="79"/>
      <c r="B17" s="79"/>
      <c r="C17" s="79"/>
      <c r="D17" s="79"/>
      <c r="E17" s="79"/>
      <c r="F17" s="79"/>
      <c r="G17" s="79"/>
      <c r="H17" s="79"/>
      <c r="I17" s="79"/>
      <c r="J17" s="79"/>
      <c r="K17" s="79"/>
      <c r="L17" s="79"/>
      <c r="M17" s="79"/>
      <c r="N17" s="79"/>
      <c r="O17" s="79"/>
      <c r="P17" s="79"/>
      <c r="Q17" s="79"/>
      <c r="R17" s="79"/>
      <c r="S17" s="79"/>
      <c r="T17" s="79"/>
      <c r="U17" s="79"/>
      <c r="V17" s="79"/>
      <c r="W17" s="79"/>
      <c r="X17" s="79"/>
      <c r="Y17" s="79"/>
      <c r="AB17" s="83" t="str">
        <f>'Analysis report'!C30</f>
        <v>Residential Tower Per-29</v>
      </c>
      <c r="AC17" s="83">
        <f>'Analysis report'!E30</f>
        <v>24654239</v>
      </c>
    </row>
    <row r="18" spans="1:29" ht="22.05" customHeight="1">
      <c r="A18" s="79"/>
      <c r="B18" s="99" t="s">
        <v>1843</v>
      </c>
      <c r="C18" s="90"/>
      <c r="D18" s="90"/>
      <c r="E18" s="90"/>
      <c r="F18" s="90"/>
      <c r="G18" s="90"/>
      <c r="H18" s="90"/>
      <c r="I18" s="90"/>
      <c r="J18" s="90"/>
      <c r="K18" s="90"/>
      <c r="L18" s="90"/>
      <c r="M18" s="90"/>
      <c r="N18" s="90"/>
      <c r="O18" s="90"/>
      <c r="P18" s="90"/>
      <c r="Q18" s="90"/>
      <c r="R18" s="90"/>
      <c r="S18" s="90"/>
      <c r="T18" s="90"/>
      <c r="U18" s="79"/>
      <c r="V18" s="79"/>
      <c r="W18" s="79"/>
      <c r="X18" s="79"/>
      <c r="Y18" s="79"/>
      <c r="AB18" s="83" t="str">
        <f>'Analysis report'!C31</f>
        <v>Residential Tower Hyd-33</v>
      </c>
      <c r="AC18" s="83">
        <f>'Analysis report'!E31</f>
        <v>21628203</v>
      </c>
    </row>
    <row r="19" spans="1:29">
      <c r="A19" s="79"/>
      <c r="B19" s="79"/>
      <c r="C19" s="79"/>
      <c r="D19" s="79"/>
      <c r="E19" s="79"/>
      <c r="F19" s="79"/>
      <c r="G19" s="79"/>
      <c r="H19" s="79"/>
      <c r="I19" s="79"/>
      <c r="J19" s="79"/>
      <c r="K19" s="79"/>
      <c r="L19" s="79"/>
      <c r="M19" s="79"/>
      <c r="N19" s="79"/>
      <c r="O19" s="79"/>
      <c r="P19" s="79"/>
      <c r="Q19" s="79"/>
      <c r="R19" s="79"/>
      <c r="S19" s="79"/>
      <c r="T19" s="79"/>
      <c r="U19" s="79"/>
      <c r="V19" s="79"/>
      <c r="W19" s="79"/>
      <c r="X19" s="79"/>
      <c r="Y19" s="79"/>
      <c r="AB19" s="83" t="str">
        <f>'Analysis report'!C32</f>
        <v>IT Park Syd-34</v>
      </c>
      <c r="AC19" s="83">
        <f>'Analysis report'!E32</f>
        <v>19739335</v>
      </c>
    </row>
    <row r="20" spans="1:29">
      <c r="A20" s="79"/>
      <c r="B20" s="79"/>
      <c r="C20" s="79"/>
      <c r="D20" s="79"/>
      <c r="E20" s="79"/>
      <c r="F20" s="79"/>
      <c r="G20" s="79"/>
      <c r="H20" s="79"/>
      <c r="I20" s="79"/>
      <c r="J20" s="79"/>
      <c r="K20" s="79"/>
      <c r="L20" s="79"/>
      <c r="M20" s="79"/>
      <c r="N20" s="79"/>
      <c r="O20" s="79"/>
      <c r="P20" s="79"/>
      <c r="Q20" s="79"/>
      <c r="R20" s="79"/>
      <c r="S20" s="79"/>
      <c r="T20" s="79"/>
      <c r="U20" s="79"/>
      <c r="V20" s="79"/>
      <c r="W20" s="79"/>
      <c r="X20" s="79"/>
      <c r="Y20" s="79"/>
      <c r="AB20" s="83" t="str">
        <f>'Analysis report'!C33</f>
        <v>University Campus Kol-35</v>
      </c>
      <c r="AC20" s="83">
        <f>'Analysis report'!E33</f>
        <v>19335358</v>
      </c>
    </row>
    <row r="21" spans="1:29">
      <c r="A21" s="79"/>
      <c r="B21" s="79"/>
      <c r="C21" s="79"/>
      <c r="D21" s="79"/>
      <c r="E21" s="79"/>
      <c r="F21" s="79"/>
      <c r="G21" s="79"/>
      <c r="H21" s="79"/>
      <c r="I21" s="79"/>
      <c r="J21" s="79"/>
      <c r="K21" s="79"/>
      <c r="L21" s="79"/>
      <c r="M21" s="79"/>
      <c r="N21" s="79"/>
      <c r="O21" s="79"/>
      <c r="P21" s="79"/>
      <c r="Q21" s="79"/>
      <c r="R21" s="79"/>
      <c r="S21" s="79"/>
      <c r="T21" s="79"/>
      <c r="U21" s="79"/>
      <c r="V21" s="79"/>
      <c r="W21" s="79"/>
      <c r="X21" s="79"/>
      <c r="Y21" s="79"/>
      <c r="AB21" s="83" t="str">
        <f>'Analysis report'!C34</f>
        <v>Industrial Warehouse Can-44</v>
      </c>
      <c r="AC21" s="83">
        <f>'Analysis report'!E34</f>
        <v>19116067</v>
      </c>
    </row>
    <row r="22" spans="1:29">
      <c r="A22" s="79"/>
      <c r="B22" s="79"/>
      <c r="C22" s="79"/>
      <c r="D22" s="79"/>
      <c r="E22" s="79"/>
      <c r="F22" s="79"/>
      <c r="G22" s="79"/>
      <c r="H22" s="79"/>
      <c r="I22" s="79"/>
      <c r="J22" s="79"/>
      <c r="K22" s="79"/>
      <c r="L22" s="79"/>
      <c r="M22" s="79"/>
      <c r="N22" s="79"/>
      <c r="O22" s="79"/>
      <c r="P22" s="79"/>
      <c r="Q22" s="79"/>
      <c r="R22" s="79"/>
      <c r="S22" s="79"/>
      <c r="T22" s="79"/>
      <c r="U22" s="79"/>
      <c r="V22" s="79"/>
      <c r="W22" s="79"/>
      <c r="X22" s="79"/>
      <c r="Y22" s="79"/>
    </row>
    <row r="23" spans="1:29">
      <c r="A23" s="79"/>
      <c r="B23" s="79"/>
      <c r="C23" s="79"/>
      <c r="D23" s="79"/>
      <c r="E23" s="79"/>
      <c r="F23" s="79"/>
      <c r="G23" s="79"/>
      <c r="H23" s="79"/>
      <c r="I23" s="79"/>
      <c r="J23" s="79"/>
      <c r="K23" s="79"/>
      <c r="L23" s="79"/>
      <c r="M23" s="79"/>
      <c r="N23" s="79"/>
      <c r="O23" s="79"/>
      <c r="P23" s="79"/>
      <c r="Q23" s="79"/>
      <c r="R23" s="79"/>
      <c r="S23" s="79"/>
      <c r="T23" s="79"/>
      <c r="U23" s="79"/>
      <c r="V23" s="79"/>
      <c r="W23" s="79"/>
      <c r="X23" s="79"/>
      <c r="Y23" s="79"/>
      <c r="AB23" s="81" t="s">
        <v>1825</v>
      </c>
    </row>
    <row r="24" spans="1:29">
      <c r="A24" s="79"/>
      <c r="B24" s="79"/>
      <c r="C24" s="79"/>
      <c r="D24" s="79"/>
      <c r="E24" s="79"/>
      <c r="F24" s="79"/>
      <c r="G24" s="79"/>
      <c r="H24" s="79"/>
      <c r="I24" s="79"/>
      <c r="J24" s="79"/>
      <c r="K24" s="79"/>
      <c r="L24" s="79"/>
      <c r="M24" s="79"/>
      <c r="N24" s="79"/>
      <c r="O24" s="79"/>
      <c r="P24" s="79"/>
      <c r="Q24" s="79"/>
      <c r="R24" s="79"/>
      <c r="S24" s="79"/>
      <c r="T24" s="79"/>
      <c r="U24" s="79"/>
      <c r="V24" s="79"/>
      <c r="W24" s="79"/>
      <c r="X24" s="79"/>
      <c r="Y24" s="79"/>
      <c r="AB24" s="82" t="s">
        <v>71</v>
      </c>
      <c r="AC24" s="82" t="s">
        <v>1599</v>
      </c>
    </row>
    <row r="25" spans="1:29">
      <c r="A25" s="79"/>
      <c r="B25" s="79"/>
      <c r="C25" s="79"/>
      <c r="D25" s="79"/>
      <c r="E25" s="79"/>
      <c r="F25" s="79"/>
      <c r="G25" s="79"/>
      <c r="H25" s="79"/>
      <c r="I25" s="79"/>
      <c r="J25" s="79"/>
      <c r="K25" s="79"/>
      <c r="L25" s="79"/>
      <c r="M25" s="79"/>
      <c r="N25" s="79"/>
      <c r="O25" s="79"/>
      <c r="P25" s="79"/>
      <c r="Q25" s="79"/>
      <c r="R25" s="79"/>
      <c r="S25" s="79"/>
      <c r="T25" s="79"/>
      <c r="U25" s="79"/>
      <c r="V25" s="79"/>
      <c r="W25" s="79"/>
      <c r="X25" s="79"/>
      <c r="Y25" s="79"/>
      <c r="AB25" s="83" t="str">
        <f>'Analysis report'!A652</f>
        <v>Australia</v>
      </c>
      <c r="AC25" s="83">
        <f>'Analysis report'!B652</f>
        <v>3677.1111111111113</v>
      </c>
    </row>
    <row r="26" spans="1:29">
      <c r="A26" s="79"/>
      <c r="B26" s="79"/>
      <c r="C26" s="79"/>
      <c r="D26" s="79"/>
      <c r="E26" s="79"/>
      <c r="F26" s="79"/>
      <c r="G26" s="79"/>
      <c r="H26" s="79"/>
      <c r="I26" s="79"/>
      <c r="J26" s="79"/>
      <c r="K26" s="79"/>
      <c r="L26" s="79"/>
      <c r="M26" s="79"/>
      <c r="N26" s="79"/>
      <c r="O26" s="79"/>
      <c r="P26" s="79"/>
      <c r="Q26" s="79"/>
      <c r="R26" s="79"/>
      <c r="S26" s="79"/>
      <c r="T26" s="79"/>
      <c r="U26" s="79"/>
      <c r="V26" s="79"/>
      <c r="W26" s="79"/>
      <c r="X26" s="79"/>
      <c r="Y26" s="79"/>
      <c r="AB26" s="83" t="str">
        <f>'Analysis report'!A653</f>
        <v>India</v>
      </c>
      <c r="AC26" s="83">
        <f>'Analysis report'!B653</f>
        <v>670.4</v>
      </c>
    </row>
    <row r="27" spans="1:29">
      <c r="A27" s="79"/>
      <c r="B27" s="79"/>
      <c r="C27" s="79"/>
      <c r="D27" s="79"/>
      <c r="E27" s="79"/>
      <c r="F27" s="79"/>
      <c r="G27" s="79"/>
      <c r="H27" s="79"/>
      <c r="I27" s="79"/>
      <c r="J27" s="79"/>
      <c r="K27" s="79"/>
      <c r="L27" s="79"/>
      <c r="M27" s="79"/>
      <c r="N27" s="79"/>
      <c r="O27" s="79"/>
      <c r="P27" s="79"/>
      <c r="Q27" s="79"/>
      <c r="R27" s="79"/>
      <c r="S27" s="79"/>
      <c r="T27" s="79"/>
      <c r="U27" s="79"/>
      <c r="V27" s="79"/>
      <c r="W27" s="79"/>
      <c r="X27" s="79"/>
      <c r="Y27" s="79"/>
      <c r="AB27" s="83" t="str">
        <f>'Analysis report'!A654</f>
        <v>New Zealand</v>
      </c>
      <c r="AC27" s="83">
        <f>'Analysis report'!B654</f>
        <v>2993</v>
      </c>
    </row>
    <row r="28" spans="1:29">
      <c r="A28" s="79"/>
      <c r="B28" s="79"/>
      <c r="C28" s="79"/>
      <c r="D28" s="79"/>
      <c r="E28" s="79"/>
      <c r="F28" s="79"/>
      <c r="G28" s="79"/>
      <c r="H28" s="79"/>
      <c r="I28" s="79"/>
      <c r="J28" s="79"/>
      <c r="K28" s="79"/>
      <c r="L28" s="79"/>
      <c r="M28" s="79"/>
      <c r="N28" s="79"/>
      <c r="O28" s="79"/>
      <c r="P28" s="79"/>
      <c r="Q28" s="79"/>
      <c r="R28" s="79"/>
      <c r="S28" s="79"/>
      <c r="T28" s="79"/>
      <c r="U28" s="79"/>
      <c r="V28" s="79"/>
      <c r="W28" s="79"/>
      <c r="X28" s="79"/>
      <c r="Y28" s="79"/>
    </row>
    <row r="29" spans="1: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AB29" s="81" t="s">
        <v>1826</v>
      </c>
    </row>
    <row r="30" spans="1:29">
      <c r="A30" s="79"/>
      <c r="B30" s="79"/>
      <c r="C30" s="79"/>
      <c r="D30" s="79"/>
      <c r="E30" s="79"/>
      <c r="F30" s="79"/>
      <c r="G30" s="79"/>
      <c r="H30" s="79"/>
      <c r="I30" s="79"/>
      <c r="J30" s="79"/>
      <c r="K30" s="79"/>
      <c r="L30" s="79"/>
      <c r="M30" s="79"/>
      <c r="N30" s="79"/>
      <c r="O30" s="79"/>
      <c r="P30" s="79"/>
      <c r="Q30" s="79"/>
      <c r="R30" s="79"/>
      <c r="S30" s="79"/>
      <c r="T30" s="79"/>
      <c r="U30" s="79"/>
      <c r="V30" s="79"/>
      <c r="W30" s="79"/>
      <c r="X30" s="79"/>
      <c r="Y30" s="79"/>
      <c r="AB30" s="82" t="s">
        <v>71</v>
      </c>
      <c r="AC30" s="82" t="s">
        <v>1827</v>
      </c>
    </row>
    <row r="31" spans="1:29">
      <c r="A31" s="79"/>
      <c r="B31" s="79"/>
      <c r="C31" s="79"/>
      <c r="D31" s="79"/>
      <c r="E31" s="79"/>
      <c r="F31" s="79"/>
      <c r="G31" s="79"/>
      <c r="H31" s="79"/>
      <c r="I31" s="79"/>
      <c r="J31" s="79"/>
      <c r="K31" s="79"/>
      <c r="L31" s="79"/>
      <c r="M31" s="79"/>
      <c r="N31" s="79"/>
      <c r="O31" s="79"/>
      <c r="P31" s="79"/>
      <c r="Q31" s="79"/>
      <c r="R31" s="79"/>
      <c r="S31" s="79"/>
      <c r="T31" s="79"/>
      <c r="U31" s="79"/>
      <c r="V31" s="79"/>
      <c r="W31" s="79"/>
      <c r="X31" s="79"/>
      <c r="Y31" s="79"/>
      <c r="AB31" s="83" t="str">
        <f>'Analysis report'!A8</f>
        <v>Australia</v>
      </c>
      <c r="AC31" s="83">
        <f>'Analysis report'!B8</f>
        <v>0.16732436817697408</v>
      </c>
    </row>
    <row r="32" spans="1:29">
      <c r="A32" s="79"/>
      <c r="B32" s="79"/>
      <c r="C32" s="79"/>
      <c r="D32" s="79"/>
      <c r="E32" s="79"/>
      <c r="F32" s="79"/>
      <c r="G32" s="79"/>
      <c r="H32" s="79"/>
      <c r="I32" s="79"/>
      <c r="J32" s="79"/>
      <c r="K32" s="79"/>
      <c r="L32" s="79"/>
      <c r="M32" s="79"/>
      <c r="N32" s="79"/>
      <c r="O32" s="79"/>
      <c r="P32" s="79"/>
      <c r="Q32" s="79"/>
      <c r="R32" s="79"/>
      <c r="S32" s="79"/>
      <c r="T32" s="79"/>
      <c r="U32" s="79"/>
      <c r="V32" s="79"/>
      <c r="W32" s="79"/>
      <c r="X32" s="79"/>
      <c r="Y32" s="79"/>
      <c r="AB32" s="83" t="str">
        <f>'Analysis report'!A9</f>
        <v>India</v>
      </c>
      <c r="AC32" s="83">
        <f>'Analysis report'!B9</f>
        <v>0.15763933156400675</v>
      </c>
    </row>
    <row r="33" spans="1:30">
      <c r="A33" s="79"/>
      <c r="B33" s="79"/>
      <c r="C33" s="79"/>
      <c r="D33" s="79"/>
      <c r="E33" s="79"/>
      <c r="F33" s="79"/>
      <c r="G33" s="79"/>
      <c r="H33" s="79"/>
      <c r="I33" s="79"/>
      <c r="J33" s="79"/>
      <c r="K33" s="79"/>
      <c r="L33" s="79"/>
      <c r="M33" s="79"/>
      <c r="N33" s="79"/>
      <c r="O33" s="79"/>
      <c r="P33" s="79"/>
      <c r="Q33" s="79"/>
      <c r="R33" s="79"/>
      <c r="S33" s="79"/>
      <c r="T33" s="79"/>
      <c r="U33" s="79"/>
      <c r="V33" s="79"/>
      <c r="W33" s="79"/>
      <c r="X33" s="79"/>
      <c r="Y33" s="79"/>
      <c r="AB33" s="83" t="str">
        <f>'Analysis report'!A10</f>
        <v>New Zealand</v>
      </c>
      <c r="AC33" s="83">
        <f>'Analysis report'!B10</f>
        <v>0.19747604341132344</v>
      </c>
    </row>
    <row r="34" spans="1:30">
      <c r="A34" s="79"/>
      <c r="B34" s="79"/>
      <c r="C34" s="79"/>
      <c r="D34" s="79"/>
      <c r="E34" s="79"/>
      <c r="F34" s="79"/>
      <c r="G34" s="79"/>
      <c r="H34" s="79"/>
      <c r="I34" s="79"/>
      <c r="J34" s="79"/>
      <c r="K34" s="79"/>
      <c r="L34" s="79"/>
      <c r="M34" s="79"/>
      <c r="N34" s="79"/>
      <c r="O34" s="79"/>
      <c r="P34" s="79"/>
      <c r="Q34" s="79"/>
      <c r="R34" s="79"/>
      <c r="S34" s="79"/>
      <c r="T34" s="79"/>
      <c r="U34" s="79"/>
      <c r="V34" s="79"/>
      <c r="W34" s="79"/>
      <c r="X34" s="79"/>
      <c r="Y34" s="79"/>
    </row>
    <row r="35" spans="1:30">
      <c r="A35" s="79"/>
      <c r="B35" s="79"/>
      <c r="C35" s="79"/>
      <c r="D35" s="79"/>
      <c r="E35" s="79"/>
      <c r="F35" s="79"/>
      <c r="G35" s="79"/>
      <c r="H35" s="79"/>
      <c r="I35" s="79"/>
      <c r="J35" s="79"/>
      <c r="K35" s="79"/>
      <c r="L35" s="79"/>
      <c r="M35" s="79"/>
      <c r="N35" s="79"/>
      <c r="O35" s="79"/>
      <c r="P35" s="79"/>
      <c r="Q35" s="79"/>
      <c r="R35" s="79"/>
      <c r="S35" s="79"/>
      <c r="T35" s="79"/>
      <c r="U35" s="79"/>
      <c r="V35" s="79"/>
      <c r="W35" s="79"/>
      <c r="X35" s="79"/>
      <c r="Y35" s="79"/>
      <c r="AB35" s="81" t="s">
        <v>1828</v>
      </c>
    </row>
    <row r="36" spans="1:30">
      <c r="A36" s="79"/>
      <c r="B36" s="79"/>
      <c r="C36" s="79"/>
      <c r="D36" s="79"/>
      <c r="E36" s="79"/>
      <c r="F36" s="79"/>
      <c r="G36" s="79"/>
      <c r="H36" s="79"/>
      <c r="I36" s="79"/>
      <c r="J36" s="79"/>
      <c r="K36" s="79"/>
      <c r="L36" s="79"/>
      <c r="M36" s="79"/>
      <c r="N36" s="79"/>
      <c r="O36" s="79"/>
      <c r="P36" s="79"/>
      <c r="Q36" s="79"/>
      <c r="R36" s="79"/>
      <c r="S36" s="79"/>
      <c r="T36" s="79"/>
      <c r="U36" s="79"/>
      <c r="V36" s="79"/>
      <c r="W36" s="79"/>
      <c r="X36" s="79"/>
      <c r="Y36" s="79"/>
      <c r="AB36" s="82" t="s">
        <v>1829</v>
      </c>
      <c r="AC36" s="82" t="s">
        <v>1487</v>
      </c>
      <c r="AD36" s="82" t="s">
        <v>1477</v>
      </c>
    </row>
    <row r="37" spans="1:30">
      <c r="A37" s="79"/>
      <c r="B37" s="79"/>
      <c r="C37" s="79"/>
      <c r="D37" s="79"/>
      <c r="E37" s="79"/>
      <c r="F37" s="79"/>
      <c r="G37" s="79"/>
      <c r="H37" s="79"/>
      <c r="I37" s="79"/>
      <c r="J37" s="79"/>
      <c r="K37" s="79"/>
      <c r="L37" s="79"/>
      <c r="M37" s="79"/>
      <c r="N37" s="79"/>
      <c r="O37" s="79"/>
      <c r="P37" s="79"/>
      <c r="Q37" s="79"/>
      <c r="R37" s="79"/>
      <c r="S37" s="79"/>
      <c r="T37" s="79"/>
      <c r="U37" s="79"/>
      <c r="V37" s="79"/>
      <c r="W37" s="79"/>
      <c r="X37" s="79"/>
      <c r="Y37" s="79"/>
      <c r="AB37" s="83" t="str">
        <f>'Analysis report'!B387</f>
        <v>RFI Response Delay</v>
      </c>
      <c r="AC37" s="83">
        <f>'Analysis report'!C387</f>
        <v>11</v>
      </c>
      <c r="AD37" s="83">
        <f>'Analysis report'!E387</f>
        <v>0.18333333333333332</v>
      </c>
    </row>
    <row r="38" spans="1:30">
      <c r="A38" s="79"/>
      <c r="B38" s="79"/>
      <c r="C38" s="79"/>
      <c r="D38" s="79"/>
      <c r="E38" s="79"/>
      <c r="F38" s="79"/>
      <c r="G38" s="79"/>
      <c r="H38" s="79"/>
      <c r="I38" s="79"/>
      <c r="J38" s="79"/>
      <c r="K38" s="79"/>
      <c r="L38" s="79"/>
      <c r="M38" s="79"/>
      <c r="N38" s="79"/>
      <c r="O38" s="79"/>
      <c r="P38" s="79"/>
      <c r="Q38" s="79"/>
      <c r="R38" s="79"/>
      <c r="S38" s="79"/>
      <c r="T38" s="79"/>
      <c r="U38" s="79"/>
      <c r="V38" s="79"/>
      <c r="W38" s="79"/>
      <c r="X38" s="79"/>
      <c r="Y38" s="79"/>
      <c r="AB38" s="83" t="str">
        <f>'Analysis report'!B388</f>
        <v>Permit Delay</v>
      </c>
      <c r="AC38" s="83">
        <f>'Analysis report'!C388</f>
        <v>8</v>
      </c>
      <c r="AD38" s="83">
        <f>'Analysis report'!E388</f>
        <v>0.31666666666666665</v>
      </c>
    </row>
    <row r="39" spans="1:30" ht="22.05" customHeight="1">
      <c r="A39" s="79"/>
      <c r="B39" s="99" t="s">
        <v>1844</v>
      </c>
      <c r="C39" s="90"/>
      <c r="D39" s="90"/>
      <c r="E39" s="90"/>
      <c r="F39" s="90"/>
      <c r="G39" s="90"/>
      <c r="H39" s="90"/>
      <c r="I39" s="90"/>
      <c r="J39" s="90"/>
      <c r="K39" s="90"/>
      <c r="L39" s="90"/>
      <c r="M39" s="90"/>
      <c r="N39" s="90"/>
      <c r="O39" s="90"/>
      <c r="P39" s="90"/>
      <c r="Q39" s="90"/>
      <c r="R39" s="90"/>
      <c r="S39" s="90"/>
      <c r="T39" s="90"/>
      <c r="U39" s="79"/>
      <c r="V39" s="79"/>
      <c r="W39" s="79"/>
      <c r="X39" s="79"/>
      <c r="Y39" s="79"/>
      <c r="AB39" s="83" t="str">
        <f>'Analysis report'!B389</f>
        <v>Material Delay</v>
      </c>
      <c r="AC39" s="83">
        <f>'Analysis report'!C389</f>
        <v>8</v>
      </c>
      <c r="AD39" s="83">
        <f>'Analysis report'!E389</f>
        <v>0.44999999999999996</v>
      </c>
    </row>
    <row r="40" spans="1:3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AB40" s="83" t="str">
        <f>'Analysis report'!B390</f>
        <v>Client Decision Pending</v>
      </c>
      <c r="AC40" s="83">
        <f>'Analysis report'!C390</f>
        <v>6</v>
      </c>
      <c r="AD40" s="83">
        <f>'Analysis report'!E390</f>
        <v>0.54999999999999993</v>
      </c>
    </row>
    <row r="41" spans="1:30">
      <c r="A41" s="79"/>
      <c r="B41" s="79"/>
      <c r="C41" s="79"/>
      <c r="D41" s="79"/>
      <c r="E41" s="79"/>
      <c r="F41" s="79"/>
      <c r="G41" s="79"/>
      <c r="H41" s="79"/>
      <c r="I41" s="79"/>
      <c r="J41" s="79"/>
      <c r="K41" s="79"/>
      <c r="L41" s="79"/>
      <c r="M41" s="79"/>
      <c r="N41" s="79"/>
      <c r="O41" s="79"/>
      <c r="P41" s="79"/>
      <c r="Q41" s="79"/>
      <c r="R41" s="79"/>
      <c r="S41" s="79"/>
      <c r="T41" s="79"/>
      <c r="U41" s="79"/>
      <c r="V41" s="79"/>
      <c r="W41" s="79"/>
      <c r="X41" s="79"/>
      <c r="Y41" s="79"/>
      <c r="AB41" s="83" t="str">
        <f>'Analysis report'!B391</f>
        <v>Labour Shortage</v>
      </c>
      <c r="AC41" s="83">
        <f>'Analysis report'!C391</f>
        <v>5</v>
      </c>
      <c r="AD41" s="83">
        <f>'Analysis report'!E391</f>
        <v>0.6333333333333333</v>
      </c>
    </row>
    <row r="42" spans="1:30">
      <c r="A42" s="79"/>
      <c r="B42" s="79"/>
      <c r="C42" s="79"/>
      <c r="D42" s="79"/>
      <c r="E42" s="79"/>
      <c r="F42" s="79"/>
      <c r="G42" s="79"/>
      <c r="H42" s="79"/>
      <c r="I42" s="79"/>
      <c r="J42" s="79"/>
      <c r="K42" s="79"/>
      <c r="L42" s="79"/>
      <c r="M42" s="79"/>
      <c r="N42" s="79"/>
      <c r="O42" s="79"/>
      <c r="P42" s="79"/>
      <c r="Q42" s="79"/>
      <c r="R42" s="79"/>
      <c r="S42" s="79"/>
      <c r="T42" s="79"/>
      <c r="U42" s="79"/>
      <c r="V42" s="79"/>
      <c r="W42" s="79"/>
      <c r="X42" s="79"/>
      <c r="Y42" s="79"/>
      <c r="AB42" s="83" t="str">
        <f>'Analysis report'!B392</f>
        <v>Equipment Breakdown</v>
      </c>
      <c r="AC42" s="83">
        <f>'Analysis report'!C392</f>
        <v>5</v>
      </c>
      <c r="AD42" s="83">
        <f>'Analysis report'!E392</f>
        <v>0.71666666666666667</v>
      </c>
    </row>
    <row r="43" spans="1:30">
      <c r="A43" s="79"/>
      <c r="B43" s="79"/>
      <c r="C43" s="79"/>
      <c r="D43" s="79"/>
      <c r="E43" s="79"/>
      <c r="F43" s="79"/>
      <c r="G43" s="79"/>
      <c r="H43" s="79"/>
      <c r="I43" s="79"/>
      <c r="J43" s="79"/>
      <c r="K43" s="79"/>
      <c r="L43" s="79"/>
      <c r="M43" s="79"/>
      <c r="N43" s="79"/>
      <c r="O43" s="79"/>
      <c r="P43" s="79"/>
      <c r="Q43" s="79"/>
      <c r="R43" s="79"/>
      <c r="S43" s="79"/>
      <c r="T43" s="79"/>
      <c r="U43" s="79"/>
      <c r="V43" s="79"/>
      <c r="W43" s="79"/>
      <c r="X43" s="79"/>
      <c r="Y43" s="79"/>
      <c r="AB43" s="83" t="str">
        <f>'Analysis report'!B393</f>
        <v>Rework</v>
      </c>
      <c r="AC43" s="83">
        <f>'Analysis report'!C393</f>
        <v>5</v>
      </c>
      <c r="AD43" s="83">
        <f>'Analysis report'!E393</f>
        <v>0.8</v>
      </c>
    </row>
    <row r="44" spans="1:30">
      <c r="A44" s="79"/>
      <c r="B44" s="79"/>
      <c r="C44" s="79"/>
      <c r="D44" s="79"/>
      <c r="E44" s="79"/>
      <c r="F44" s="79"/>
      <c r="G44" s="79"/>
      <c r="H44" s="79"/>
      <c r="I44" s="79"/>
      <c r="J44" s="79"/>
      <c r="K44" s="79"/>
      <c r="L44" s="79"/>
      <c r="M44" s="79"/>
      <c r="N44" s="79"/>
      <c r="O44" s="79"/>
      <c r="P44" s="79"/>
      <c r="Q44" s="79"/>
      <c r="R44" s="79"/>
      <c r="S44" s="79"/>
      <c r="T44" s="79"/>
      <c r="U44" s="79"/>
      <c r="V44" s="79"/>
      <c r="W44" s="79"/>
      <c r="X44" s="79"/>
      <c r="Y44" s="79"/>
      <c r="AB44" s="83" t="str">
        <f>'Analysis report'!B394</f>
        <v>Weather</v>
      </c>
      <c r="AC44" s="83">
        <f>'Analysis report'!C394</f>
        <v>5</v>
      </c>
      <c r="AD44" s="83">
        <f>'Analysis report'!E394</f>
        <v>0.88333333333333341</v>
      </c>
    </row>
    <row r="45" spans="1:30">
      <c r="A45" s="79"/>
      <c r="B45" s="79"/>
      <c r="C45" s="79"/>
      <c r="D45" s="79"/>
      <c r="E45" s="79"/>
      <c r="F45" s="79"/>
      <c r="G45" s="79"/>
      <c r="H45" s="79"/>
      <c r="I45" s="79"/>
      <c r="J45" s="79"/>
      <c r="K45" s="79"/>
      <c r="L45" s="79"/>
      <c r="M45" s="79"/>
      <c r="N45" s="79"/>
      <c r="O45" s="79"/>
      <c r="P45" s="79"/>
      <c r="Q45" s="79"/>
      <c r="R45" s="79"/>
      <c r="S45" s="79"/>
      <c r="T45" s="79"/>
      <c r="U45" s="79"/>
      <c r="V45" s="79"/>
      <c r="W45" s="79"/>
      <c r="X45" s="79"/>
      <c r="Y45" s="79"/>
      <c r="AB45" s="83" t="str">
        <f>'Analysis report'!B395</f>
        <v>Design Change</v>
      </c>
      <c r="AC45" s="83">
        <f>'Analysis report'!C395</f>
        <v>4</v>
      </c>
      <c r="AD45" s="83">
        <f>'Analysis report'!E395</f>
        <v>0.95000000000000007</v>
      </c>
    </row>
    <row r="46" spans="1:30">
      <c r="A46" s="79"/>
      <c r="B46" s="79"/>
      <c r="C46" s="79"/>
      <c r="D46" s="79"/>
      <c r="E46" s="79"/>
      <c r="F46" s="79"/>
      <c r="G46" s="79"/>
      <c r="H46" s="79"/>
      <c r="I46" s="79"/>
      <c r="J46" s="79"/>
      <c r="K46" s="79"/>
      <c r="L46" s="79"/>
      <c r="M46" s="79"/>
      <c r="N46" s="79"/>
      <c r="O46" s="79"/>
      <c r="P46" s="79"/>
      <c r="Q46" s="79"/>
      <c r="R46" s="79"/>
      <c r="S46" s="79"/>
      <c r="T46" s="79"/>
      <c r="U46" s="79"/>
      <c r="V46" s="79"/>
      <c r="W46" s="79"/>
      <c r="X46" s="79"/>
      <c r="Y46" s="79"/>
      <c r="AB46" s="83" t="str">
        <f>'Analysis report'!B396</f>
        <v>Subcontractor Default</v>
      </c>
      <c r="AC46" s="83">
        <f>'Analysis report'!C396</f>
        <v>3</v>
      </c>
      <c r="AD46" s="83">
        <f>'Analysis report'!E396</f>
        <v>1</v>
      </c>
    </row>
    <row r="47" spans="1:30">
      <c r="A47" s="79"/>
      <c r="B47" s="79"/>
      <c r="C47" s="79"/>
      <c r="D47" s="79"/>
      <c r="E47" s="79"/>
      <c r="F47" s="79"/>
      <c r="G47" s="79"/>
      <c r="H47" s="79"/>
      <c r="I47" s="79"/>
      <c r="J47" s="79"/>
      <c r="K47" s="79"/>
      <c r="L47" s="79"/>
      <c r="M47" s="79"/>
      <c r="N47" s="79"/>
      <c r="O47" s="79"/>
      <c r="P47" s="79"/>
      <c r="Q47" s="79"/>
      <c r="R47" s="79"/>
      <c r="S47" s="79"/>
      <c r="T47" s="79"/>
      <c r="U47" s="79"/>
      <c r="V47" s="79"/>
      <c r="W47" s="79"/>
      <c r="X47" s="79"/>
      <c r="Y47" s="79"/>
    </row>
    <row r="48" spans="1:30">
      <c r="A48" s="79"/>
      <c r="B48" s="79"/>
      <c r="C48" s="79"/>
      <c r="D48" s="79"/>
      <c r="E48" s="79"/>
      <c r="F48" s="79"/>
      <c r="G48" s="79"/>
      <c r="H48" s="79"/>
      <c r="I48" s="79"/>
      <c r="J48" s="79"/>
      <c r="K48" s="79"/>
      <c r="L48" s="79"/>
      <c r="M48" s="79"/>
      <c r="N48" s="79"/>
      <c r="O48" s="79"/>
      <c r="P48" s="79"/>
      <c r="Q48" s="79"/>
      <c r="R48" s="79"/>
      <c r="S48" s="79"/>
      <c r="T48" s="79"/>
      <c r="U48" s="79"/>
      <c r="V48" s="79"/>
      <c r="W48" s="79"/>
      <c r="X48" s="79"/>
      <c r="Y48" s="79"/>
      <c r="AB48" s="81" t="s">
        <v>1830</v>
      </c>
    </row>
    <row r="49" spans="1:31">
      <c r="A49" s="79"/>
      <c r="B49" s="79"/>
      <c r="C49" s="79"/>
      <c r="D49" s="79"/>
      <c r="E49" s="79"/>
      <c r="F49" s="79"/>
      <c r="G49" s="79"/>
      <c r="H49" s="79"/>
      <c r="I49" s="79"/>
      <c r="J49" s="79"/>
      <c r="K49" s="79"/>
      <c r="L49" s="79"/>
      <c r="M49" s="79"/>
      <c r="N49" s="79"/>
      <c r="O49" s="79"/>
      <c r="P49" s="79"/>
      <c r="Q49" s="79"/>
      <c r="R49" s="79"/>
      <c r="S49" s="79"/>
      <c r="T49" s="79"/>
      <c r="U49" s="79"/>
      <c r="V49" s="79"/>
      <c r="W49" s="79"/>
      <c r="X49" s="79"/>
      <c r="Y49" s="79"/>
      <c r="AB49" s="82" t="s">
        <v>439</v>
      </c>
      <c r="AC49" s="82" t="s">
        <v>1486</v>
      </c>
    </row>
    <row r="50" spans="1:31">
      <c r="A50" s="79"/>
      <c r="B50" s="79"/>
      <c r="C50" s="79"/>
      <c r="D50" s="79"/>
      <c r="E50" s="79"/>
      <c r="F50" s="79"/>
      <c r="G50" s="79"/>
      <c r="H50" s="79"/>
      <c r="I50" s="79"/>
      <c r="J50" s="79"/>
      <c r="K50" s="79"/>
      <c r="L50" s="79"/>
      <c r="M50" s="79"/>
      <c r="N50" s="79"/>
      <c r="O50" s="79"/>
      <c r="P50" s="79"/>
      <c r="Q50" s="79"/>
      <c r="R50" s="79"/>
      <c r="S50" s="79"/>
      <c r="T50" s="79"/>
      <c r="U50" s="79"/>
      <c r="V50" s="79"/>
      <c r="W50" s="79"/>
      <c r="X50" s="79"/>
      <c r="Y50" s="79"/>
      <c r="AB50" s="83" t="str">
        <f>'Analysis report'!A443</f>
        <v>Foundation</v>
      </c>
      <c r="AC50" s="83">
        <f>'Analysis report'!C443</f>
        <v>128</v>
      </c>
    </row>
    <row r="51" spans="1:3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AB51" s="83" t="str">
        <f>'Analysis report'!A444</f>
        <v>Superstructure</v>
      </c>
      <c r="AC51" s="83">
        <f>'Analysis report'!C444</f>
        <v>84</v>
      </c>
    </row>
    <row r="52" spans="1:31">
      <c r="A52" s="79"/>
      <c r="B52" s="79"/>
      <c r="C52" s="79"/>
      <c r="D52" s="79"/>
      <c r="E52" s="79"/>
      <c r="F52" s="79"/>
      <c r="G52" s="79"/>
      <c r="H52" s="79"/>
      <c r="I52" s="79"/>
      <c r="J52" s="79"/>
      <c r="K52" s="79"/>
      <c r="L52" s="79"/>
      <c r="M52" s="79"/>
      <c r="N52" s="79"/>
      <c r="O52" s="79"/>
      <c r="P52" s="79"/>
      <c r="Q52" s="79"/>
      <c r="R52" s="79"/>
      <c r="S52" s="79"/>
      <c r="T52" s="79"/>
      <c r="U52" s="79"/>
      <c r="V52" s="79"/>
      <c r="W52" s="79"/>
      <c r="X52" s="79"/>
      <c r="Y52" s="79"/>
      <c r="AB52" s="83" t="str">
        <f>'Analysis report'!A445</f>
        <v>MEP Rough-In</v>
      </c>
      <c r="AC52" s="83">
        <f>'Analysis report'!C445</f>
        <v>201</v>
      </c>
    </row>
    <row r="53" spans="1:31">
      <c r="A53" s="79"/>
      <c r="B53" s="79"/>
      <c r="C53" s="79"/>
      <c r="D53" s="79"/>
      <c r="E53" s="79"/>
      <c r="F53" s="79"/>
      <c r="G53" s="79"/>
      <c r="H53" s="79"/>
      <c r="I53" s="79"/>
      <c r="J53" s="79"/>
      <c r="K53" s="79"/>
      <c r="L53" s="79"/>
      <c r="M53" s="79"/>
      <c r="N53" s="79"/>
      <c r="O53" s="79"/>
      <c r="P53" s="79"/>
      <c r="Q53" s="79"/>
      <c r="R53" s="79"/>
      <c r="S53" s="79"/>
      <c r="T53" s="79"/>
      <c r="U53" s="79"/>
      <c r="V53" s="79"/>
      <c r="W53" s="79"/>
      <c r="X53" s="79"/>
      <c r="Y53" s="79"/>
      <c r="AB53" s="83" t="str">
        <f>'Analysis report'!A446</f>
        <v>Facade Installation</v>
      </c>
      <c r="AC53" s="83">
        <f>'Analysis report'!C446</f>
        <v>133</v>
      </c>
    </row>
    <row r="54" spans="1:31">
      <c r="A54" s="79"/>
      <c r="B54" s="79"/>
      <c r="C54" s="79"/>
      <c r="D54" s="79"/>
      <c r="E54" s="79"/>
      <c r="F54" s="79"/>
      <c r="G54" s="79"/>
      <c r="H54" s="79"/>
      <c r="I54" s="79"/>
      <c r="J54" s="79"/>
      <c r="K54" s="79"/>
      <c r="L54" s="79"/>
      <c r="M54" s="79"/>
      <c r="N54" s="79"/>
      <c r="O54" s="79"/>
      <c r="P54" s="79"/>
      <c r="Q54" s="79"/>
      <c r="R54" s="79"/>
      <c r="S54" s="79"/>
      <c r="T54" s="79"/>
      <c r="U54" s="79"/>
      <c r="V54" s="79"/>
      <c r="W54" s="79"/>
      <c r="X54" s="79"/>
      <c r="Y54" s="79"/>
      <c r="AB54" s="83" t="str">
        <f>'Analysis report'!A447</f>
        <v>Interior Works</v>
      </c>
      <c r="AC54" s="83">
        <f>'Analysis report'!C447</f>
        <v>182</v>
      </c>
    </row>
    <row r="55" spans="1:31">
      <c r="A55" s="79"/>
      <c r="B55" s="79"/>
      <c r="C55" s="79"/>
      <c r="D55" s="79"/>
      <c r="E55" s="79"/>
      <c r="F55" s="79"/>
      <c r="G55" s="79"/>
      <c r="H55" s="79"/>
      <c r="I55" s="79"/>
      <c r="J55" s="79"/>
      <c r="K55" s="79"/>
      <c r="L55" s="79"/>
      <c r="M55" s="79"/>
      <c r="N55" s="79"/>
      <c r="O55" s="79"/>
      <c r="P55" s="79"/>
      <c r="Q55" s="79"/>
      <c r="R55" s="79"/>
      <c r="S55" s="79"/>
      <c r="T55" s="79"/>
      <c r="U55" s="79"/>
      <c r="V55" s="79"/>
      <c r="W55" s="79"/>
      <c r="X55" s="79"/>
      <c r="Y55" s="79"/>
      <c r="AB55" s="83" t="str">
        <f>'Analysis report'!A448</f>
        <v>External Works</v>
      </c>
      <c r="AC55" s="83">
        <f>'Analysis report'!C448</f>
        <v>143</v>
      </c>
    </row>
    <row r="56" spans="1:31">
      <c r="A56" s="79"/>
      <c r="B56" s="79"/>
      <c r="C56" s="79"/>
      <c r="D56" s="79"/>
      <c r="E56" s="79"/>
      <c r="F56" s="79"/>
      <c r="G56" s="79"/>
      <c r="H56" s="79"/>
      <c r="I56" s="79"/>
      <c r="J56" s="79"/>
      <c r="K56" s="79"/>
      <c r="L56" s="79"/>
      <c r="M56" s="79"/>
      <c r="N56" s="79"/>
      <c r="O56" s="79"/>
      <c r="P56" s="79"/>
      <c r="Q56" s="79"/>
      <c r="R56" s="79"/>
      <c r="S56" s="79"/>
      <c r="T56" s="79"/>
      <c r="U56" s="79"/>
      <c r="V56" s="79"/>
      <c r="W56" s="79"/>
      <c r="X56" s="79"/>
      <c r="Y56" s="79"/>
      <c r="AB56" s="83" t="str">
        <f>'Analysis report'!A449</f>
        <v>Landscape</v>
      </c>
      <c r="AC56" s="83">
        <f>'Analysis report'!C449</f>
        <v>183</v>
      </c>
    </row>
    <row r="57" spans="1:31">
      <c r="A57" s="79"/>
      <c r="B57" s="79"/>
      <c r="C57" s="79"/>
      <c r="D57" s="79"/>
      <c r="E57" s="79"/>
      <c r="F57" s="79"/>
      <c r="G57" s="79"/>
      <c r="H57" s="79"/>
      <c r="I57" s="79"/>
      <c r="J57" s="79"/>
      <c r="K57" s="79"/>
      <c r="L57" s="79"/>
      <c r="M57" s="79"/>
      <c r="N57" s="79"/>
      <c r="O57" s="79"/>
      <c r="P57" s="79"/>
      <c r="Q57" s="79"/>
      <c r="R57" s="79"/>
      <c r="S57" s="79"/>
      <c r="T57" s="79"/>
      <c r="U57" s="79"/>
      <c r="V57" s="79"/>
      <c r="W57" s="79"/>
      <c r="X57" s="79"/>
      <c r="Y57" s="79"/>
      <c r="AB57" s="83" t="str">
        <f>'Analysis report'!A450</f>
        <v>Testing &amp; Commissioning</v>
      </c>
      <c r="AC57" s="83">
        <f>'Analysis report'!C450</f>
        <v>291</v>
      </c>
    </row>
    <row r="58" spans="1:31">
      <c r="A58" s="79"/>
      <c r="B58" s="79"/>
      <c r="C58" s="79"/>
      <c r="D58" s="79"/>
      <c r="E58" s="79"/>
      <c r="F58" s="79"/>
      <c r="G58" s="79"/>
      <c r="H58" s="79"/>
      <c r="I58" s="79"/>
      <c r="J58" s="79"/>
      <c r="K58" s="79"/>
      <c r="L58" s="79"/>
      <c r="M58" s="79"/>
      <c r="N58" s="79"/>
      <c r="O58" s="79"/>
      <c r="P58" s="79"/>
      <c r="Q58" s="79"/>
      <c r="R58" s="79"/>
      <c r="S58" s="79"/>
      <c r="T58" s="79"/>
      <c r="U58" s="79"/>
      <c r="V58" s="79"/>
      <c r="W58" s="79"/>
      <c r="X58" s="79"/>
      <c r="Y58" s="79"/>
      <c r="AB58" s="83" t="str">
        <f>'Analysis report'!A451</f>
        <v>Handover Prep</v>
      </c>
      <c r="AC58" s="83">
        <f>'Analysis report'!C451</f>
        <v>122</v>
      </c>
    </row>
    <row r="59" spans="1:31">
      <c r="A59" s="79"/>
      <c r="B59" s="79"/>
      <c r="C59" s="79"/>
      <c r="D59" s="79"/>
      <c r="E59" s="79"/>
      <c r="F59" s="79"/>
      <c r="G59" s="79"/>
      <c r="H59" s="79"/>
      <c r="I59" s="79"/>
      <c r="J59" s="79"/>
      <c r="K59" s="79"/>
      <c r="L59" s="79"/>
      <c r="M59" s="79"/>
      <c r="N59" s="79"/>
      <c r="O59" s="79"/>
      <c r="P59" s="79"/>
      <c r="Q59" s="79"/>
      <c r="R59" s="79"/>
      <c r="S59" s="79"/>
      <c r="T59" s="79"/>
      <c r="U59" s="79"/>
      <c r="V59" s="79"/>
      <c r="W59" s="79"/>
      <c r="X59" s="79"/>
      <c r="Y59" s="79"/>
    </row>
    <row r="60" spans="1:31" ht="22.05" customHeight="1">
      <c r="A60" s="79"/>
      <c r="B60" s="99" t="s">
        <v>1845</v>
      </c>
      <c r="C60" s="90"/>
      <c r="D60" s="90"/>
      <c r="E60" s="90"/>
      <c r="F60" s="90"/>
      <c r="G60" s="90"/>
      <c r="H60" s="90"/>
      <c r="I60" s="90"/>
      <c r="J60" s="90"/>
      <c r="K60" s="90"/>
      <c r="L60" s="90"/>
      <c r="M60" s="90"/>
      <c r="N60" s="90"/>
      <c r="O60" s="90"/>
      <c r="P60" s="90"/>
      <c r="Q60" s="90"/>
      <c r="R60" s="90"/>
      <c r="S60" s="90"/>
      <c r="T60" s="90"/>
      <c r="U60" s="79"/>
      <c r="V60" s="79"/>
      <c r="W60" s="79"/>
      <c r="X60" s="79"/>
      <c r="Y60" s="79"/>
      <c r="AB60" s="81" t="s">
        <v>1831</v>
      </c>
    </row>
    <row r="61" spans="1:3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AB61" s="82" t="s">
        <v>219</v>
      </c>
      <c r="AC61" s="82" t="s">
        <v>1832</v>
      </c>
      <c r="AD61" s="82" t="s">
        <v>1833</v>
      </c>
      <c r="AE61" s="82" t="s">
        <v>1834</v>
      </c>
    </row>
    <row r="62" spans="1:31">
      <c r="A62" s="79"/>
      <c r="B62" s="79"/>
      <c r="C62" s="79"/>
      <c r="D62" s="79"/>
      <c r="E62" s="79"/>
      <c r="F62" s="79"/>
      <c r="G62" s="79"/>
      <c r="H62" s="79"/>
      <c r="I62" s="79"/>
      <c r="J62" s="79"/>
      <c r="K62" s="79"/>
      <c r="L62" s="79"/>
      <c r="M62" s="79"/>
      <c r="N62" s="79"/>
      <c r="O62" s="79"/>
      <c r="P62" s="79"/>
      <c r="Q62" s="79"/>
      <c r="R62" s="79"/>
      <c r="S62" s="79"/>
      <c r="T62" s="79"/>
      <c r="U62" s="79"/>
      <c r="V62" s="79"/>
      <c r="W62" s="79"/>
      <c r="X62" s="79"/>
      <c r="Y62" s="79"/>
      <c r="AB62" s="83" t="str">
        <f>'Analysis report'!A732</f>
        <v>Month 1</v>
      </c>
      <c r="AC62" s="83">
        <f>'Analysis report'!B732</f>
        <v>713955</v>
      </c>
      <c r="AD62" s="83">
        <f>'Analysis report'!C732</f>
        <v>583077</v>
      </c>
      <c r="AE62" s="83">
        <f>'Analysis report'!D732</f>
        <v>559427</v>
      </c>
    </row>
    <row r="63" spans="1:31">
      <c r="A63" s="79"/>
      <c r="B63" s="79"/>
      <c r="C63" s="79"/>
      <c r="D63" s="79"/>
      <c r="E63" s="79"/>
      <c r="F63" s="79"/>
      <c r="G63" s="79"/>
      <c r="H63" s="79"/>
      <c r="I63" s="79"/>
      <c r="J63" s="79"/>
      <c r="K63" s="79"/>
      <c r="L63" s="79"/>
      <c r="M63" s="79"/>
      <c r="N63" s="79"/>
      <c r="O63" s="79"/>
      <c r="P63" s="79"/>
      <c r="Q63" s="79"/>
      <c r="R63" s="79"/>
      <c r="S63" s="79"/>
      <c r="T63" s="79"/>
      <c r="U63" s="79"/>
      <c r="V63" s="79"/>
      <c r="W63" s="79"/>
      <c r="X63" s="79"/>
      <c r="Y63" s="79"/>
      <c r="AB63" s="83" t="str">
        <f>'Analysis report'!A733</f>
        <v>Month 2</v>
      </c>
      <c r="AC63" s="83">
        <f>'Analysis report'!B733</f>
        <v>1375080</v>
      </c>
      <c r="AD63" s="83">
        <f>'Analysis report'!C733</f>
        <v>1314419</v>
      </c>
      <c r="AE63" s="83">
        <f>'Analysis report'!D733</f>
        <v>1552686</v>
      </c>
    </row>
    <row r="64" spans="1:31">
      <c r="A64" s="79"/>
      <c r="B64" s="79"/>
      <c r="C64" s="79"/>
      <c r="D64" s="79"/>
      <c r="E64" s="79"/>
      <c r="F64" s="79"/>
      <c r="G64" s="79"/>
      <c r="H64" s="79"/>
      <c r="I64" s="79"/>
      <c r="J64" s="79"/>
      <c r="K64" s="79"/>
      <c r="L64" s="79"/>
      <c r="M64" s="79"/>
      <c r="N64" s="79"/>
      <c r="O64" s="79"/>
      <c r="P64" s="79"/>
      <c r="Q64" s="79"/>
      <c r="R64" s="79"/>
      <c r="S64" s="79"/>
      <c r="T64" s="79"/>
      <c r="U64" s="79"/>
      <c r="V64" s="79"/>
      <c r="W64" s="79"/>
      <c r="X64" s="79"/>
      <c r="Y64" s="79"/>
      <c r="AB64" s="83" t="str">
        <f>'Analysis report'!A734</f>
        <v>Month 3</v>
      </c>
      <c r="AC64" s="83">
        <f>'Analysis report'!B734</f>
        <v>1996674</v>
      </c>
      <c r="AD64" s="83">
        <f>'Analysis report'!C734</f>
        <v>1848591</v>
      </c>
      <c r="AE64" s="83">
        <f>'Analysis report'!D734</f>
        <v>2172516</v>
      </c>
    </row>
    <row r="65" spans="1:3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AB65" s="83" t="str">
        <f>'Analysis report'!A735</f>
        <v>Month 4</v>
      </c>
      <c r="AC65" s="83">
        <f>'Analysis report'!B735</f>
        <v>2659718</v>
      </c>
      <c r="AD65" s="83">
        <f>'Analysis report'!C735</f>
        <v>2790438</v>
      </c>
      <c r="AE65" s="83">
        <f>'Analysis report'!D735</f>
        <v>2676937</v>
      </c>
    </row>
    <row r="66" spans="1:31">
      <c r="A66" s="79"/>
      <c r="B66" s="79"/>
      <c r="C66" s="79"/>
      <c r="D66" s="79"/>
      <c r="E66" s="79"/>
      <c r="F66" s="79"/>
      <c r="G66" s="79"/>
      <c r="H66" s="79"/>
      <c r="I66" s="79"/>
      <c r="J66" s="79"/>
      <c r="K66" s="79"/>
      <c r="L66" s="79"/>
      <c r="M66" s="79"/>
      <c r="N66" s="79"/>
      <c r="O66" s="79"/>
      <c r="P66" s="79"/>
      <c r="Q66" s="79"/>
      <c r="R66" s="79"/>
      <c r="S66" s="79"/>
      <c r="T66" s="79"/>
      <c r="U66" s="79"/>
      <c r="V66" s="79"/>
      <c r="W66" s="79"/>
      <c r="X66" s="79"/>
      <c r="Y66" s="79"/>
      <c r="AB66" s="83" t="str">
        <f>'Analysis report'!A736</f>
        <v>Month 5</v>
      </c>
      <c r="AC66" s="83">
        <f>'Analysis report'!B736</f>
        <v>3522912</v>
      </c>
      <c r="AD66" s="83">
        <f>'Analysis report'!C736</f>
        <v>3497510</v>
      </c>
      <c r="AE66" s="83">
        <f>'Analysis report'!D736</f>
        <v>3244267</v>
      </c>
    </row>
    <row r="67" spans="1:3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AB67" s="83" t="str">
        <f>'Analysis report'!A737</f>
        <v>Month 6</v>
      </c>
      <c r="AC67" s="83">
        <f>'Analysis report'!B737</f>
        <v>4311364</v>
      </c>
      <c r="AD67" s="83">
        <f>'Analysis report'!C737</f>
        <v>4279745</v>
      </c>
      <c r="AE67" s="83">
        <f>'Analysis report'!D737</f>
        <v>4009086</v>
      </c>
    </row>
    <row r="68" spans="1:3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AB68" s="83" t="str">
        <f>'Analysis report'!A738</f>
        <v>Month 7</v>
      </c>
      <c r="AC68" s="83">
        <f>'Analysis report'!B738</f>
        <v>5076108</v>
      </c>
      <c r="AD68" s="83">
        <f>'Analysis report'!C738</f>
        <v>3884193</v>
      </c>
      <c r="AE68" s="83">
        <f>'Analysis report'!D738</f>
        <v>4572625</v>
      </c>
    </row>
    <row r="69" spans="1:3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AB69" s="83" t="str">
        <f>'Analysis report'!A739</f>
        <v>Month 8</v>
      </c>
      <c r="AC69" s="83">
        <f>'Analysis report'!B739</f>
        <v>5518420</v>
      </c>
      <c r="AD69" s="83">
        <f>'Analysis report'!C739</f>
        <v>5338129</v>
      </c>
      <c r="AE69" s="83">
        <f>'Analysis report'!D739</f>
        <v>5598832</v>
      </c>
    </row>
    <row r="70" spans="1:3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AB70" s="83" t="str">
        <f>'Analysis report'!A740</f>
        <v>Month 9</v>
      </c>
      <c r="AC70" s="83">
        <f>'Analysis report'!B740</f>
        <v>6176705</v>
      </c>
      <c r="AD70" s="83">
        <f>'Analysis report'!C740</f>
        <v>5423142</v>
      </c>
      <c r="AE70" s="83">
        <f>'Analysis report'!D740</f>
        <v>5456673</v>
      </c>
    </row>
    <row r="71" spans="1:3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AB71" s="83" t="str">
        <f>'Analysis report'!A741</f>
        <v>Month 10</v>
      </c>
      <c r="AC71" s="83">
        <f>'Analysis report'!B741</f>
        <v>7227989</v>
      </c>
      <c r="AD71" s="83">
        <f>'Analysis report'!C741</f>
        <v>6017261</v>
      </c>
      <c r="AE71" s="83">
        <f>'Analysis report'!D741</f>
        <v>6220665</v>
      </c>
    </row>
    <row r="72" spans="1:3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AB72" s="83" t="str">
        <f>'Analysis report'!A742</f>
        <v>Month 11</v>
      </c>
      <c r="AC72" s="83">
        <f>'Analysis report'!B742</f>
        <v>7370482</v>
      </c>
      <c r="AD72" s="83">
        <f>'Analysis report'!C742</f>
        <v>6885739</v>
      </c>
      <c r="AE72" s="83">
        <f>'Analysis report'!D742</f>
        <v>7471668</v>
      </c>
    </row>
    <row r="73" spans="1:3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AB73" s="83" t="str">
        <f>'Analysis report'!A743</f>
        <v>Month 12</v>
      </c>
      <c r="AC73" s="83">
        <f>'Analysis report'!B743</f>
        <v>8456065</v>
      </c>
      <c r="AD73" s="83">
        <f>'Analysis report'!C743</f>
        <v>7607646</v>
      </c>
      <c r="AE73" s="83">
        <f>'Analysis report'!D743</f>
        <v>8861641</v>
      </c>
    </row>
    <row r="74" spans="1:3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AB74" s="83" t="str">
        <f>'Analysis report'!A744</f>
        <v>Month 13</v>
      </c>
      <c r="AC74" s="83">
        <f>'Analysis report'!B744</f>
        <v>9008847</v>
      </c>
      <c r="AD74" s="83">
        <f>'Analysis report'!C744</f>
        <v>6993716</v>
      </c>
      <c r="AE74" s="83">
        <f>'Analysis report'!D744</f>
        <v>7097954</v>
      </c>
    </row>
    <row r="75" spans="1:3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AB75" s="83" t="str">
        <f>'Analysis report'!A745</f>
        <v>Month 14</v>
      </c>
      <c r="AC75" s="83">
        <f>'Analysis report'!B745</f>
        <v>9643700</v>
      </c>
      <c r="AD75" s="83">
        <f>'Analysis report'!C745</f>
        <v>9092039</v>
      </c>
      <c r="AE75" s="83">
        <f>'Analysis report'!D745</f>
        <v>10357281</v>
      </c>
    </row>
    <row r="76" spans="1:3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AB76" s="83" t="str">
        <f>'Analysis report'!A746</f>
        <v>Month 15</v>
      </c>
      <c r="AC76" s="83">
        <f>'Analysis report'!B746</f>
        <v>10155362</v>
      </c>
      <c r="AD76" s="83">
        <f>'Analysis report'!C746</f>
        <v>10645116</v>
      </c>
      <c r="AE76" s="83">
        <f>'Analysis report'!D746</f>
        <v>11316790</v>
      </c>
    </row>
    <row r="77" spans="1:3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AB77" s="83" t="str">
        <f>'Analysis report'!A747</f>
        <v>Month 16</v>
      </c>
      <c r="AC77" s="83">
        <f>'Analysis report'!B747</f>
        <v>10577255</v>
      </c>
      <c r="AD77" s="83">
        <f>'Analysis report'!C747</f>
        <v>9146675</v>
      </c>
      <c r="AE77" s="83">
        <f>'Analysis report'!D747</f>
        <v>10189498</v>
      </c>
    </row>
    <row r="78" spans="1:3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AB78" s="83" t="str">
        <f>'Analysis report'!A748</f>
        <v>Month 17</v>
      </c>
      <c r="AC78" s="83">
        <f>'Analysis report'!B748</f>
        <v>11781571</v>
      </c>
      <c r="AD78" s="83">
        <f>'Analysis report'!C748</f>
        <v>11598138</v>
      </c>
      <c r="AE78" s="83">
        <f>'Analysis report'!D748</f>
        <v>11635370</v>
      </c>
    </row>
    <row r="79" spans="1:3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AB79" s="83" t="str">
        <f>'Analysis report'!A749</f>
        <v>Month 18</v>
      </c>
      <c r="AC79" s="83">
        <f>'Analysis report'!B749</f>
        <v>12582063</v>
      </c>
      <c r="AD79" s="83">
        <f>'Analysis report'!C749</f>
        <v>10650481</v>
      </c>
      <c r="AE79" s="83">
        <f>'Analysis report'!D749</f>
        <v>10449513</v>
      </c>
    </row>
    <row r="80" spans="1:3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AB80" s="83" t="str">
        <f>'Analysis report'!A750</f>
        <v>Month 19</v>
      </c>
      <c r="AC80" s="83">
        <f>'Analysis report'!B750</f>
        <v>12569110</v>
      </c>
      <c r="AD80" s="83">
        <f>'Analysis report'!C750</f>
        <v>11678398</v>
      </c>
      <c r="AE80" s="83">
        <f>'Analysis report'!D750</f>
        <v>10613223</v>
      </c>
    </row>
    <row r="81" spans="1:31" ht="22.05" customHeight="1">
      <c r="A81" s="79"/>
      <c r="B81" s="99" t="s">
        <v>1846</v>
      </c>
      <c r="C81" s="90"/>
      <c r="D81" s="90"/>
      <c r="E81" s="90"/>
      <c r="F81" s="90"/>
      <c r="G81" s="90"/>
      <c r="H81" s="90"/>
      <c r="I81" s="90"/>
      <c r="J81" s="90"/>
      <c r="K81" s="90"/>
      <c r="L81" s="90"/>
      <c r="M81" s="90"/>
      <c r="N81" s="90"/>
      <c r="O81" s="90"/>
      <c r="P81" s="90"/>
      <c r="Q81" s="90"/>
      <c r="R81" s="90"/>
      <c r="S81" s="90"/>
      <c r="T81" s="90"/>
      <c r="U81" s="79"/>
      <c r="V81" s="79"/>
      <c r="W81" s="79"/>
      <c r="X81" s="79"/>
      <c r="Y81" s="79"/>
      <c r="AB81" s="83" t="str">
        <f>'Analysis report'!A751</f>
        <v>Month 20</v>
      </c>
      <c r="AC81" s="83">
        <f>'Analysis report'!B751</f>
        <v>14320401</v>
      </c>
      <c r="AD81" s="83">
        <f>'Analysis report'!C751</f>
        <v>11947221</v>
      </c>
      <c r="AE81" s="83">
        <f>'Analysis report'!D751</f>
        <v>13650848</v>
      </c>
    </row>
    <row r="82" spans="1:3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AB82" s="83" t="str">
        <f>'Analysis report'!A752</f>
        <v>Month 21</v>
      </c>
      <c r="AC82" s="83">
        <f>'Analysis report'!B752</f>
        <v>14542039</v>
      </c>
      <c r="AD82" s="83">
        <f>'Analysis report'!C752</f>
        <v>12465870</v>
      </c>
      <c r="AE82" s="83">
        <f>'Analysis report'!D752</f>
        <v>13403261</v>
      </c>
    </row>
    <row r="83" spans="1:3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AB83" s="83" t="str">
        <f>'Analysis report'!A753</f>
        <v>Month 22</v>
      </c>
      <c r="AC83" s="83">
        <f>'Analysis report'!B753</f>
        <v>14869497</v>
      </c>
      <c r="AD83" s="83">
        <f>'Analysis report'!C753</f>
        <v>11864184</v>
      </c>
      <c r="AE83" s="83">
        <f>'Analysis report'!D753</f>
        <v>11559952</v>
      </c>
    </row>
    <row r="84" spans="1:3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AB84" s="83" t="str">
        <f>'Analysis report'!A754</f>
        <v>Month 23</v>
      </c>
      <c r="AC84" s="83">
        <f>'Analysis report'!B754</f>
        <v>15558785</v>
      </c>
      <c r="AD84" s="83">
        <f>'Analysis report'!C754</f>
        <v>14160157</v>
      </c>
      <c r="AE84" s="83">
        <f>'Analysis report'!D754</f>
        <v>16105354</v>
      </c>
    </row>
    <row r="85" spans="1:3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AB85" s="83" t="str">
        <f>'Analysis report'!A755</f>
        <v>Month 24</v>
      </c>
      <c r="AC85" s="83">
        <f>'Analysis report'!B755</f>
        <v>17061766</v>
      </c>
      <c r="AD85" s="83">
        <f>'Analysis report'!C755</f>
        <v>16707135</v>
      </c>
      <c r="AE85" s="83">
        <f>'Analysis report'!D755</f>
        <v>19786940</v>
      </c>
    </row>
    <row r="86" spans="1:3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AB86" s="83" t="str">
        <f>'Analysis report'!A756</f>
        <v>Month 25</v>
      </c>
      <c r="AC86" s="83">
        <f>'Analysis report'!B756</f>
        <v>17492521</v>
      </c>
      <c r="AD86" s="83">
        <f>'Analysis report'!C756</f>
        <v>18276175</v>
      </c>
      <c r="AE86" s="83">
        <f>'Analysis report'!D756</f>
        <v>18578220</v>
      </c>
    </row>
    <row r="87" spans="1:3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AB87" s="83" t="str">
        <f>'Analysis report'!A757</f>
        <v>Month 26</v>
      </c>
      <c r="AC87" s="83">
        <f>'Analysis report'!B757</f>
        <v>18841344</v>
      </c>
      <c r="AD87" s="83">
        <f>'Analysis report'!C757</f>
        <v>19735602</v>
      </c>
      <c r="AE87" s="83">
        <f>'Analysis report'!D757</f>
        <v>18790535</v>
      </c>
    </row>
    <row r="88" spans="1:3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AB88" s="83" t="str">
        <f>'Analysis report'!A758</f>
        <v>Month 27</v>
      </c>
      <c r="AC88" s="83">
        <f>'Analysis report'!B758</f>
        <v>18256033</v>
      </c>
      <c r="AD88" s="83">
        <f>'Analysis report'!C758</f>
        <v>15433674</v>
      </c>
      <c r="AE88" s="83">
        <f>'Analysis report'!D758</f>
        <v>17307808</v>
      </c>
    </row>
    <row r="89" spans="1:3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AB89" s="83" t="str">
        <f>'Analysis report'!A759</f>
        <v>Month 28</v>
      </c>
      <c r="AC89" s="83">
        <f>'Analysis report'!B759</f>
        <v>19169856</v>
      </c>
      <c r="AD89" s="83">
        <f>'Analysis report'!C759</f>
        <v>17779442</v>
      </c>
      <c r="AE89" s="83">
        <f>'Analysis report'!D759</f>
        <v>19753597</v>
      </c>
    </row>
    <row r="90" spans="1:3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AB90" s="83" t="str">
        <f>'Analysis report'!A760</f>
        <v>Month 29</v>
      </c>
      <c r="AC90" s="83">
        <f>'Analysis report'!B760</f>
        <v>19840193</v>
      </c>
      <c r="AD90" s="83">
        <f>'Analysis report'!C760</f>
        <v>18258838</v>
      </c>
      <c r="AE90" s="83">
        <f>'Analysis report'!D760</f>
        <v>17211341</v>
      </c>
    </row>
    <row r="91" spans="1:3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AB91" s="83" t="str">
        <f>'Analysis report'!A761</f>
        <v>Month 30</v>
      </c>
      <c r="AC91" s="83">
        <f>'Analysis report'!B761</f>
        <v>21767434</v>
      </c>
      <c r="AD91" s="83">
        <f>'Analysis report'!C761</f>
        <v>21789398</v>
      </c>
      <c r="AE91" s="83">
        <f>'Analysis report'!D761</f>
        <v>24907904</v>
      </c>
    </row>
    <row r="92" spans="1:3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AB92" s="83" t="str">
        <f>'Analysis report'!A762</f>
        <v>Month 31</v>
      </c>
      <c r="AC92" s="83">
        <f>'Analysis report'!B762</f>
        <v>22540417</v>
      </c>
      <c r="AD92" s="83">
        <f>'Analysis report'!C762</f>
        <v>20571227</v>
      </c>
      <c r="AE92" s="83">
        <f>'Analysis report'!D762</f>
        <v>19597529</v>
      </c>
    </row>
    <row r="93" spans="1:3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AB93" s="83" t="str">
        <f>'Analysis report'!A763</f>
        <v>Month 32</v>
      </c>
      <c r="AC93" s="83">
        <f>'Analysis report'!B763</f>
        <v>21195474</v>
      </c>
      <c r="AD93" s="83">
        <f>'Analysis report'!C763</f>
        <v>16253757</v>
      </c>
      <c r="AE93" s="83">
        <f>'Analysis report'!D763</f>
        <v>17562165</v>
      </c>
    </row>
    <row r="94" spans="1:3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AB94" s="83" t="str">
        <f>'Analysis report'!A764</f>
        <v>Month 33</v>
      </c>
      <c r="AC94" s="83">
        <f>'Analysis report'!B764</f>
        <v>21816501</v>
      </c>
      <c r="AD94" s="83">
        <f>'Analysis report'!C764</f>
        <v>19490789</v>
      </c>
      <c r="AE94" s="83">
        <f>'Analysis report'!D764</f>
        <v>19481437</v>
      </c>
    </row>
    <row r="95" spans="1:3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AB95" s="83" t="str">
        <f>'Analysis report'!A765</f>
        <v>Month 34</v>
      </c>
      <c r="AC95" s="83">
        <f>'Analysis report'!B765</f>
        <v>23880595</v>
      </c>
      <c r="AD95" s="83">
        <f>'Analysis report'!C765</f>
        <v>23687965</v>
      </c>
      <c r="AE95" s="83">
        <f>'Analysis report'!D765</f>
        <v>23740734</v>
      </c>
    </row>
    <row r="96" spans="1:3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AB96" s="83" t="str">
        <f>'Analysis report'!A766</f>
        <v>Month 35</v>
      </c>
      <c r="AC96" s="83">
        <f>'Analysis report'!B766</f>
        <v>23521603</v>
      </c>
      <c r="AD96" s="83">
        <f>'Analysis report'!C766</f>
        <v>23303495</v>
      </c>
      <c r="AE96" s="83">
        <f>'Analysis report'!D766</f>
        <v>27042893</v>
      </c>
    </row>
    <row r="97" spans="1:3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AB97" s="83" t="str">
        <f>'Analysis report'!A767</f>
        <v>Month 36</v>
      </c>
      <c r="AC97" s="83">
        <f>'Analysis report'!B767</f>
        <v>23898889</v>
      </c>
      <c r="AD97" s="83">
        <f>'Analysis report'!C767</f>
        <v>18983212</v>
      </c>
      <c r="AE97" s="83">
        <f>'Analysis report'!D767</f>
        <v>21098110</v>
      </c>
    </row>
    <row r="98" spans="1:31">
      <c r="A98" s="79"/>
      <c r="B98" s="79"/>
      <c r="C98" s="79"/>
      <c r="D98" s="79"/>
      <c r="E98" s="79"/>
      <c r="F98" s="79"/>
      <c r="G98" s="79"/>
      <c r="H98" s="79"/>
      <c r="I98" s="79"/>
      <c r="J98" s="79"/>
      <c r="K98" s="79"/>
      <c r="L98" s="79"/>
      <c r="M98" s="79"/>
      <c r="N98" s="79"/>
      <c r="O98" s="79"/>
      <c r="P98" s="79"/>
      <c r="Q98" s="79"/>
      <c r="R98" s="79"/>
      <c r="S98" s="79"/>
      <c r="T98" s="79"/>
      <c r="U98" s="79"/>
      <c r="V98" s="79"/>
      <c r="W98" s="79"/>
      <c r="X98" s="79"/>
      <c r="Y98" s="79"/>
    </row>
    <row r="99" spans="1:3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AB99" s="81" t="s">
        <v>1835</v>
      </c>
    </row>
    <row r="100" spans="1:3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AB100" s="82" t="s">
        <v>840</v>
      </c>
      <c r="AC100" s="82" t="s">
        <v>841</v>
      </c>
      <c r="AD100" s="82" t="s">
        <v>1741</v>
      </c>
    </row>
    <row r="101" spans="1:3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AB101" s="84">
        <f>'Analysis report'!A946</f>
        <v>0.91</v>
      </c>
      <c r="AC101" s="84">
        <f>'Analysis report'!B946</f>
        <v>0.79</v>
      </c>
      <c r="AD101" s="83">
        <f>'Analysis report'!C946</f>
        <v>95528859</v>
      </c>
    </row>
    <row r="102" spans="1:31" ht="22.05" customHeight="1">
      <c r="A102" s="79"/>
      <c r="B102" s="99" t="s">
        <v>1847</v>
      </c>
      <c r="C102" s="90"/>
      <c r="D102" s="90"/>
      <c r="E102" s="90"/>
      <c r="F102" s="90"/>
      <c r="G102" s="90"/>
      <c r="H102" s="90"/>
      <c r="I102" s="90"/>
      <c r="J102" s="90"/>
      <c r="K102" s="90"/>
      <c r="L102" s="90"/>
      <c r="M102" s="90"/>
      <c r="N102" s="90"/>
      <c r="O102" s="90"/>
      <c r="P102" s="90"/>
      <c r="Q102" s="90"/>
      <c r="R102" s="90"/>
      <c r="S102" s="90"/>
      <c r="T102" s="90"/>
      <c r="U102" s="79"/>
      <c r="V102" s="79"/>
      <c r="W102" s="79"/>
      <c r="X102" s="79"/>
      <c r="Y102" s="79"/>
      <c r="AB102" s="84">
        <f>'Analysis report'!A947</f>
        <v>1</v>
      </c>
      <c r="AC102" s="84">
        <f>'Analysis report'!B947</f>
        <v>1.1200000000000001</v>
      </c>
      <c r="AD102" s="83">
        <f>'Analysis report'!C947</f>
        <v>93252435</v>
      </c>
    </row>
    <row r="103" spans="1:3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AB103" s="84">
        <f>'Analysis report'!A948</f>
        <v>1.06</v>
      </c>
      <c r="AC103" s="84">
        <f>'Analysis report'!B948</f>
        <v>0.99</v>
      </c>
      <c r="AD103" s="83">
        <f>'Analysis report'!C948</f>
        <v>60343779</v>
      </c>
    </row>
    <row r="104" spans="1:3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AB104" s="84">
        <f>'Analysis report'!A949</f>
        <v>0.9</v>
      </c>
      <c r="AC104" s="84">
        <f>'Analysis report'!B949</f>
        <v>1.04</v>
      </c>
      <c r="AD104" s="83">
        <f>'Analysis report'!C949</f>
        <v>53319528</v>
      </c>
    </row>
    <row r="105" spans="1:3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AB105" s="84">
        <f>'Analysis report'!A950</f>
        <v>0.81</v>
      </c>
      <c r="AC105" s="84">
        <f>'Analysis report'!B950</f>
        <v>1.0900000000000001</v>
      </c>
      <c r="AD105" s="83">
        <f>'Analysis report'!C950</f>
        <v>45512501</v>
      </c>
    </row>
    <row r="106" spans="1:3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AB106" s="84">
        <f>'Analysis report'!A951</f>
        <v>0.78</v>
      </c>
      <c r="AC106" s="84">
        <f>'Analysis report'!B951</f>
        <v>0.86</v>
      </c>
      <c r="AD106" s="83">
        <f>'Analysis report'!C951</f>
        <v>17655004</v>
      </c>
    </row>
    <row r="107" spans="1:3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AB107" s="84">
        <f>'Analysis report'!A952</f>
        <v>1.1599999999999999</v>
      </c>
      <c r="AC107" s="84">
        <f>'Analysis report'!B952</f>
        <v>1.04</v>
      </c>
      <c r="AD107" s="83">
        <f>'Analysis report'!C952</f>
        <v>17335296</v>
      </c>
    </row>
    <row r="108" spans="1:3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AB108" s="84">
        <f>'Analysis report'!A953</f>
        <v>1.1100000000000001</v>
      </c>
      <c r="AC108" s="84">
        <f>'Analysis report'!B953</f>
        <v>0.79</v>
      </c>
      <c r="AD108" s="83">
        <f>'Analysis report'!C953</f>
        <v>97555887</v>
      </c>
    </row>
    <row r="109" spans="1:3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AB109" s="84">
        <f>'Analysis report'!A954</f>
        <v>1.1599999999999999</v>
      </c>
      <c r="AC109" s="84">
        <f>'Analysis report'!B954</f>
        <v>0.88</v>
      </c>
      <c r="AD109" s="83">
        <f>'Analysis report'!C954</f>
        <v>15533057</v>
      </c>
    </row>
    <row r="110" spans="1:3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AB110" s="84">
        <f>'Analysis report'!A955</f>
        <v>1.02</v>
      </c>
      <c r="AC110" s="84">
        <f>'Analysis report'!B955</f>
        <v>1</v>
      </c>
      <c r="AD110" s="83">
        <f>'Analysis report'!C955</f>
        <v>92614538</v>
      </c>
    </row>
    <row r="111" spans="1:3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AB111" s="84">
        <f>'Analysis report'!A956</f>
        <v>0.86</v>
      </c>
      <c r="AC111" s="84">
        <f>'Analysis report'!B956</f>
        <v>1.03</v>
      </c>
      <c r="AD111" s="83">
        <f>'Analysis report'!C956</f>
        <v>47857940</v>
      </c>
    </row>
    <row r="112" spans="1:3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AB112" s="84">
        <f>'Analysis report'!A957</f>
        <v>0.75</v>
      </c>
      <c r="AC112" s="84">
        <f>'Analysis report'!B957</f>
        <v>0.92</v>
      </c>
      <c r="AD112" s="83">
        <f>'Analysis report'!C957</f>
        <v>84877290</v>
      </c>
    </row>
    <row r="113" spans="1:3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AB113" s="84">
        <f>'Analysis report'!A958</f>
        <v>0.72</v>
      </c>
      <c r="AC113" s="84">
        <f>'Analysis report'!B958</f>
        <v>0.91</v>
      </c>
      <c r="AD113" s="83">
        <f>'Analysis report'!C958</f>
        <v>16079017</v>
      </c>
    </row>
    <row r="114" spans="1:33">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AB114" s="84">
        <f>'Analysis report'!A959</f>
        <v>0.77</v>
      </c>
      <c r="AC114" s="84">
        <f>'Analysis report'!B959</f>
        <v>0.97</v>
      </c>
      <c r="AD114" s="83">
        <f>'Analysis report'!C959</f>
        <v>98666595</v>
      </c>
    </row>
    <row r="115" spans="1:33">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AB115" s="84">
        <f>'Analysis report'!A960</f>
        <v>0.96</v>
      </c>
      <c r="AC115" s="84">
        <f>'Analysis report'!B960</f>
        <v>0.85</v>
      </c>
      <c r="AD115" s="83">
        <f>'Analysis report'!C960</f>
        <v>80318641</v>
      </c>
    </row>
    <row r="116" spans="1:33">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AB116" s="84">
        <f>'Analysis report'!A961</f>
        <v>0.88</v>
      </c>
      <c r="AC116" s="84">
        <f>'Analysis report'!B961</f>
        <v>0.83</v>
      </c>
      <c r="AD116" s="83">
        <f>'Analysis report'!C961</f>
        <v>20103503</v>
      </c>
    </row>
    <row r="117" spans="1:33">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AB117" s="84">
        <f>'Analysis report'!A962</f>
        <v>1.1000000000000001</v>
      </c>
      <c r="AC117" s="84">
        <f>'Analysis report'!B962</f>
        <v>1</v>
      </c>
      <c r="AD117" s="83">
        <f>'Analysis report'!C962</f>
        <v>51938140</v>
      </c>
    </row>
    <row r="118" spans="1:33">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AB118" s="84">
        <f>'Analysis report'!A963</f>
        <v>1.06</v>
      </c>
      <c r="AC118" s="84">
        <f>'Analysis report'!B963</f>
        <v>0.78</v>
      </c>
      <c r="AD118" s="83">
        <f>'Analysis report'!C963</f>
        <v>96987358</v>
      </c>
    </row>
    <row r="119" spans="1:33">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AB119" s="84">
        <f>'Analysis report'!A964</f>
        <v>1.1000000000000001</v>
      </c>
      <c r="AC119" s="84">
        <f>'Analysis report'!B964</f>
        <v>0.87</v>
      </c>
      <c r="AD119" s="83">
        <f>'Analysis report'!C964</f>
        <v>43612439</v>
      </c>
    </row>
    <row r="120" spans="1:33">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AB120" s="84">
        <f>'Analysis report'!A965</f>
        <v>0.96</v>
      </c>
      <c r="AC120" s="84">
        <f>'Analysis report'!B965</f>
        <v>0.85</v>
      </c>
      <c r="AD120" s="83">
        <f>'Analysis report'!C965</f>
        <v>77209870</v>
      </c>
    </row>
    <row r="121" spans="1:33">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AB121" s="84">
        <f>'Analysis report'!A966</f>
        <v>0.96</v>
      </c>
      <c r="AC121" s="84">
        <f>'Analysis report'!B966</f>
        <v>0.85</v>
      </c>
      <c r="AD121" s="83">
        <f>'Analysis report'!C966</f>
        <v>83249598</v>
      </c>
    </row>
    <row r="122" spans="1:33">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AB122" s="84">
        <f>'Analysis report'!A967</f>
        <v>0.7</v>
      </c>
      <c r="AC122" s="84">
        <f>'Analysis report'!B967</f>
        <v>0.91</v>
      </c>
      <c r="AD122" s="83">
        <f>'Analysis report'!C967</f>
        <v>12124981</v>
      </c>
    </row>
    <row r="123" spans="1:33" ht="22.05" customHeight="1">
      <c r="A123" s="79"/>
      <c r="B123" s="99" t="s">
        <v>1848</v>
      </c>
      <c r="C123" s="90"/>
      <c r="D123" s="90"/>
      <c r="E123" s="90"/>
      <c r="F123" s="90"/>
      <c r="G123" s="90"/>
      <c r="H123" s="90"/>
      <c r="I123" s="90"/>
      <c r="J123" s="90"/>
      <c r="K123" s="90"/>
      <c r="L123" s="90"/>
      <c r="M123" s="90"/>
      <c r="N123" s="90"/>
      <c r="O123" s="90"/>
      <c r="P123" s="90"/>
      <c r="Q123" s="90"/>
      <c r="R123" s="90"/>
      <c r="S123" s="90"/>
      <c r="T123" s="90"/>
      <c r="U123" s="79"/>
      <c r="V123" s="79"/>
      <c r="W123" s="79"/>
      <c r="X123" s="79"/>
      <c r="Y123" s="79"/>
      <c r="AB123" s="84">
        <f>'Analysis report'!A968</f>
        <v>1.19</v>
      </c>
      <c r="AC123" s="84">
        <f>'Analysis report'!B968</f>
        <v>0.95</v>
      </c>
      <c r="AD123" s="83">
        <f>'Analysis report'!C968</f>
        <v>44258091</v>
      </c>
    </row>
    <row r="124" spans="1:33">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AB124" s="84">
        <f>'Analysis report'!A969</f>
        <v>0.93</v>
      </c>
      <c r="AC124" s="84">
        <f>'Analysis report'!B969</f>
        <v>1.1200000000000001</v>
      </c>
      <c r="AD124" s="83">
        <f>'Analysis report'!C969</f>
        <v>30020518</v>
      </c>
    </row>
    <row r="125" spans="1:33">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AB125" s="84">
        <f>'Analysis report'!A970</f>
        <v>0.78</v>
      </c>
      <c r="AC125" s="84">
        <f>'Analysis report'!B970</f>
        <v>0.89</v>
      </c>
      <c r="AD125" s="83">
        <f>'Analysis report'!C970</f>
        <v>49770958</v>
      </c>
    </row>
    <row r="126" spans="1:33">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row>
    <row r="127" spans="1:33">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AB127" s="81" t="s">
        <v>1836</v>
      </c>
    </row>
    <row r="128" spans="1:33">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AB128" s="82" t="s">
        <v>219</v>
      </c>
      <c r="AC128" s="82" t="s">
        <v>283</v>
      </c>
      <c r="AD128" s="82" t="s">
        <v>317</v>
      </c>
      <c r="AE128" s="82" t="s">
        <v>318</v>
      </c>
      <c r="AF128" s="82" t="s">
        <v>337</v>
      </c>
      <c r="AG128" s="82" t="s">
        <v>1515</v>
      </c>
    </row>
    <row r="129" spans="1:33">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AB129" s="83" t="str">
        <f>'Analysis report'!A485</f>
        <v>2024-01</v>
      </c>
      <c r="AC129" s="83">
        <f>'Analysis report'!B485</f>
        <v>-574274</v>
      </c>
      <c r="AD129" s="83">
        <f>'Analysis report'!C485</f>
        <v>-1317584</v>
      </c>
      <c r="AE129" s="83">
        <f>'Analysis report'!D485</f>
        <v>-595005</v>
      </c>
      <c r="AF129" s="83">
        <f>'Analysis report'!E485</f>
        <v>545759</v>
      </c>
      <c r="AG129" s="83">
        <f>'Analysis report'!F485</f>
        <v>-1941104</v>
      </c>
    </row>
    <row r="130" spans="1:33">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AB130" s="83" t="str">
        <f>'Analysis report'!A486</f>
        <v>2024-02</v>
      </c>
      <c r="AC130" s="83">
        <f>'Analysis report'!B486</f>
        <v>-868853</v>
      </c>
      <c r="AD130" s="83">
        <f>'Analysis report'!C486</f>
        <v>836765</v>
      </c>
      <c r="AE130" s="83">
        <f>'Analysis report'!D486</f>
        <v>-533153</v>
      </c>
      <c r="AF130" s="83">
        <f>'Analysis report'!E486</f>
        <v>-3935</v>
      </c>
      <c r="AG130" s="83">
        <f>'Analysis report'!F486</f>
        <v>-569176</v>
      </c>
    </row>
    <row r="131" spans="1:33">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AB131" s="83" t="str">
        <f>'Analysis report'!A487</f>
        <v>2024-03</v>
      </c>
      <c r="AC131" s="83">
        <f>'Analysis report'!B487</f>
        <v>-221231</v>
      </c>
      <c r="AD131" s="83">
        <f>'Analysis report'!C487</f>
        <v>586100</v>
      </c>
      <c r="AE131" s="83">
        <f>'Analysis report'!D487</f>
        <v>61735</v>
      </c>
      <c r="AF131" s="83">
        <f>'Analysis report'!E487</f>
        <v>-186915</v>
      </c>
      <c r="AG131" s="83">
        <f>'Analysis report'!F487</f>
        <v>239689</v>
      </c>
    </row>
    <row r="132" spans="1:33">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AB132" s="83" t="str">
        <f>'Analysis report'!A488</f>
        <v>2024-04</v>
      </c>
      <c r="AC132" s="83">
        <f>'Analysis report'!B488</f>
        <v>1074695</v>
      </c>
      <c r="AD132" s="83">
        <f>'Analysis report'!C488</f>
        <v>-455351</v>
      </c>
      <c r="AE132" s="83">
        <f>'Analysis report'!D488</f>
        <v>-572862</v>
      </c>
      <c r="AF132" s="83">
        <f>'Analysis report'!E488</f>
        <v>-1331420</v>
      </c>
      <c r="AG132" s="83">
        <f>'Analysis report'!F488</f>
        <v>-1284938</v>
      </c>
    </row>
    <row r="133" spans="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AB133" s="83" t="str">
        <f>'Analysis report'!A489</f>
        <v>2024-05</v>
      </c>
      <c r="AC133" s="83">
        <f>'Analysis report'!B489</f>
        <v>389471</v>
      </c>
      <c r="AD133" s="83">
        <f>'Analysis report'!C489</f>
        <v>502180</v>
      </c>
      <c r="AE133" s="83">
        <f>'Analysis report'!D489</f>
        <v>579339</v>
      </c>
      <c r="AF133" s="83">
        <f>'Analysis report'!E489</f>
        <v>-107332</v>
      </c>
      <c r="AG133" s="83">
        <f>'Analysis report'!F489</f>
        <v>1363658</v>
      </c>
    </row>
    <row r="134" spans="1:33">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AB134" s="83" t="str">
        <f>'Analysis report'!A490</f>
        <v>2024-06</v>
      </c>
      <c r="AC134" s="83">
        <f>'Analysis report'!B490</f>
        <v>676310</v>
      </c>
      <c r="AD134" s="83">
        <f>'Analysis report'!C490</f>
        <v>767572</v>
      </c>
      <c r="AE134" s="83">
        <f>'Analysis report'!D490</f>
        <v>-68464</v>
      </c>
      <c r="AF134" s="83">
        <f>'Analysis report'!E490</f>
        <v>-1097039</v>
      </c>
      <c r="AG134" s="83">
        <f>'Analysis report'!F490</f>
        <v>278379</v>
      </c>
    </row>
    <row r="135" spans="1:33">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AB135" s="83" t="str">
        <f>'Analysis report'!A491</f>
        <v>2024-07</v>
      </c>
      <c r="AC135" s="83">
        <f>'Analysis report'!B491</f>
        <v>147369</v>
      </c>
      <c r="AD135" s="83">
        <f>'Analysis report'!C491</f>
        <v>-195047</v>
      </c>
      <c r="AE135" s="83">
        <f>'Analysis report'!D491</f>
        <v>102073</v>
      </c>
      <c r="AF135" s="83">
        <f>'Analysis report'!E491</f>
        <v>103162</v>
      </c>
      <c r="AG135" s="83">
        <f>'Analysis report'!F491</f>
        <v>157557</v>
      </c>
    </row>
    <row r="136" spans="1:33">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AB136" s="83" t="str">
        <f>'Analysis report'!A492</f>
        <v>2024-08</v>
      </c>
      <c r="AC136" s="83">
        <f>'Analysis report'!B492</f>
        <v>-30373</v>
      </c>
      <c r="AD136" s="83">
        <f>'Analysis report'!C492</f>
        <v>-1056516</v>
      </c>
      <c r="AE136" s="83">
        <f>'Analysis report'!D492</f>
        <v>-436762</v>
      </c>
      <c r="AF136" s="83">
        <f>'Analysis report'!E492</f>
        <v>596012</v>
      </c>
      <c r="AG136" s="83">
        <f>'Analysis report'!F492</f>
        <v>-927639</v>
      </c>
    </row>
    <row r="137" spans="1:33">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AB137" s="83" t="str">
        <f>'Analysis report'!A493</f>
        <v>2024-09</v>
      </c>
      <c r="AC137" s="83">
        <f>'Analysis report'!B493</f>
        <v>-576106</v>
      </c>
      <c r="AD137" s="83">
        <f>'Analysis report'!C493</f>
        <v>226548</v>
      </c>
      <c r="AE137" s="83">
        <f>'Analysis report'!D493</f>
        <v>-958914</v>
      </c>
      <c r="AF137" s="83">
        <f>'Analysis report'!E493</f>
        <v>-810634</v>
      </c>
      <c r="AG137" s="83">
        <f>'Analysis report'!F493</f>
        <v>-2119106</v>
      </c>
    </row>
    <row r="138" spans="1:33">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AB138" s="83" t="str">
        <f>'Analysis report'!A494</f>
        <v>2024-10</v>
      </c>
      <c r="AC138" s="83">
        <f>'Analysis report'!B494</f>
        <v>701779</v>
      </c>
      <c r="AD138" s="83">
        <f>'Analysis report'!C494</f>
        <v>73497</v>
      </c>
      <c r="AE138" s="83">
        <f>'Analysis report'!D494</f>
        <v>-345897</v>
      </c>
      <c r="AF138" s="83">
        <f>'Analysis report'!E494</f>
        <v>-1038711</v>
      </c>
      <c r="AG138" s="83">
        <f>'Analysis report'!F494</f>
        <v>-609332</v>
      </c>
    </row>
    <row r="139" spans="1:33">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AB139" s="83" t="str">
        <f>'Analysis report'!A495</f>
        <v>2024-11</v>
      </c>
      <c r="AC139" s="83">
        <f>'Analysis report'!B495</f>
        <v>674262</v>
      </c>
      <c r="AD139" s="83">
        <f>'Analysis report'!C495</f>
        <v>-824642</v>
      </c>
      <c r="AE139" s="83">
        <f>'Analysis report'!D495</f>
        <v>-106806</v>
      </c>
      <c r="AF139" s="83">
        <f>'Analysis report'!E495</f>
        <v>447192</v>
      </c>
      <c r="AG139" s="83">
        <f>'Analysis report'!F495</f>
        <v>190006</v>
      </c>
    </row>
    <row r="140" spans="1:33">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AB140" s="83" t="str">
        <f>'Analysis report'!A496</f>
        <v>2024-12</v>
      </c>
      <c r="AC140" s="83">
        <f>'Analysis report'!B496</f>
        <v>-553291</v>
      </c>
      <c r="AD140" s="83">
        <f>'Analysis report'!C496</f>
        <v>-533709</v>
      </c>
      <c r="AE140" s="83">
        <f>'Analysis report'!D496</f>
        <v>-992486</v>
      </c>
      <c r="AF140" s="83">
        <f>'Analysis report'!E496</f>
        <v>-14995</v>
      </c>
      <c r="AG140" s="83">
        <f>'Analysis report'!F496</f>
        <v>-2094481</v>
      </c>
    </row>
    <row r="141" spans="1:33">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row>
    <row r="142" spans="1:33">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AB142" s="81" t="s">
        <v>1837</v>
      </c>
    </row>
    <row r="143" spans="1:3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AB143" s="82" t="s">
        <v>1838</v>
      </c>
      <c r="AC143" s="82" t="s">
        <v>1700</v>
      </c>
    </row>
    <row r="144" spans="1:33" ht="22.05" customHeight="1">
      <c r="A144" s="79"/>
      <c r="B144" s="99" t="s">
        <v>1849</v>
      </c>
      <c r="C144" s="90"/>
      <c r="D144" s="90"/>
      <c r="E144" s="90"/>
      <c r="F144" s="90"/>
      <c r="G144" s="90"/>
      <c r="H144" s="90"/>
      <c r="I144" s="90"/>
      <c r="J144" s="90"/>
      <c r="K144" s="90"/>
      <c r="L144" s="90"/>
      <c r="M144" s="90"/>
      <c r="N144" s="90"/>
      <c r="O144" s="90"/>
      <c r="P144" s="90"/>
      <c r="Q144" s="90"/>
      <c r="R144" s="90"/>
      <c r="S144" s="90"/>
      <c r="T144" s="90"/>
      <c r="U144" s="79"/>
      <c r="V144" s="79"/>
      <c r="W144" s="79"/>
      <c r="X144" s="79"/>
      <c r="Y144" s="79"/>
      <c r="AB144" s="83" t="str">
        <f>'Analysis report'!A869</f>
        <v>0–30 days</v>
      </c>
      <c r="AC144" s="83">
        <f>'Analysis report'!C869</f>
        <v>998469</v>
      </c>
    </row>
    <row r="145" spans="1:29">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AB145" s="83" t="str">
        <f>'Analysis report'!A870</f>
        <v>31–60 days</v>
      </c>
      <c r="AC145" s="83">
        <f>'Analysis report'!C870</f>
        <v>3071180</v>
      </c>
    </row>
    <row r="146" spans="1:29">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AB146" s="83" t="str">
        <f>'Analysis report'!A871</f>
        <v>61–90 days</v>
      </c>
      <c r="AC146" s="83">
        <f>'Analysis report'!C871</f>
        <v>0</v>
      </c>
    </row>
    <row r="147" spans="1:29">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AB147" s="83" t="str">
        <f>'Analysis report'!A872</f>
        <v>90+ days</v>
      </c>
      <c r="AC147" s="83">
        <f>'Analysis report'!C872</f>
        <v>6831506</v>
      </c>
    </row>
    <row r="148" spans="1:29">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row>
    <row r="149" spans="1:2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AB149" s="81" t="s">
        <v>1839</v>
      </c>
    </row>
    <row r="150" spans="1:29">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AB150" s="82" t="s">
        <v>901</v>
      </c>
      <c r="AC150" s="82" t="s">
        <v>1678</v>
      </c>
    </row>
    <row r="151" spans="1:29">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AB151" s="83" t="str">
        <f>'Analysis report'!A803</f>
        <v>Supplier-A</v>
      </c>
      <c r="AC151" s="83">
        <f>'Analysis report'!D803</f>
        <v>0.33333333333333331</v>
      </c>
    </row>
    <row r="152" spans="1:29">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AB152" s="83" t="str">
        <f>'Analysis report'!A804</f>
        <v>Supplier-B</v>
      </c>
      <c r="AC152" s="83">
        <f>'Analysis report'!D804</f>
        <v>0</v>
      </c>
    </row>
    <row r="153" spans="1:29">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AB153" s="83" t="str">
        <f>'Analysis report'!A805</f>
        <v>Supplier-C</v>
      </c>
      <c r="AC153" s="83">
        <f>'Analysis report'!D805</f>
        <v>0.4</v>
      </c>
    </row>
    <row r="154" spans="1:29">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AB154" s="83" t="str">
        <f>'Analysis report'!A806</f>
        <v>Supplier-D</v>
      </c>
      <c r="AC154" s="83">
        <f>'Analysis report'!D806</f>
        <v>0.4</v>
      </c>
    </row>
    <row r="155" spans="1:29">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AB155" s="83" t="str">
        <f>'Analysis report'!A807</f>
        <v>Supplier-E</v>
      </c>
      <c r="AC155" s="83">
        <f>'Analysis report'!D807</f>
        <v>0.2857142857142857</v>
      </c>
    </row>
    <row r="156" spans="1:29">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AB156" s="83" t="str">
        <f>'Analysis report'!A808</f>
        <v>Supplier-F</v>
      </c>
      <c r="AC156" s="83">
        <f>'Analysis report'!D808</f>
        <v>0.375</v>
      </c>
    </row>
    <row r="157" spans="1:29">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AB157" s="83" t="str">
        <f>'Analysis report'!A809</f>
        <v>Supplier-G</v>
      </c>
      <c r="AC157" s="83">
        <f>'Analysis report'!D809</f>
        <v>0.16666666666666666</v>
      </c>
    </row>
    <row r="158" spans="1:29">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AB158" s="83" t="str">
        <f>'Analysis report'!A810</f>
        <v>Supplier-H</v>
      </c>
      <c r="AC158" s="83">
        <f>'Analysis report'!D810</f>
        <v>0</v>
      </c>
    </row>
    <row r="159" spans="1:2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AB159" s="83" t="str">
        <f>'Analysis report'!A811</f>
        <v>Supplier-I</v>
      </c>
      <c r="AC159" s="83">
        <f>'Analysis report'!D811</f>
        <v>0.14285714285714285</v>
      </c>
    </row>
    <row r="160" spans="1:29">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AB160" s="83" t="str">
        <f>'Analysis report'!A812</f>
        <v>Supplier-J</v>
      </c>
      <c r="AC160" s="83">
        <f>'Analysis report'!D812</f>
        <v>0.42857142857142855</v>
      </c>
    </row>
    <row r="161" spans="1:32">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row>
    <row r="162" spans="1:3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AB162" s="81" t="s">
        <v>1840</v>
      </c>
    </row>
    <row r="163" spans="1:32">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AB163" s="82" t="s">
        <v>1582</v>
      </c>
      <c r="AC163" s="82" t="s">
        <v>1583</v>
      </c>
    </row>
    <row r="164" spans="1:32">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AB164" s="83" t="str">
        <f>'Analysis report'!A623</f>
        <v>Quality</v>
      </c>
      <c r="AC164" s="84">
        <f>'Analysis report'!B623</f>
        <v>4</v>
      </c>
    </row>
    <row r="165" spans="1:32" ht="22.05" customHeight="1">
      <c r="A165" s="79"/>
      <c r="B165" s="99" t="s">
        <v>1850</v>
      </c>
      <c r="C165" s="90"/>
      <c r="D165" s="90"/>
      <c r="E165" s="90"/>
      <c r="F165" s="90"/>
      <c r="G165" s="90"/>
      <c r="H165" s="90"/>
      <c r="I165" s="90"/>
      <c r="J165" s="90"/>
      <c r="K165" s="90"/>
      <c r="L165" s="90"/>
      <c r="M165" s="90"/>
      <c r="N165" s="90"/>
      <c r="O165" s="90"/>
      <c r="P165" s="90"/>
      <c r="Q165" s="90"/>
      <c r="R165" s="90"/>
      <c r="S165" s="90"/>
      <c r="T165" s="90"/>
      <c r="U165" s="79"/>
      <c r="V165" s="79"/>
      <c r="W165" s="79"/>
      <c r="X165" s="79"/>
      <c r="Y165" s="79"/>
      <c r="AB165" s="83" t="str">
        <f>'Analysis report'!A624</f>
        <v>Time</v>
      </c>
      <c r="AC165" s="84">
        <f>'Analysis report'!B624</f>
        <v>3.2</v>
      </c>
    </row>
    <row r="166" spans="1:32">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AB166" s="83" t="str">
        <f>'Analysis report'!A625</f>
        <v>Safety</v>
      </c>
      <c r="AC166" s="84">
        <f>'Analysis report'!B625</f>
        <v>4.2</v>
      </c>
    </row>
    <row r="167" spans="1:32" ht="16.95" customHeight="1">
      <c r="A167" s="79"/>
      <c r="B167" s="98" t="str">
        <f>"COST — "&amp;TEXT('Analysis report'!C59,"0.0%")&amp;" of projects ("&amp;TEXT('Analysis report'!B59,"0")&amp;" of "&amp;TEXT('Analysis report'!B61,"0")&amp;") finished over budget; portfolio overrun "&amp;TEXT('Analysis report'!E25,"0.0%")&amp;" = "&amp;TEXT('Analysis report'!D25,"$#,##0")&amp;". Worst type: Residential Tower at "&amp;TEXT('Analysis report'!E15,"0.0%")&amp;". ACTION: re-baseline estimates for tower / campus / hospital typologies."</f>
        <v>COST — 90.0% of projects (45 of 50) finished over budget; portfolio overrun 17.6% = $37,95,48,193. Worst type: Residential Tower at 26.3%. ACTION: re-baseline estimates for tower / campus / hospital typologies.</v>
      </c>
      <c r="C167" s="90"/>
      <c r="D167" s="90"/>
      <c r="E167" s="90"/>
      <c r="F167" s="90"/>
      <c r="G167" s="90"/>
      <c r="H167" s="90"/>
      <c r="I167" s="90"/>
      <c r="J167" s="90"/>
      <c r="K167" s="90"/>
      <c r="L167" s="90"/>
      <c r="M167" s="90"/>
      <c r="N167" s="90"/>
      <c r="O167" s="90"/>
      <c r="P167" s="90"/>
      <c r="Q167" s="90"/>
      <c r="R167" s="90"/>
      <c r="S167" s="90"/>
      <c r="T167" s="90"/>
      <c r="U167" s="79"/>
      <c r="V167" s="79"/>
      <c r="W167" s="79"/>
      <c r="X167" s="79"/>
      <c r="Y167" s="79"/>
      <c r="AB167" s="83" t="str">
        <f>'Analysis report'!A626</f>
        <v>Cost</v>
      </c>
      <c r="AC167" s="84">
        <f>'Analysis report'!B626</f>
        <v>4.5999999999999996</v>
      </c>
    </row>
    <row r="168" spans="1:32" ht="16.95" customHeight="1">
      <c r="A168" s="79"/>
      <c r="B168" s="97" t="str">
        <f>"GEOGRAPHY — Australia builds at "&amp;TEXT('Analysis report'!B652,"$#,##0")&amp;"/sqm vs India at "&amp;TEXT('Analysis report'!B653,"$#,##0")&amp;"/sqm; New Zealand carries the highest average overrun at "&amp;TEXT('Analysis report'!B10,"0.0%")&amp;". ACTION: use the P10 benchmark grid as the rate base for new pursuits."</f>
        <v>GEOGRAPHY — Australia builds at $3,677/sqm vs India at $670/sqm; New Zealand carries the highest average overrun at 19.7%. ACTION: use the P10 benchmark grid as the rate base for new pursuits.</v>
      </c>
      <c r="C168" s="90"/>
      <c r="D168" s="90"/>
      <c r="E168" s="90"/>
      <c r="F168" s="90"/>
      <c r="G168" s="90"/>
      <c r="H168" s="90"/>
      <c r="I168" s="90"/>
      <c r="J168" s="90"/>
      <c r="K168" s="90"/>
      <c r="L168" s="90"/>
      <c r="M168" s="90"/>
      <c r="N168" s="90"/>
      <c r="O168" s="90"/>
      <c r="P168" s="90"/>
      <c r="Q168" s="90"/>
      <c r="R168" s="90"/>
      <c r="S168" s="90"/>
      <c r="T168" s="90"/>
      <c r="U168" s="79"/>
      <c r="V168" s="79"/>
      <c r="W168" s="79"/>
      <c r="X168" s="79"/>
      <c r="Y168" s="79"/>
      <c r="AB168" s="83" t="str">
        <f>'Analysis report'!A627</f>
        <v>Communication</v>
      </c>
      <c r="AC168" s="84">
        <f>'Analysis report'!B627</f>
        <v>3.3</v>
      </c>
    </row>
    <row r="169" spans="1:32" ht="16.95" customHeight="1">
      <c r="A169" s="79"/>
      <c r="B169" s="98" t="str">
        <f>"SCHEDULE — "&amp;TEXT('Analysis report'!B462,"#,##0")&amp;" delay days cost "&amp;TEXT('Analysis report'!C462,"$#,##0")&amp;" at $15k/day. Top cause: RFI Response Delay ("&amp;TEXT('Analysis report'!C387,"0")&amp;" events); worst activity: Testing &amp; Commissioning. ACTION: 7-day RFI SLA and early commissioning mobilisation."</f>
        <v>SCHEDULE — 1,467 delay days cost $2,20,05,000 at $15k/day. Top cause: RFI Response Delay (11 events); worst activity: Testing &amp; Commissioning. ACTION: 7-day RFI SLA and early commissioning mobilisation.</v>
      </c>
      <c r="C169" s="90"/>
      <c r="D169" s="90"/>
      <c r="E169" s="90"/>
      <c r="F169" s="90"/>
      <c r="G169" s="90"/>
      <c r="H169" s="90"/>
      <c r="I169" s="90"/>
      <c r="J169" s="90"/>
      <c r="K169" s="90"/>
      <c r="L169" s="90"/>
      <c r="M169" s="90"/>
      <c r="N169" s="90"/>
      <c r="O169" s="90"/>
      <c r="P169" s="90"/>
      <c r="Q169" s="90"/>
      <c r="R169" s="90"/>
      <c r="S169" s="90"/>
      <c r="T169" s="90"/>
      <c r="U169" s="79"/>
      <c r="V169" s="79"/>
      <c r="W169" s="79"/>
      <c r="X169" s="79"/>
      <c r="Y169" s="79"/>
    </row>
    <row r="170" spans="1:32" ht="16.95" customHeight="1">
      <c r="A170" s="79"/>
      <c r="B170" s="97" t="str">
        <f>"EARNED VALUE — CPI has fallen to "&amp;TEXT('Analysis report'!D721,"0.00")&amp;" with "&amp;TEXT('Analysis report'!F722,"0")&amp;" of 36 months below 1.00; EAC "&amp;TEXT('Analysis report'!D726,"$#,##0")&amp;" vs BAC "&amp;TEXT('Analysis report'!B726,"$#,##0")&amp;" = "&amp;TEXT('Analysis report'!D727,"0.0%")&amp;" overrun. ACTION: value-engineering to recover "&amp;TEXT('Analysis report'!D778,"$#,##0")&amp;"."</f>
        <v>EARNED VALUE — CPI has fallen to 0.90 with 25 of 36 months below 1.00; EAC $2,77,85,221 vs BAC $2,50,00,000 = 11.1% overrun. ACTION: value-engineering to recover $30,79,805.</v>
      </c>
      <c r="C170" s="90"/>
      <c r="D170" s="90"/>
      <c r="E170" s="90"/>
      <c r="F170" s="90"/>
      <c r="G170" s="90"/>
      <c r="H170" s="90"/>
      <c r="I170" s="90"/>
      <c r="J170" s="90"/>
      <c r="K170" s="90"/>
      <c r="L170" s="90"/>
      <c r="M170" s="90"/>
      <c r="N170" s="90"/>
      <c r="O170" s="90"/>
      <c r="P170" s="90"/>
      <c r="Q170" s="90"/>
      <c r="R170" s="90"/>
      <c r="S170" s="90"/>
      <c r="T170" s="90"/>
      <c r="U170" s="79"/>
      <c r="V170" s="79"/>
      <c r="W170" s="79"/>
      <c r="X170" s="79"/>
      <c r="Y170" s="79"/>
      <c r="AB170" s="81" t="s">
        <v>1841</v>
      </c>
    </row>
    <row r="171" spans="1:32" ht="16.95" customHeight="1">
      <c r="A171" s="79"/>
      <c r="B171" s="98" t="str">
        <f>"CASH — 2024 closed at "&amp;TEXT('Analysis report'!B522,"$#,##0;($#,##0)")&amp;" net, collections only "&amp;TEXT('Analysis report'!D531,"0.0%")&amp;" of forecast and "&amp;TEXT('Analysis report'!D500,"0")&amp;" project-months below 70% of plan. ACTION: milestone-linked billing and a rolling 13-week cash forecast."</f>
        <v>CASH — 2024 closed at ($73,16,487) net, collections only 76.9% of forecast and 17 project-months below 70% of plan. ACTION: milestone-linked billing and a rolling 13-week cash forecast.</v>
      </c>
      <c r="C171" s="90"/>
      <c r="D171" s="90"/>
      <c r="E171" s="90"/>
      <c r="F171" s="90"/>
      <c r="G171" s="90"/>
      <c r="H171" s="90"/>
      <c r="I171" s="90"/>
      <c r="J171" s="90"/>
      <c r="K171" s="90"/>
      <c r="L171" s="90"/>
      <c r="M171" s="90"/>
      <c r="N171" s="90"/>
      <c r="O171" s="90"/>
      <c r="P171" s="90"/>
      <c r="Q171" s="90"/>
      <c r="R171" s="90"/>
      <c r="S171" s="90"/>
      <c r="T171" s="90"/>
      <c r="U171" s="79"/>
      <c r="V171" s="79"/>
      <c r="W171" s="79"/>
      <c r="X171" s="79"/>
      <c r="Y171" s="79"/>
      <c r="AB171" s="82" t="s">
        <v>1698</v>
      </c>
      <c r="AC171" s="82" t="s">
        <v>688</v>
      </c>
      <c r="AD171" s="82" t="s">
        <v>660</v>
      </c>
      <c r="AE171" s="82" t="s">
        <v>675</v>
      </c>
      <c r="AF171" s="82" t="s">
        <v>668</v>
      </c>
    </row>
    <row r="172" spans="1:32" ht="16.95" customHeight="1">
      <c r="A172" s="79"/>
      <c r="B172" s="97" t="str">
        <f>"RECEIVABLES — "&amp;TEXT('Analysis report'!F848,"$#,##0")&amp;" outstanding, of which "&amp;TEXT('Analysis report'!C872,"$#,##0")&amp;" ("&amp;TEXT('Analysis report'!C872/'Analysis report'!F848,"0.0%")&amp;") is 90+ days overdue; interest claimable "&amp;TEXT('Analysis report'!D913,"$#,##0")&amp;". ACTION: escalate Brookfield and Tata Realty balances now."</f>
        <v>RECEIVABLES — $1,18,56,858 outstanding, of which $68,31,506 (57.6%) is 90+ days overdue; interest claimable $7,97,715. ACTION: escalate Brookfield and Tata Realty balances now.</v>
      </c>
      <c r="C172" s="90"/>
      <c r="D172" s="90"/>
      <c r="E172" s="90"/>
      <c r="F172" s="90"/>
      <c r="G172" s="90"/>
      <c r="H172" s="90"/>
      <c r="I172" s="90"/>
      <c r="J172" s="90"/>
      <c r="K172" s="90"/>
      <c r="L172" s="90"/>
      <c r="M172" s="90"/>
      <c r="N172" s="90"/>
      <c r="O172" s="90"/>
      <c r="P172" s="90"/>
      <c r="Q172" s="90"/>
      <c r="R172" s="90"/>
      <c r="S172" s="90"/>
      <c r="T172" s="90"/>
      <c r="U172" s="79"/>
      <c r="V172" s="79"/>
      <c r="W172" s="79"/>
      <c r="X172" s="79"/>
      <c r="Y172" s="79"/>
      <c r="AB172" s="83" t="str">
        <f>'Analysis report'!A577</f>
        <v>WT-DC-MUM-01</v>
      </c>
      <c r="AC172" s="83">
        <f>'Analysis report'!B577</f>
        <v>791101</v>
      </c>
      <c r="AD172" s="83">
        <f>'Analysis report'!C577</f>
        <v>758642</v>
      </c>
      <c r="AE172" s="83">
        <f>'Analysis report'!D577</f>
        <v>675467</v>
      </c>
      <c r="AF172" s="83">
        <f>'Analysis report'!E577</f>
        <v>-142038</v>
      </c>
    </row>
    <row r="173" spans="1:32" ht="16.95" customHeight="1">
      <c r="A173" s="79"/>
      <c r="B173" s="98" t="str">
        <f>"PROCUREMENT — "&amp;TEXT('Analysis report'!D816,"0.0%")&amp;" of POs delivered late (avg "&amp;TEXT('Analysis report'!D817,"0.0")&amp;" days); no supplier rates A on on-time delivery. ACTION: dual-source Copper Wiring and Tiles, add buffer float to long-lead packages."</f>
        <v>PROCUREMENT — 70.0% of POs delivered late (avg 5.9 days); no supplier rates A on on-time delivery. ACTION: dual-source Copper Wiring and Tiles, add buffer float to long-lead packages.</v>
      </c>
      <c r="C173" s="90"/>
      <c r="D173" s="90"/>
      <c r="E173" s="90"/>
      <c r="F173" s="90"/>
      <c r="G173" s="90"/>
      <c r="H173" s="90"/>
      <c r="I173" s="90"/>
      <c r="J173" s="90"/>
      <c r="K173" s="90"/>
      <c r="L173" s="90"/>
      <c r="M173" s="90"/>
      <c r="N173" s="90"/>
      <c r="O173" s="90"/>
      <c r="P173" s="90"/>
      <c r="Q173" s="90"/>
      <c r="R173" s="90"/>
      <c r="S173" s="90"/>
      <c r="T173" s="90"/>
      <c r="U173" s="79"/>
      <c r="V173" s="79"/>
      <c r="W173" s="79"/>
      <c r="X173" s="79"/>
      <c r="Y173" s="79"/>
      <c r="AB173" s="83" t="str">
        <f>'Analysis report'!A578</f>
        <v>WT-OFF-SYD-02</v>
      </c>
      <c r="AC173" s="83">
        <f>'Analysis report'!B578</f>
        <v>583674</v>
      </c>
      <c r="AD173" s="83">
        <f>'Analysis report'!C578</f>
        <v>0</v>
      </c>
      <c r="AE173" s="83">
        <f>'Analysis report'!D578</f>
        <v>577493</v>
      </c>
      <c r="AF173" s="83">
        <f>'Analysis report'!E578</f>
        <v>3723549</v>
      </c>
    </row>
    <row r="174" spans="1:32" ht="16.95" customHeight="1">
      <c r="A174" s="79"/>
      <c r="B174" s="97" t="str">
        <f>"PORTFOLIO — "&amp;TEXT('Analysis report'!C975,"0")&amp;" of "&amp;TEXT('Analysis report'!C976,"0")&amp;" projects are late AND over cost ("&amp;TEXT('Analysis report'!E975,"$#,##0")&amp;" of budget), "&amp;TEXT('Analysis report'!B932,"0")&amp;" are red-zone and "&amp;TEXT('Analysis report'!B920,"0")&amp;" on hold tie up "&amp;TEXT('Analysis report'!D920,"$#,##0")&amp;". ACTION: recovery plans before taking new work."</f>
        <v>PORTFOLIO — 11 of 25 projects are late AND over cost ($63,55,84,316 of budget), 3 are red-zone and 8 on hold tie up $50,58,48,491. ACTION: recovery plans before taking new work.</v>
      </c>
      <c r="C174" s="90"/>
      <c r="D174" s="90"/>
      <c r="E174" s="90"/>
      <c r="F174" s="90"/>
      <c r="G174" s="90"/>
      <c r="H174" s="90"/>
      <c r="I174" s="90"/>
      <c r="J174" s="90"/>
      <c r="K174" s="90"/>
      <c r="L174" s="90"/>
      <c r="M174" s="90"/>
      <c r="N174" s="90"/>
      <c r="O174" s="90"/>
      <c r="P174" s="90"/>
      <c r="Q174" s="90"/>
      <c r="R174" s="90"/>
      <c r="S174" s="90"/>
      <c r="T174" s="90"/>
      <c r="U174" s="79"/>
      <c r="V174" s="79"/>
      <c r="W174" s="79"/>
      <c r="X174" s="79"/>
      <c r="Y174" s="79"/>
      <c r="AB174" s="83" t="str">
        <f>'Analysis report'!A579</f>
        <v>WT-HOS-AKL-03</v>
      </c>
      <c r="AC174" s="83">
        <f>'Analysis report'!B579</f>
        <v>1919398</v>
      </c>
      <c r="AD174" s="83">
        <f>'Analysis report'!C579</f>
        <v>449749</v>
      </c>
      <c r="AE174" s="83">
        <f>'Analysis report'!D579</f>
        <v>158155</v>
      </c>
      <c r="AF174" s="83">
        <f>'Analysis report'!E579</f>
        <v>1081459</v>
      </c>
    </row>
    <row r="175" spans="1:32">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AB175" s="83" t="str">
        <f>'Analysis report'!A580</f>
        <v>WT-RES-MEL-05</v>
      </c>
      <c r="AC175" s="83">
        <f>'Analysis report'!B580</f>
        <v>892260</v>
      </c>
      <c r="AD175" s="83">
        <f>'Analysis report'!C580</f>
        <v>114455</v>
      </c>
      <c r="AE175" s="83">
        <f>'Analysis report'!D580</f>
        <v>563191</v>
      </c>
      <c r="AF175" s="83">
        <f>'Analysis report'!E580</f>
        <v>2200179</v>
      </c>
    </row>
    <row r="176" spans="1:32">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row>
    <row r="177" spans="1:29">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AB177" s="81" t="s">
        <v>1842</v>
      </c>
    </row>
    <row r="178" spans="1:29">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AB178" s="82" t="s">
        <v>655</v>
      </c>
      <c r="AC178" s="82" t="s">
        <v>1316</v>
      </c>
    </row>
    <row r="179" spans="1:2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AB179" s="83" t="str">
        <f>'Analysis report'!A919</f>
        <v>In Progress</v>
      </c>
      <c r="AC179" s="83">
        <f>'Analysis report'!B919</f>
        <v>4</v>
      </c>
    </row>
    <row r="180" spans="1:29">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AB180" s="83" t="str">
        <f>'Analysis report'!A920</f>
        <v>On Hold</v>
      </c>
      <c r="AC180" s="83">
        <f>'Analysis report'!B920</f>
        <v>8</v>
      </c>
    </row>
    <row r="181" spans="1:29">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AB181" s="83" t="str">
        <f>'Analysis report'!A921</f>
        <v>Completed</v>
      </c>
      <c r="AC181" s="83">
        <f>'Analysis report'!B921</f>
        <v>8</v>
      </c>
    </row>
    <row r="182" spans="1:29">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AB182" s="83" t="str">
        <f>'Analysis report'!A922</f>
        <v>Planning</v>
      </c>
      <c r="AC182" s="83">
        <f>'Analysis report'!B922</f>
        <v>5</v>
      </c>
    </row>
    <row r="183" spans="1:29">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row>
    <row r="184" spans="1:29">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row>
    <row r="185" spans="1:29">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row>
    <row r="186" spans="1:29">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row>
    <row r="187" spans="1:29">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row>
    <row r="188" spans="1:29">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row>
    <row r="189" spans="1:2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row>
    <row r="190" spans="1:29">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row>
    <row r="191" spans="1:29">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row>
    <row r="192" spans="1:29">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row>
    <row r="193" spans="1:25">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row>
    <row r="194" spans="1:25">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row>
    <row r="195" spans="1:2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row>
    <row r="196" spans="1:25">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row>
    <row r="197" spans="1:25">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row>
    <row r="198" spans="1:25">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row>
    <row r="199" spans="1:25">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row>
    <row r="200" spans="1:25">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row>
  </sheetData>
  <mergeCells count="54">
    <mergeCell ref="B10:E10"/>
    <mergeCell ref="Q9:T9"/>
    <mergeCell ref="Q10:T10"/>
    <mergeCell ref="B1:T2"/>
    <mergeCell ref="B3:T3"/>
    <mergeCell ref="B5:E5"/>
    <mergeCell ref="B6:E6"/>
    <mergeCell ref="B7:E7"/>
    <mergeCell ref="G5:J5"/>
    <mergeCell ref="G6:J6"/>
    <mergeCell ref="G7:J7"/>
    <mergeCell ref="L5:O5"/>
    <mergeCell ref="L6:O6"/>
    <mergeCell ref="L7:O7"/>
    <mergeCell ref="Q5:T5"/>
    <mergeCell ref="Q6:T6"/>
    <mergeCell ref="Q7:T7"/>
    <mergeCell ref="B9:E9"/>
    <mergeCell ref="G9:J9"/>
    <mergeCell ref="G10:J10"/>
    <mergeCell ref="G11:J11"/>
    <mergeCell ref="L9:O9"/>
    <mergeCell ref="L10:O10"/>
    <mergeCell ref="L11:O11"/>
    <mergeCell ref="Q11:T11"/>
    <mergeCell ref="B13:E13"/>
    <mergeCell ref="B14:E14"/>
    <mergeCell ref="B15:E15"/>
    <mergeCell ref="G13:J13"/>
    <mergeCell ref="G14:J14"/>
    <mergeCell ref="G15:J15"/>
    <mergeCell ref="L13:O13"/>
    <mergeCell ref="L14:O14"/>
    <mergeCell ref="L15:O15"/>
    <mergeCell ref="B11:E11"/>
    <mergeCell ref="B167:T167"/>
    <mergeCell ref="Q13:T13"/>
    <mergeCell ref="Q14:T14"/>
    <mergeCell ref="Q15:T15"/>
    <mergeCell ref="B18:T18"/>
    <mergeCell ref="B39:T39"/>
    <mergeCell ref="B60:T60"/>
    <mergeCell ref="B81:T81"/>
    <mergeCell ref="B102:T102"/>
    <mergeCell ref="B123:T123"/>
    <mergeCell ref="B144:T144"/>
    <mergeCell ref="B165:T165"/>
    <mergeCell ref="B174:T174"/>
    <mergeCell ref="B168:T168"/>
    <mergeCell ref="B169:T169"/>
    <mergeCell ref="B170:T170"/>
    <mergeCell ref="B171:T171"/>
    <mergeCell ref="B172:T172"/>
    <mergeCell ref="B173:T17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74C3C"/>
  </sheetPr>
  <dimension ref="A1:K63"/>
  <sheetViews>
    <sheetView topLeftCell="A22" zoomScale="55" zoomScaleNormal="55" workbookViewId="0">
      <selection activeCell="A57" sqref="A57:F63"/>
    </sheetView>
  </sheetViews>
  <sheetFormatPr defaultColWidth="8.6640625" defaultRowHeight="14.4"/>
  <cols>
    <col min="1" max="1" width="10" customWidth="1"/>
    <col min="2" max="2" width="28" customWidth="1"/>
    <col min="3" max="3" width="14" customWidth="1"/>
    <col min="4" max="4" width="12" customWidth="1"/>
    <col min="5" max="5" width="22" customWidth="1"/>
    <col min="6" max="6" width="17.88671875" bestFit="1" customWidth="1"/>
    <col min="7" max="7" width="18" customWidth="1"/>
    <col min="8" max="9" width="16" customWidth="1"/>
    <col min="10" max="10" width="12" customWidth="1"/>
    <col min="11" max="11" width="11.88671875" bestFit="1" customWidth="1"/>
  </cols>
  <sheetData>
    <row r="1" spans="1:11" ht="17.399999999999999">
      <c r="A1" s="118" t="s">
        <v>1226</v>
      </c>
      <c r="B1" s="118"/>
      <c r="C1" s="118"/>
      <c r="D1" s="118"/>
      <c r="E1" s="118"/>
      <c r="F1" s="118"/>
      <c r="G1" s="118"/>
      <c r="H1" s="118"/>
    </row>
    <row r="2" spans="1:11">
      <c r="A2" s="119" t="s">
        <v>67</v>
      </c>
      <c r="B2" s="119"/>
      <c r="C2" s="119"/>
      <c r="D2" s="119"/>
      <c r="E2" s="119"/>
      <c r="F2" s="119"/>
      <c r="G2" s="119"/>
      <c r="H2" s="119"/>
    </row>
    <row r="4" spans="1:11" ht="39.6">
      <c r="A4" s="1" t="s">
        <v>68</v>
      </c>
      <c r="B4" s="1" t="s">
        <v>69</v>
      </c>
      <c r="C4" s="1" t="s">
        <v>70</v>
      </c>
      <c r="D4" s="1" t="s">
        <v>71</v>
      </c>
      <c r="E4" s="1" t="s">
        <v>72</v>
      </c>
      <c r="F4" s="1" t="s">
        <v>73</v>
      </c>
      <c r="G4" s="1" t="s">
        <v>74</v>
      </c>
      <c r="H4" s="1" t="s">
        <v>75</v>
      </c>
      <c r="I4" s="4" t="s">
        <v>76</v>
      </c>
      <c r="J4" s="4" t="s">
        <v>77</v>
      </c>
      <c r="K4" s="15" t="s">
        <v>1240</v>
      </c>
    </row>
    <row r="5" spans="1:11">
      <c r="A5" s="2" t="s">
        <v>161</v>
      </c>
      <c r="B5" s="2" t="s">
        <v>162</v>
      </c>
      <c r="C5" s="2" t="s">
        <v>106</v>
      </c>
      <c r="D5" s="2" t="s">
        <v>95</v>
      </c>
      <c r="E5" s="2" t="s">
        <v>150</v>
      </c>
      <c r="F5" s="2">
        <v>74394227</v>
      </c>
      <c r="G5" s="2">
        <v>99048466</v>
      </c>
      <c r="H5" s="2">
        <v>39</v>
      </c>
      <c r="I5" s="5">
        <f t="shared" ref="I5:I36" si="0">G5-F5</f>
        <v>24654239</v>
      </c>
      <c r="J5" s="6">
        <f t="shared" ref="J5:J36" si="1">I5/F5</f>
        <v>0.33139989477946991</v>
      </c>
      <c r="K5">
        <f t="shared" ref="K5:K36" si="2">ABS(I5)</f>
        <v>24654239</v>
      </c>
    </row>
    <row r="6" spans="1:11">
      <c r="A6" s="2" t="s">
        <v>169</v>
      </c>
      <c r="B6" s="2" t="s">
        <v>170</v>
      </c>
      <c r="C6" s="2" t="s">
        <v>149</v>
      </c>
      <c r="D6" s="2" t="s">
        <v>81</v>
      </c>
      <c r="E6" s="2" t="s">
        <v>150</v>
      </c>
      <c r="F6" s="2">
        <v>65791320</v>
      </c>
      <c r="G6" s="2">
        <v>87419523</v>
      </c>
      <c r="H6" s="2">
        <v>16</v>
      </c>
      <c r="I6" s="5">
        <f t="shared" si="0"/>
        <v>21628203</v>
      </c>
      <c r="J6" s="6">
        <f t="shared" si="1"/>
        <v>0.32873945985579861</v>
      </c>
      <c r="K6">
        <f t="shared" si="2"/>
        <v>21628203</v>
      </c>
    </row>
    <row r="7" spans="1:11">
      <c r="A7" s="3" t="s">
        <v>171</v>
      </c>
      <c r="B7" s="3" t="s">
        <v>172</v>
      </c>
      <c r="C7" s="3" t="s">
        <v>173</v>
      </c>
      <c r="D7" s="3" t="s">
        <v>95</v>
      </c>
      <c r="E7" s="3" t="s">
        <v>85</v>
      </c>
      <c r="F7" s="3">
        <v>58792612</v>
      </c>
      <c r="G7" s="3">
        <v>78531947</v>
      </c>
      <c r="H7" s="3">
        <v>40</v>
      </c>
      <c r="I7" s="5">
        <f t="shared" si="0"/>
        <v>19739335</v>
      </c>
      <c r="J7" s="6">
        <f t="shared" si="1"/>
        <v>0.33574516131380588</v>
      </c>
      <c r="K7">
        <f t="shared" si="2"/>
        <v>19739335</v>
      </c>
    </row>
    <row r="8" spans="1:11">
      <c r="A8" s="2" t="s">
        <v>174</v>
      </c>
      <c r="B8" s="2" t="s">
        <v>175</v>
      </c>
      <c r="C8" s="2" t="s">
        <v>136</v>
      </c>
      <c r="D8" s="2" t="s">
        <v>81</v>
      </c>
      <c r="E8" s="2" t="s">
        <v>117</v>
      </c>
      <c r="F8" s="2">
        <v>55551839</v>
      </c>
      <c r="G8" s="2">
        <v>74887197</v>
      </c>
      <c r="H8" s="2">
        <v>47</v>
      </c>
      <c r="I8" s="5">
        <f t="shared" si="0"/>
        <v>19335358</v>
      </c>
      <c r="J8" s="6">
        <f t="shared" si="1"/>
        <v>0.34805972849971717</v>
      </c>
      <c r="K8">
        <f t="shared" si="2"/>
        <v>19335358</v>
      </c>
    </row>
    <row r="9" spans="1:11">
      <c r="A9" s="3" t="s">
        <v>193</v>
      </c>
      <c r="B9" s="3" t="s">
        <v>194</v>
      </c>
      <c r="C9" s="3" t="s">
        <v>94</v>
      </c>
      <c r="D9" s="3" t="s">
        <v>95</v>
      </c>
      <c r="E9" s="3" t="s">
        <v>100</v>
      </c>
      <c r="F9" s="3">
        <v>64682989</v>
      </c>
      <c r="G9" s="3">
        <v>83799056</v>
      </c>
      <c r="H9" s="3">
        <v>9</v>
      </c>
      <c r="I9" s="5">
        <f t="shared" si="0"/>
        <v>19116067</v>
      </c>
      <c r="J9" s="6">
        <f t="shared" si="1"/>
        <v>0.29553468841707359</v>
      </c>
      <c r="K9">
        <f t="shared" si="2"/>
        <v>19116067</v>
      </c>
    </row>
    <row r="10" spans="1:11">
      <c r="A10" s="3" t="s">
        <v>167</v>
      </c>
      <c r="B10" s="3" t="s">
        <v>168</v>
      </c>
      <c r="C10" s="3" t="s">
        <v>126</v>
      </c>
      <c r="D10" s="3" t="s">
        <v>81</v>
      </c>
      <c r="E10" s="3" t="s">
        <v>89</v>
      </c>
      <c r="F10" s="3">
        <v>67228535</v>
      </c>
      <c r="G10" s="3">
        <v>85811127</v>
      </c>
      <c r="H10" s="3">
        <v>40</v>
      </c>
      <c r="I10" s="5">
        <f t="shared" si="0"/>
        <v>18582592</v>
      </c>
      <c r="J10" s="6">
        <f t="shared" si="1"/>
        <v>0.27640929554689836</v>
      </c>
      <c r="K10">
        <f t="shared" si="2"/>
        <v>18582592</v>
      </c>
    </row>
    <row r="11" spans="1:11">
      <c r="A11" s="2" t="s">
        <v>153</v>
      </c>
      <c r="B11" s="2" t="s">
        <v>154</v>
      </c>
      <c r="C11" s="2" t="s">
        <v>88</v>
      </c>
      <c r="D11" s="2" t="s">
        <v>81</v>
      </c>
      <c r="E11" s="2" t="s">
        <v>89</v>
      </c>
      <c r="F11" s="2">
        <v>74070937</v>
      </c>
      <c r="G11" s="2">
        <v>92614679</v>
      </c>
      <c r="H11" s="2">
        <v>47</v>
      </c>
      <c r="I11" s="5">
        <f t="shared" si="0"/>
        <v>18543742</v>
      </c>
      <c r="J11" s="6">
        <f t="shared" si="1"/>
        <v>0.25035111949508615</v>
      </c>
      <c r="K11">
        <f t="shared" si="2"/>
        <v>18543742</v>
      </c>
    </row>
    <row r="12" spans="1:11">
      <c r="A12" s="2" t="s">
        <v>157</v>
      </c>
      <c r="B12" s="2" t="s">
        <v>158</v>
      </c>
      <c r="C12" s="2" t="s">
        <v>88</v>
      </c>
      <c r="D12" s="2" t="s">
        <v>81</v>
      </c>
      <c r="E12" s="2" t="s">
        <v>117</v>
      </c>
      <c r="F12" s="2">
        <v>69187530</v>
      </c>
      <c r="G12" s="2">
        <v>86815466</v>
      </c>
      <c r="H12" s="2">
        <v>38</v>
      </c>
      <c r="I12" s="5">
        <f t="shared" si="0"/>
        <v>17627936</v>
      </c>
      <c r="J12" s="6">
        <f t="shared" si="1"/>
        <v>0.2547848723606696</v>
      </c>
      <c r="K12">
        <f t="shared" si="2"/>
        <v>17627936</v>
      </c>
    </row>
    <row r="13" spans="1:11">
      <c r="A13" s="3" t="s">
        <v>206</v>
      </c>
      <c r="B13" s="3" t="s">
        <v>207</v>
      </c>
      <c r="C13" s="3" t="s">
        <v>208</v>
      </c>
      <c r="D13" s="3" t="s">
        <v>111</v>
      </c>
      <c r="E13" s="3" t="s">
        <v>96</v>
      </c>
      <c r="F13" s="3">
        <v>55826716</v>
      </c>
      <c r="G13" s="3">
        <v>73187548</v>
      </c>
      <c r="H13" s="3">
        <v>16</v>
      </c>
      <c r="I13" s="5">
        <f t="shared" si="0"/>
        <v>17360832</v>
      </c>
      <c r="J13" s="6">
        <f t="shared" si="1"/>
        <v>0.31097713145082723</v>
      </c>
      <c r="K13">
        <f t="shared" si="2"/>
        <v>17360832</v>
      </c>
    </row>
    <row r="14" spans="1:11">
      <c r="A14" s="3" t="s">
        <v>159</v>
      </c>
      <c r="B14" s="3" t="s">
        <v>160</v>
      </c>
      <c r="C14" s="3" t="s">
        <v>80</v>
      </c>
      <c r="D14" s="3" t="s">
        <v>81</v>
      </c>
      <c r="E14" s="3" t="s">
        <v>117</v>
      </c>
      <c r="F14" s="3">
        <v>70137358</v>
      </c>
      <c r="G14" s="3">
        <v>83715114</v>
      </c>
      <c r="H14" s="3">
        <v>15</v>
      </c>
      <c r="I14" s="5">
        <f t="shared" si="0"/>
        <v>13577756</v>
      </c>
      <c r="J14" s="6">
        <f t="shared" si="1"/>
        <v>0.19358807327758196</v>
      </c>
      <c r="K14">
        <f t="shared" si="2"/>
        <v>13577756</v>
      </c>
    </row>
    <row r="15" spans="1:11">
      <c r="A15" s="2" t="s">
        <v>195</v>
      </c>
      <c r="B15" s="2" t="s">
        <v>196</v>
      </c>
      <c r="C15" s="2" t="s">
        <v>80</v>
      </c>
      <c r="D15" s="2" t="s">
        <v>81</v>
      </c>
      <c r="E15" s="2" t="s">
        <v>82</v>
      </c>
      <c r="F15" s="2">
        <v>56038913</v>
      </c>
      <c r="G15" s="2">
        <v>69560286</v>
      </c>
      <c r="H15" s="2">
        <v>12</v>
      </c>
      <c r="I15" s="5">
        <f t="shared" si="0"/>
        <v>13521373</v>
      </c>
      <c r="J15" s="6">
        <f t="shared" si="1"/>
        <v>0.24128542607527023</v>
      </c>
      <c r="K15">
        <f t="shared" si="2"/>
        <v>13521373</v>
      </c>
    </row>
    <row r="16" spans="1:11">
      <c r="A16" s="3" t="s">
        <v>130</v>
      </c>
      <c r="B16" s="3" t="s">
        <v>131</v>
      </c>
      <c r="C16" s="3" t="s">
        <v>110</v>
      </c>
      <c r="D16" s="3" t="s">
        <v>111</v>
      </c>
      <c r="E16" s="3" t="s">
        <v>96</v>
      </c>
      <c r="F16" s="3">
        <v>45524491</v>
      </c>
      <c r="G16" s="3">
        <v>58596428</v>
      </c>
      <c r="H16" s="3">
        <v>9</v>
      </c>
      <c r="I16" s="5">
        <f t="shared" si="0"/>
        <v>13071937</v>
      </c>
      <c r="J16" s="6">
        <f t="shared" si="1"/>
        <v>0.28714076122234955</v>
      </c>
      <c r="K16">
        <f t="shared" si="2"/>
        <v>13071937</v>
      </c>
    </row>
    <row r="17" spans="1:11">
      <c r="A17" s="3" t="s">
        <v>118</v>
      </c>
      <c r="B17" s="3" t="s">
        <v>119</v>
      </c>
      <c r="C17" s="3" t="s">
        <v>120</v>
      </c>
      <c r="D17" s="3" t="s">
        <v>95</v>
      </c>
      <c r="E17" s="3" t="s">
        <v>117</v>
      </c>
      <c r="F17" s="3">
        <v>62855700</v>
      </c>
      <c r="G17" s="3">
        <v>75695471</v>
      </c>
      <c r="H17" s="3">
        <v>29</v>
      </c>
      <c r="I17" s="5">
        <f t="shared" si="0"/>
        <v>12839771</v>
      </c>
      <c r="J17" s="6">
        <f t="shared" si="1"/>
        <v>0.20427377310251896</v>
      </c>
      <c r="K17">
        <f t="shared" si="2"/>
        <v>12839771</v>
      </c>
    </row>
    <row r="18" spans="1:11">
      <c r="A18" s="2" t="s">
        <v>92</v>
      </c>
      <c r="B18" s="2" t="s">
        <v>93</v>
      </c>
      <c r="C18" s="2" t="s">
        <v>94</v>
      </c>
      <c r="D18" s="2" t="s">
        <v>95</v>
      </c>
      <c r="E18" s="2" t="s">
        <v>96</v>
      </c>
      <c r="F18" s="2">
        <v>62291817</v>
      </c>
      <c r="G18" s="2">
        <v>73859798</v>
      </c>
      <c r="H18" s="2">
        <v>6</v>
      </c>
      <c r="I18" s="5">
        <f t="shared" si="0"/>
        <v>11567981</v>
      </c>
      <c r="J18" s="6">
        <f t="shared" si="1"/>
        <v>0.1857062702152355</v>
      </c>
      <c r="K18">
        <f t="shared" si="2"/>
        <v>11567981</v>
      </c>
    </row>
    <row r="19" spans="1:11">
      <c r="A19" s="2" t="s">
        <v>147</v>
      </c>
      <c r="B19" s="2" t="s">
        <v>148</v>
      </c>
      <c r="C19" s="2" t="s">
        <v>149</v>
      </c>
      <c r="D19" s="2" t="s">
        <v>81</v>
      </c>
      <c r="E19" s="2" t="s">
        <v>150</v>
      </c>
      <c r="F19" s="2">
        <v>58661351</v>
      </c>
      <c r="G19" s="2">
        <v>69722747</v>
      </c>
      <c r="H19" s="2">
        <v>30</v>
      </c>
      <c r="I19" s="5">
        <f t="shared" si="0"/>
        <v>11061396</v>
      </c>
      <c r="J19" s="6">
        <f t="shared" si="1"/>
        <v>0.18856360809010347</v>
      </c>
      <c r="K19">
        <f t="shared" si="2"/>
        <v>11061396</v>
      </c>
    </row>
    <row r="20" spans="1:11">
      <c r="A20" s="3" t="s">
        <v>151</v>
      </c>
      <c r="B20" s="3" t="s">
        <v>152</v>
      </c>
      <c r="C20" s="3" t="s">
        <v>120</v>
      </c>
      <c r="D20" s="3" t="s">
        <v>95</v>
      </c>
      <c r="E20" s="3" t="s">
        <v>107</v>
      </c>
      <c r="F20" s="3">
        <v>64820592</v>
      </c>
      <c r="G20" s="3">
        <v>75298564</v>
      </c>
      <c r="H20" s="3">
        <v>41</v>
      </c>
      <c r="I20" s="5">
        <f t="shared" si="0"/>
        <v>10477972</v>
      </c>
      <c r="J20" s="6">
        <f t="shared" si="1"/>
        <v>0.16164573134413829</v>
      </c>
      <c r="K20">
        <f t="shared" si="2"/>
        <v>10477972</v>
      </c>
    </row>
    <row r="21" spans="1:11">
      <c r="A21" s="3" t="s">
        <v>104</v>
      </c>
      <c r="B21" s="3" t="s">
        <v>105</v>
      </c>
      <c r="C21" s="3" t="s">
        <v>106</v>
      </c>
      <c r="D21" s="3" t="s">
        <v>95</v>
      </c>
      <c r="E21" s="3" t="s">
        <v>107</v>
      </c>
      <c r="F21" s="3">
        <v>37503389</v>
      </c>
      <c r="G21" s="3">
        <v>47736237</v>
      </c>
      <c r="H21" s="3">
        <v>35</v>
      </c>
      <c r="I21" s="5">
        <f t="shared" si="0"/>
        <v>10232848</v>
      </c>
      <c r="J21" s="6">
        <f t="shared" si="1"/>
        <v>0.27285128818624899</v>
      </c>
      <c r="K21">
        <f t="shared" si="2"/>
        <v>10232848</v>
      </c>
    </row>
    <row r="22" spans="1:11">
      <c r="A22" s="3" t="s">
        <v>176</v>
      </c>
      <c r="B22" s="3" t="s">
        <v>177</v>
      </c>
      <c r="C22" s="3" t="s">
        <v>106</v>
      </c>
      <c r="D22" s="3" t="s">
        <v>95</v>
      </c>
      <c r="E22" s="3" t="s">
        <v>129</v>
      </c>
      <c r="F22" s="3">
        <v>71467853</v>
      </c>
      <c r="G22" s="3">
        <v>80801158</v>
      </c>
      <c r="H22" s="3">
        <v>21</v>
      </c>
      <c r="I22" s="5">
        <f t="shared" si="0"/>
        <v>9333305</v>
      </c>
      <c r="J22" s="6">
        <f t="shared" si="1"/>
        <v>0.1305944506266335</v>
      </c>
      <c r="K22">
        <f t="shared" si="2"/>
        <v>9333305</v>
      </c>
    </row>
    <row r="23" spans="1:11">
      <c r="A23" s="3" t="s">
        <v>139</v>
      </c>
      <c r="B23" s="3" t="s">
        <v>140</v>
      </c>
      <c r="C23" s="3" t="s">
        <v>110</v>
      </c>
      <c r="D23" s="3" t="s">
        <v>111</v>
      </c>
      <c r="E23" s="3" t="s">
        <v>85</v>
      </c>
      <c r="F23" s="3">
        <v>37264581</v>
      </c>
      <c r="G23" s="3">
        <v>46536214</v>
      </c>
      <c r="H23" s="3">
        <v>33</v>
      </c>
      <c r="I23" s="5">
        <f t="shared" si="0"/>
        <v>9271633</v>
      </c>
      <c r="J23" s="6">
        <f t="shared" si="1"/>
        <v>0.24880550783597968</v>
      </c>
      <c r="K23">
        <f t="shared" si="2"/>
        <v>9271633</v>
      </c>
    </row>
    <row r="24" spans="1:11">
      <c r="A24" s="3" t="s">
        <v>189</v>
      </c>
      <c r="B24" s="3" t="s">
        <v>190</v>
      </c>
      <c r="C24" s="3" t="s">
        <v>143</v>
      </c>
      <c r="D24" s="3" t="s">
        <v>111</v>
      </c>
      <c r="E24" s="3" t="s">
        <v>129</v>
      </c>
      <c r="F24" s="3">
        <v>34614537</v>
      </c>
      <c r="G24" s="3">
        <v>43747505</v>
      </c>
      <c r="H24" s="3">
        <v>32</v>
      </c>
      <c r="I24" s="5">
        <f t="shared" si="0"/>
        <v>9132968</v>
      </c>
      <c r="J24" s="6">
        <f t="shared" si="1"/>
        <v>0.26384775852989167</v>
      </c>
      <c r="K24">
        <f t="shared" si="2"/>
        <v>9132968</v>
      </c>
    </row>
    <row r="25" spans="1:11">
      <c r="A25" s="3" t="s">
        <v>90</v>
      </c>
      <c r="B25" s="3" t="s">
        <v>91</v>
      </c>
      <c r="C25" s="3" t="s">
        <v>88</v>
      </c>
      <c r="D25" s="3" t="s">
        <v>81</v>
      </c>
      <c r="E25" s="3" t="s">
        <v>85</v>
      </c>
      <c r="F25" s="3">
        <v>28687537</v>
      </c>
      <c r="G25" s="3">
        <v>35469495</v>
      </c>
      <c r="H25" s="3">
        <v>40</v>
      </c>
      <c r="I25" s="5">
        <f t="shared" si="0"/>
        <v>6781958</v>
      </c>
      <c r="J25" s="6">
        <f t="shared" si="1"/>
        <v>0.23640781709492872</v>
      </c>
      <c r="K25">
        <f t="shared" si="2"/>
        <v>6781958</v>
      </c>
    </row>
    <row r="26" spans="1:11">
      <c r="A26" s="3" t="s">
        <v>163</v>
      </c>
      <c r="B26" s="3" t="s">
        <v>164</v>
      </c>
      <c r="C26" s="3" t="s">
        <v>88</v>
      </c>
      <c r="D26" s="3" t="s">
        <v>81</v>
      </c>
      <c r="E26" s="3" t="s">
        <v>107</v>
      </c>
      <c r="F26" s="3">
        <v>45507489</v>
      </c>
      <c r="G26" s="3">
        <v>52126202</v>
      </c>
      <c r="H26" s="3">
        <v>13</v>
      </c>
      <c r="I26" s="5">
        <f t="shared" si="0"/>
        <v>6618713</v>
      </c>
      <c r="J26" s="6">
        <f t="shared" si="1"/>
        <v>0.14544228093973718</v>
      </c>
      <c r="K26">
        <f t="shared" si="2"/>
        <v>6618713</v>
      </c>
    </row>
    <row r="27" spans="1:11">
      <c r="A27" s="3" t="s">
        <v>112</v>
      </c>
      <c r="B27" s="3" t="s">
        <v>113</v>
      </c>
      <c r="C27" s="3" t="s">
        <v>106</v>
      </c>
      <c r="D27" s="3" t="s">
        <v>95</v>
      </c>
      <c r="E27" s="3" t="s">
        <v>107</v>
      </c>
      <c r="F27" s="3">
        <v>27808537</v>
      </c>
      <c r="G27" s="3">
        <v>34255354</v>
      </c>
      <c r="H27" s="3">
        <v>8</v>
      </c>
      <c r="I27" s="5">
        <f t="shared" si="0"/>
        <v>6446817</v>
      </c>
      <c r="J27" s="6">
        <f t="shared" si="1"/>
        <v>0.2318287006612394</v>
      </c>
      <c r="K27">
        <f t="shared" si="2"/>
        <v>6446817</v>
      </c>
    </row>
    <row r="28" spans="1:11">
      <c r="A28" s="2" t="s">
        <v>199</v>
      </c>
      <c r="B28" s="2" t="s">
        <v>200</v>
      </c>
      <c r="C28" s="2" t="s">
        <v>94</v>
      </c>
      <c r="D28" s="2" t="s">
        <v>95</v>
      </c>
      <c r="E28" s="2" t="s">
        <v>150</v>
      </c>
      <c r="F28" s="2">
        <v>39385696</v>
      </c>
      <c r="G28" s="2">
        <v>44704782</v>
      </c>
      <c r="H28" s="2">
        <v>10</v>
      </c>
      <c r="I28" s="5">
        <f t="shared" si="0"/>
        <v>5319086</v>
      </c>
      <c r="J28" s="6">
        <f t="shared" si="1"/>
        <v>0.13505121250110699</v>
      </c>
      <c r="K28">
        <f t="shared" si="2"/>
        <v>5319086</v>
      </c>
    </row>
    <row r="29" spans="1:11">
      <c r="A29" s="3" t="s">
        <v>155</v>
      </c>
      <c r="B29" s="3" t="s">
        <v>156</v>
      </c>
      <c r="C29" s="3" t="s">
        <v>103</v>
      </c>
      <c r="D29" s="3" t="s">
        <v>95</v>
      </c>
      <c r="E29" s="3" t="s">
        <v>89</v>
      </c>
      <c r="F29" s="3">
        <v>41392920</v>
      </c>
      <c r="G29" s="3">
        <v>46521755</v>
      </c>
      <c r="H29" s="3">
        <v>35</v>
      </c>
      <c r="I29" s="5">
        <f t="shared" si="0"/>
        <v>5128835</v>
      </c>
      <c r="J29" s="6">
        <f t="shared" si="1"/>
        <v>0.12390609311930639</v>
      </c>
      <c r="K29">
        <f t="shared" si="2"/>
        <v>5128835</v>
      </c>
    </row>
    <row r="30" spans="1:11">
      <c r="A30" s="2" t="s">
        <v>132</v>
      </c>
      <c r="B30" s="2" t="s">
        <v>133</v>
      </c>
      <c r="C30" s="2" t="s">
        <v>116</v>
      </c>
      <c r="D30" s="2" t="s">
        <v>81</v>
      </c>
      <c r="E30" s="2" t="s">
        <v>82</v>
      </c>
      <c r="F30" s="2">
        <v>44339391</v>
      </c>
      <c r="G30" s="2">
        <v>49237382</v>
      </c>
      <c r="H30" s="2">
        <v>10</v>
      </c>
      <c r="I30" s="5">
        <f t="shared" si="0"/>
        <v>4897991</v>
      </c>
      <c r="J30" s="6">
        <f t="shared" si="1"/>
        <v>0.11046590603826742</v>
      </c>
      <c r="K30">
        <f t="shared" si="2"/>
        <v>4897991</v>
      </c>
    </row>
    <row r="31" spans="1:11">
      <c r="A31" s="2" t="s">
        <v>187</v>
      </c>
      <c r="B31" s="2" t="s">
        <v>188</v>
      </c>
      <c r="C31" s="2" t="s">
        <v>136</v>
      </c>
      <c r="D31" s="2" t="s">
        <v>81</v>
      </c>
      <c r="E31" s="2" t="s">
        <v>85</v>
      </c>
      <c r="F31" s="2">
        <v>19758595</v>
      </c>
      <c r="G31" s="2">
        <v>24487637</v>
      </c>
      <c r="H31" s="2">
        <v>42</v>
      </c>
      <c r="I31" s="5">
        <f t="shared" si="0"/>
        <v>4729042</v>
      </c>
      <c r="J31" s="6">
        <f t="shared" si="1"/>
        <v>0.23934100577495515</v>
      </c>
      <c r="K31">
        <f t="shared" si="2"/>
        <v>4729042</v>
      </c>
    </row>
    <row r="32" spans="1:11">
      <c r="A32" s="3" t="s">
        <v>197</v>
      </c>
      <c r="B32" s="3" t="s">
        <v>198</v>
      </c>
      <c r="C32" s="3" t="s">
        <v>116</v>
      </c>
      <c r="D32" s="3" t="s">
        <v>81</v>
      </c>
      <c r="E32" s="3" t="s">
        <v>96</v>
      </c>
      <c r="F32" s="3">
        <v>27529407</v>
      </c>
      <c r="G32" s="3">
        <v>32058388</v>
      </c>
      <c r="H32" s="3">
        <v>14</v>
      </c>
      <c r="I32" s="5">
        <f t="shared" si="0"/>
        <v>4528981</v>
      </c>
      <c r="J32" s="6">
        <f t="shared" si="1"/>
        <v>0.16451429556764519</v>
      </c>
      <c r="K32">
        <f t="shared" si="2"/>
        <v>4528981</v>
      </c>
    </row>
    <row r="33" spans="1:11">
      <c r="A33" s="3" t="s">
        <v>124</v>
      </c>
      <c r="B33" s="3" t="s">
        <v>125</v>
      </c>
      <c r="C33" s="3" t="s">
        <v>126</v>
      </c>
      <c r="D33" s="3" t="s">
        <v>81</v>
      </c>
      <c r="E33" s="3" t="s">
        <v>107</v>
      </c>
      <c r="F33" s="3">
        <v>24969840</v>
      </c>
      <c r="G33" s="3">
        <v>29056302</v>
      </c>
      <c r="H33" s="3">
        <v>21</v>
      </c>
      <c r="I33" s="5">
        <f t="shared" si="0"/>
        <v>4086462</v>
      </c>
      <c r="J33" s="6">
        <f t="shared" si="1"/>
        <v>0.16365591449524708</v>
      </c>
      <c r="K33">
        <f t="shared" si="2"/>
        <v>4086462</v>
      </c>
    </row>
    <row r="34" spans="1:11">
      <c r="A34" s="2" t="s">
        <v>114</v>
      </c>
      <c r="B34" s="2" t="s">
        <v>115</v>
      </c>
      <c r="C34" s="2" t="s">
        <v>116</v>
      </c>
      <c r="D34" s="2" t="s">
        <v>81</v>
      </c>
      <c r="E34" s="2" t="s">
        <v>117</v>
      </c>
      <c r="F34" s="2">
        <v>12709497</v>
      </c>
      <c r="G34" s="2">
        <v>16422285</v>
      </c>
      <c r="H34" s="2">
        <v>12</v>
      </c>
      <c r="I34" s="5">
        <f t="shared" si="0"/>
        <v>3712788</v>
      </c>
      <c r="J34" s="6">
        <f t="shared" si="1"/>
        <v>0.29212706057525328</v>
      </c>
      <c r="K34">
        <f t="shared" si="2"/>
        <v>3712788</v>
      </c>
    </row>
    <row r="35" spans="1:11">
      <c r="A35" s="3" t="s">
        <v>144</v>
      </c>
      <c r="B35" s="3" t="s">
        <v>145</v>
      </c>
      <c r="C35" s="3" t="s">
        <v>146</v>
      </c>
      <c r="D35" s="3" t="s">
        <v>111</v>
      </c>
      <c r="E35" s="3" t="s">
        <v>129</v>
      </c>
      <c r="F35" s="3">
        <v>14201654</v>
      </c>
      <c r="G35" s="3">
        <v>17784913</v>
      </c>
      <c r="H35" s="3">
        <v>13</v>
      </c>
      <c r="I35" s="5">
        <f t="shared" si="0"/>
        <v>3583259</v>
      </c>
      <c r="J35" s="6">
        <f t="shared" si="1"/>
        <v>0.25231279398864387</v>
      </c>
      <c r="K35">
        <f t="shared" si="2"/>
        <v>3583259</v>
      </c>
    </row>
    <row r="36" spans="1:11">
      <c r="A36" s="2" t="s">
        <v>182</v>
      </c>
      <c r="B36" s="2" t="s">
        <v>183</v>
      </c>
      <c r="C36" s="2" t="s">
        <v>184</v>
      </c>
      <c r="D36" s="2" t="s">
        <v>81</v>
      </c>
      <c r="E36" s="2" t="s">
        <v>96</v>
      </c>
      <c r="F36" s="2">
        <v>11046318</v>
      </c>
      <c r="G36" s="2">
        <v>14494625</v>
      </c>
      <c r="H36" s="2">
        <v>27</v>
      </c>
      <c r="I36" s="5">
        <f t="shared" si="0"/>
        <v>3448307</v>
      </c>
      <c r="J36" s="6">
        <f t="shared" si="1"/>
        <v>0.31216800023319985</v>
      </c>
      <c r="K36">
        <f t="shared" si="2"/>
        <v>3448307</v>
      </c>
    </row>
    <row r="37" spans="1:11">
      <c r="A37" s="2" t="s">
        <v>191</v>
      </c>
      <c r="B37" s="2" t="s">
        <v>192</v>
      </c>
      <c r="C37" s="2" t="s">
        <v>136</v>
      </c>
      <c r="D37" s="2" t="s">
        <v>81</v>
      </c>
      <c r="E37" s="2" t="s">
        <v>89</v>
      </c>
      <c r="F37" s="2">
        <v>15009833</v>
      </c>
      <c r="G37" s="2">
        <v>18215829</v>
      </c>
      <c r="H37" s="2">
        <v>28</v>
      </c>
      <c r="I37" s="5">
        <f t="shared" ref="I37:I54" si="3">G37-F37</f>
        <v>3205996</v>
      </c>
      <c r="J37" s="6">
        <f t="shared" ref="J37:J54" si="4">I37/F37</f>
        <v>0.21359304930308018</v>
      </c>
      <c r="K37">
        <f t="shared" ref="K37:K54" si="5">ABS(I37)</f>
        <v>3205996</v>
      </c>
    </row>
    <row r="38" spans="1:11">
      <c r="A38" s="2" t="s">
        <v>127</v>
      </c>
      <c r="B38" s="2" t="s">
        <v>128</v>
      </c>
      <c r="C38" s="2" t="s">
        <v>99</v>
      </c>
      <c r="D38" s="2" t="s">
        <v>81</v>
      </c>
      <c r="E38" s="2" t="s">
        <v>129</v>
      </c>
      <c r="F38" s="2">
        <v>52929647</v>
      </c>
      <c r="G38" s="2">
        <v>55998461</v>
      </c>
      <c r="H38" s="2">
        <v>46</v>
      </c>
      <c r="I38" s="5">
        <f t="shared" si="3"/>
        <v>3068814</v>
      </c>
      <c r="J38" s="6">
        <f t="shared" si="4"/>
        <v>5.7979113293538498E-2</v>
      </c>
      <c r="K38">
        <f t="shared" si="5"/>
        <v>3068814</v>
      </c>
    </row>
    <row r="39" spans="1:11">
      <c r="A39" s="3" t="s">
        <v>97</v>
      </c>
      <c r="B39" s="3" t="s">
        <v>98</v>
      </c>
      <c r="C39" s="3" t="s">
        <v>99</v>
      </c>
      <c r="D39" s="3" t="s">
        <v>81</v>
      </c>
      <c r="E39" s="3" t="s">
        <v>100</v>
      </c>
      <c r="F39" s="3">
        <v>47667651</v>
      </c>
      <c r="G39" s="3">
        <v>50582458</v>
      </c>
      <c r="H39" s="3">
        <v>19</v>
      </c>
      <c r="I39" s="5">
        <f t="shared" si="3"/>
        <v>2914807</v>
      </c>
      <c r="J39" s="6">
        <f t="shared" si="4"/>
        <v>6.1148534464179914E-2</v>
      </c>
      <c r="K39">
        <f t="shared" si="5"/>
        <v>2914807</v>
      </c>
    </row>
    <row r="40" spans="1:11">
      <c r="A40" s="3" t="s">
        <v>83</v>
      </c>
      <c r="B40" s="3" t="s">
        <v>84</v>
      </c>
      <c r="C40" s="3" t="s">
        <v>80</v>
      </c>
      <c r="D40" s="3" t="s">
        <v>81</v>
      </c>
      <c r="E40" s="3" t="s">
        <v>85</v>
      </c>
      <c r="F40" s="3">
        <v>13668732</v>
      </c>
      <c r="G40" s="3">
        <v>16213808</v>
      </c>
      <c r="H40" s="3">
        <v>8</v>
      </c>
      <c r="I40" s="5">
        <f t="shared" si="3"/>
        <v>2545076</v>
      </c>
      <c r="J40" s="6">
        <f t="shared" si="4"/>
        <v>0.18619693472664472</v>
      </c>
      <c r="K40">
        <f t="shared" si="5"/>
        <v>2545076</v>
      </c>
    </row>
    <row r="41" spans="1:11">
      <c r="A41" s="3" t="s">
        <v>185</v>
      </c>
      <c r="B41" s="3" t="s">
        <v>186</v>
      </c>
      <c r="C41" s="3" t="s">
        <v>126</v>
      </c>
      <c r="D41" s="3" t="s">
        <v>81</v>
      </c>
      <c r="E41" s="3" t="s">
        <v>85</v>
      </c>
      <c r="F41" s="3">
        <v>33944441</v>
      </c>
      <c r="G41" s="3">
        <v>36028320</v>
      </c>
      <c r="H41" s="3">
        <v>37</v>
      </c>
      <c r="I41" s="5">
        <f t="shared" si="3"/>
        <v>2083879</v>
      </c>
      <c r="J41" s="6">
        <f t="shared" si="4"/>
        <v>6.1390876933280478E-2</v>
      </c>
      <c r="K41">
        <f t="shared" si="5"/>
        <v>2083879</v>
      </c>
    </row>
    <row r="42" spans="1:11">
      <c r="A42" s="2" t="s">
        <v>178</v>
      </c>
      <c r="B42" s="2" t="s">
        <v>179</v>
      </c>
      <c r="C42" s="2" t="s">
        <v>116</v>
      </c>
      <c r="D42" s="2" t="s">
        <v>81</v>
      </c>
      <c r="E42" s="2" t="s">
        <v>89</v>
      </c>
      <c r="F42" s="2">
        <v>47377076</v>
      </c>
      <c r="G42" s="2">
        <v>45406838</v>
      </c>
      <c r="H42" s="2">
        <v>41</v>
      </c>
      <c r="I42" s="5">
        <f t="shared" si="3"/>
        <v>-1970238</v>
      </c>
      <c r="J42" s="6">
        <f t="shared" si="4"/>
        <v>-4.1586314866708954E-2</v>
      </c>
      <c r="K42">
        <f t="shared" si="5"/>
        <v>1970238</v>
      </c>
    </row>
    <row r="43" spans="1:11">
      <c r="A43" s="2" t="s">
        <v>141</v>
      </c>
      <c r="B43" s="2" t="s">
        <v>142</v>
      </c>
      <c r="C43" s="2" t="s">
        <v>143</v>
      </c>
      <c r="D43" s="2" t="s">
        <v>111</v>
      </c>
      <c r="E43" s="2" t="s">
        <v>100</v>
      </c>
      <c r="F43" s="2">
        <v>50586340</v>
      </c>
      <c r="G43" s="2">
        <v>52494876</v>
      </c>
      <c r="H43" s="2">
        <v>14</v>
      </c>
      <c r="I43" s="5">
        <f t="shared" si="3"/>
        <v>1908536</v>
      </c>
      <c r="J43" s="6">
        <f t="shared" si="4"/>
        <v>3.7728287913298332E-2</v>
      </c>
      <c r="K43">
        <f t="shared" si="5"/>
        <v>1908536</v>
      </c>
    </row>
    <row r="44" spans="1:11">
      <c r="A44" s="2" t="s">
        <v>78</v>
      </c>
      <c r="B44" s="2" t="s">
        <v>79</v>
      </c>
      <c r="C44" s="2" t="s">
        <v>80</v>
      </c>
      <c r="D44" s="2" t="s">
        <v>81</v>
      </c>
      <c r="E44" s="2" t="s">
        <v>82</v>
      </c>
      <c r="F44" s="2">
        <v>38913810</v>
      </c>
      <c r="G44" s="2">
        <v>40779989</v>
      </c>
      <c r="H44" s="2">
        <v>14</v>
      </c>
      <c r="I44" s="5">
        <f t="shared" si="3"/>
        <v>1866179</v>
      </c>
      <c r="J44" s="6">
        <f t="shared" si="4"/>
        <v>4.7956727958531946E-2</v>
      </c>
      <c r="K44">
        <f t="shared" si="5"/>
        <v>1866179</v>
      </c>
    </row>
    <row r="45" spans="1:11">
      <c r="A45" s="2" t="s">
        <v>121</v>
      </c>
      <c r="B45" s="2" t="s">
        <v>122</v>
      </c>
      <c r="C45" s="2" t="s">
        <v>99</v>
      </c>
      <c r="D45" s="2" t="s">
        <v>81</v>
      </c>
      <c r="E45" s="2" t="s">
        <v>123</v>
      </c>
      <c r="F45" s="2">
        <v>49683626</v>
      </c>
      <c r="G45" s="2">
        <v>51363072</v>
      </c>
      <c r="H45" s="2">
        <v>23</v>
      </c>
      <c r="I45" s="5">
        <f t="shared" si="3"/>
        <v>1679446</v>
      </c>
      <c r="J45" s="6">
        <f t="shared" si="4"/>
        <v>3.3802806582595241E-2</v>
      </c>
      <c r="K45">
        <f t="shared" si="5"/>
        <v>1679446</v>
      </c>
    </row>
    <row r="46" spans="1:11">
      <c r="A46" s="3" t="s">
        <v>134</v>
      </c>
      <c r="B46" s="3" t="s">
        <v>135</v>
      </c>
      <c r="C46" s="3" t="s">
        <v>136</v>
      </c>
      <c r="D46" s="3" t="s">
        <v>81</v>
      </c>
      <c r="E46" s="3" t="s">
        <v>107</v>
      </c>
      <c r="F46" s="3">
        <v>44235350</v>
      </c>
      <c r="G46" s="3">
        <v>45785826</v>
      </c>
      <c r="H46" s="3">
        <v>37</v>
      </c>
      <c r="I46" s="5">
        <f t="shared" si="3"/>
        <v>1550476</v>
      </c>
      <c r="J46" s="6">
        <f t="shared" si="4"/>
        <v>3.5050609975958144E-2</v>
      </c>
      <c r="K46">
        <f t="shared" si="5"/>
        <v>1550476</v>
      </c>
    </row>
    <row r="47" spans="1:11">
      <c r="A47" s="3" t="s">
        <v>180</v>
      </c>
      <c r="B47" s="3" t="s">
        <v>181</v>
      </c>
      <c r="C47" s="3" t="s">
        <v>116</v>
      </c>
      <c r="D47" s="3" t="s">
        <v>81</v>
      </c>
      <c r="E47" s="3" t="s">
        <v>107</v>
      </c>
      <c r="F47" s="3">
        <v>31557077</v>
      </c>
      <c r="G47" s="3">
        <v>30069991</v>
      </c>
      <c r="H47" s="3">
        <v>46</v>
      </c>
      <c r="I47" s="5">
        <f t="shared" si="3"/>
        <v>-1487086</v>
      </c>
      <c r="J47" s="6">
        <f t="shared" si="4"/>
        <v>-4.7123692729843132E-2</v>
      </c>
      <c r="K47">
        <f t="shared" si="5"/>
        <v>1487086</v>
      </c>
    </row>
    <row r="48" spans="1:11">
      <c r="A48" s="2" t="s">
        <v>101</v>
      </c>
      <c r="B48" s="2" t="s">
        <v>102</v>
      </c>
      <c r="C48" s="2" t="s">
        <v>103</v>
      </c>
      <c r="D48" s="2" t="s">
        <v>95</v>
      </c>
      <c r="E48" s="2" t="s">
        <v>89</v>
      </c>
      <c r="F48" s="2">
        <v>14448136</v>
      </c>
      <c r="G48" s="2">
        <v>15921425</v>
      </c>
      <c r="H48" s="2">
        <v>28</v>
      </c>
      <c r="I48" s="5">
        <f t="shared" si="3"/>
        <v>1473289</v>
      </c>
      <c r="J48" s="6">
        <f t="shared" si="4"/>
        <v>0.10197087015238505</v>
      </c>
      <c r="K48">
        <f t="shared" si="5"/>
        <v>1473289</v>
      </c>
    </row>
    <row r="49" spans="1:11">
      <c r="A49" s="2" t="s">
        <v>86</v>
      </c>
      <c r="B49" s="2" t="s">
        <v>87</v>
      </c>
      <c r="C49" s="2" t="s">
        <v>88</v>
      </c>
      <c r="D49" s="2" t="s">
        <v>81</v>
      </c>
      <c r="E49" s="2" t="s">
        <v>89</v>
      </c>
      <c r="F49" s="2">
        <v>31345092</v>
      </c>
      <c r="G49" s="2">
        <v>32694948</v>
      </c>
      <c r="H49" s="2">
        <v>44</v>
      </c>
      <c r="I49" s="5">
        <f t="shared" si="3"/>
        <v>1349856</v>
      </c>
      <c r="J49" s="6">
        <f t="shared" si="4"/>
        <v>4.3064349595783605E-2</v>
      </c>
      <c r="K49">
        <f t="shared" si="5"/>
        <v>1349856</v>
      </c>
    </row>
    <row r="50" spans="1:11">
      <c r="A50" s="2" t="s">
        <v>137</v>
      </c>
      <c r="B50" s="2" t="s">
        <v>138</v>
      </c>
      <c r="C50" s="2" t="s">
        <v>120</v>
      </c>
      <c r="D50" s="2" t="s">
        <v>95</v>
      </c>
      <c r="E50" s="2" t="s">
        <v>129</v>
      </c>
      <c r="F50" s="2">
        <v>21175900</v>
      </c>
      <c r="G50" s="2">
        <v>22360735</v>
      </c>
      <c r="H50" s="2">
        <v>21</v>
      </c>
      <c r="I50" s="5">
        <f t="shared" si="3"/>
        <v>1184835</v>
      </c>
      <c r="J50" s="6">
        <f t="shared" si="4"/>
        <v>5.5952049263549603E-2</v>
      </c>
      <c r="K50">
        <f t="shared" si="5"/>
        <v>1184835</v>
      </c>
    </row>
    <row r="51" spans="1:11">
      <c r="A51" s="2" t="s">
        <v>108</v>
      </c>
      <c r="B51" s="2" t="s">
        <v>109</v>
      </c>
      <c r="C51" s="2" t="s">
        <v>110</v>
      </c>
      <c r="D51" s="2" t="s">
        <v>111</v>
      </c>
      <c r="E51" s="2" t="s">
        <v>89</v>
      </c>
      <c r="F51" s="2">
        <v>52806024</v>
      </c>
      <c r="G51" s="2">
        <v>51830172</v>
      </c>
      <c r="H51" s="2">
        <v>24</v>
      </c>
      <c r="I51" s="5">
        <f t="shared" si="3"/>
        <v>-975852</v>
      </c>
      <c r="J51" s="6">
        <f t="shared" si="4"/>
        <v>-1.847993706172614E-2</v>
      </c>
      <c r="K51">
        <f t="shared" si="5"/>
        <v>975852</v>
      </c>
    </row>
    <row r="52" spans="1:11">
      <c r="A52" s="2" t="s">
        <v>165</v>
      </c>
      <c r="B52" s="2" t="s">
        <v>166</v>
      </c>
      <c r="C52" s="2" t="s">
        <v>106</v>
      </c>
      <c r="D52" s="2" t="s">
        <v>95</v>
      </c>
      <c r="E52" s="2" t="s">
        <v>117</v>
      </c>
      <c r="F52" s="2">
        <v>34138745</v>
      </c>
      <c r="G52" s="2">
        <v>33222804</v>
      </c>
      <c r="H52" s="2">
        <v>42</v>
      </c>
      <c r="I52" s="5">
        <f t="shared" si="3"/>
        <v>-915941</v>
      </c>
      <c r="J52" s="6">
        <f t="shared" si="4"/>
        <v>-2.6829955231218956E-2</v>
      </c>
      <c r="K52">
        <f t="shared" si="5"/>
        <v>915941</v>
      </c>
    </row>
    <row r="53" spans="1:11">
      <c r="A53" s="2" t="s">
        <v>204</v>
      </c>
      <c r="B53" s="2" t="s">
        <v>205</v>
      </c>
      <c r="C53" s="2" t="s">
        <v>88</v>
      </c>
      <c r="D53" s="2" t="s">
        <v>81</v>
      </c>
      <c r="E53" s="2" t="s">
        <v>89</v>
      </c>
      <c r="F53" s="2">
        <v>33726318</v>
      </c>
      <c r="G53" s="2">
        <v>34283626</v>
      </c>
      <c r="H53" s="2">
        <v>37</v>
      </c>
      <c r="I53" s="5">
        <f t="shared" si="3"/>
        <v>557308</v>
      </c>
      <c r="J53" s="6">
        <f t="shared" si="4"/>
        <v>1.6524424634791146E-2</v>
      </c>
      <c r="K53">
        <f t="shared" si="5"/>
        <v>557308</v>
      </c>
    </row>
    <row r="54" spans="1:11">
      <c r="A54" s="3" t="s">
        <v>201</v>
      </c>
      <c r="B54" s="3" t="s">
        <v>202</v>
      </c>
      <c r="C54" s="3" t="s">
        <v>203</v>
      </c>
      <c r="D54" s="3" t="s">
        <v>95</v>
      </c>
      <c r="E54" s="3" t="s">
        <v>85</v>
      </c>
      <c r="F54" s="3">
        <v>15141087</v>
      </c>
      <c r="G54" s="3">
        <v>14690417</v>
      </c>
      <c r="H54" s="3">
        <v>40</v>
      </c>
      <c r="I54" s="5">
        <f t="shared" si="3"/>
        <v>-450670</v>
      </c>
      <c r="J54" s="6">
        <f t="shared" si="4"/>
        <v>-2.9764705796882351E-2</v>
      </c>
      <c r="K54">
        <f t="shared" si="5"/>
        <v>450670</v>
      </c>
    </row>
    <row r="56" spans="1:11" ht="15.6">
      <c r="A56" s="7" t="s">
        <v>209</v>
      </c>
    </row>
    <row r="57" spans="1:11">
      <c r="A57" s="96" t="s">
        <v>210</v>
      </c>
      <c r="B57" s="96"/>
      <c r="C57" s="96"/>
      <c r="D57" s="96"/>
      <c r="E57" s="96"/>
      <c r="F57" s="96"/>
    </row>
    <row r="58" spans="1:11">
      <c r="A58" s="96" t="s">
        <v>211</v>
      </c>
      <c r="B58" s="96"/>
      <c r="C58" s="96"/>
      <c r="D58" s="96"/>
      <c r="E58" s="96"/>
      <c r="F58" s="96"/>
    </row>
    <row r="59" spans="1:11">
      <c r="A59" s="96" t="s">
        <v>212</v>
      </c>
      <c r="B59" s="96"/>
      <c r="C59" s="96"/>
      <c r="D59" s="96"/>
      <c r="E59" s="96"/>
      <c r="F59" s="96"/>
    </row>
    <row r="60" spans="1:11">
      <c r="A60" s="96" t="s">
        <v>213</v>
      </c>
      <c r="B60" s="96"/>
      <c r="C60" s="96"/>
      <c r="D60" s="96"/>
      <c r="E60" s="96"/>
      <c r="F60" s="96"/>
    </row>
    <row r="61" spans="1:11">
      <c r="A61" s="96" t="s">
        <v>214</v>
      </c>
      <c r="B61" s="96"/>
      <c r="C61" s="96"/>
      <c r="D61" s="96"/>
      <c r="E61" s="96"/>
      <c r="F61" s="96"/>
    </row>
    <row r="62" spans="1:11">
      <c r="A62" s="96" t="s">
        <v>215</v>
      </c>
      <c r="B62" s="96"/>
      <c r="C62" s="96"/>
      <c r="D62" s="96"/>
      <c r="E62" s="96"/>
      <c r="F62" s="96"/>
    </row>
    <row r="63" spans="1:11">
      <c r="A63" s="96" t="s">
        <v>216</v>
      </c>
      <c r="B63" s="96"/>
      <c r="C63" s="96"/>
      <c r="D63" s="96"/>
      <c r="E63" s="96"/>
      <c r="F63" s="96"/>
    </row>
  </sheetData>
  <sortState xmlns:xlrd2="http://schemas.microsoft.com/office/spreadsheetml/2017/richdata2" ref="A5:K54">
    <sortCondition descending="1" ref="K5:K54"/>
  </sortState>
  <mergeCells count="9">
    <mergeCell ref="A60:F60"/>
    <mergeCell ref="A61:F61"/>
    <mergeCell ref="A62:F62"/>
    <mergeCell ref="A63:F63"/>
    <mergeCell ref="A1:H1"/>
    <mergeCell ref="A2:H2"/>
    <mergeCell ref="A57:F57"/>
    <mergeCell ref="A58:F58"/>
    <mergeCell ref="A59:F59"/>
  </mergeCells>
  <conditionalFormatting sqref="K5:K54">
    <cfRule type="top10" dxfId="2" priority="1" rank="5"/>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C1FDD-0864-4345-92DC-7A41C78F0EBB}">
  <dimension ref="A1:L96"/>
  <sheetViews>
    <sheetView topLeftCell="A43" workbookViewId="0">
      <selection sqref="A1:I2"/>
    </sheetView>
  </sheetViews>
  <sheetFormatPr defaultRowHeight="14.4"/>
  <cols>
    <col min="1" max="1" width="11.109375" bestFit="1" customWidth="1"/>
    <col min="2" max="2" width="20.5546875" bestFit="1" customWidth="1"/>
    <col min="3" max="3" width="12.109375" bestFit="1" customWidth="1"/>
    <col min="4" max="4" width="13.109375" bestFit="1" customWidth="1"/>
    <col min="5" max="5" width="7" bestFit="1" customWidth="1"/>
    <col min="6" max="6" width="19.109375" bestFit="1" customWidth="1"/>
    <col min="7" max="7" width="7" bestFit="1" customWidth="1"/>
    <col min="8" max="8" width="12.6640625" bestFit="1" customWidth="1"/>
    <col min="9" max="9" width="15.88671875" bestFit="1" customWidth="1"/>
    <col min="10" max="10" width="13.21875" bestFit="1" customWidth="1"/>
    <col min="11" max="11" width="16.77734375" bestFit="1" customWidth="1"/>
    <col min="12" max="12" width="10.77734375" bestFit="1" customWidth="1"/>
  </cols>
  <sheetData>
    <row r="1" spans="1:9">
      <c r="A1" s="123" t="s">
        <v>1231</v>
      </c>
      <c r="B1" s="124"/>
      <c r="C1" s="124"/>
      <c r="D1" s="124"/>
      <c r="E1" s="124"/>
      <c r="F1" s="124"/>
      <c r="G1" s="124"/>
      <c r="H1" s="124"/>
      <c r="I1" s="124"/>
    </row>
    <row r="2" spans="1:9">
      <c r="A2" s="124"/>
      <c r="B2" s="124"/>
      <c r="C2" s="124"/>
      <c r="D2" s="124"/>
      <c r="E2" s="124"/>
      <c r="F2" s="124"/>
      <c r="G2" s="124"/>
      <c r="H2" s="124"/>
      <c r="I2" s="124"/>
    </row>
    <row r="4" spans="1:9">
      <c r="A4" s="125" t="s">
        <v>1232</v>
      </c>
      <c r="B4" s="126"/>
    </row>
    <row r="5" spans="1:9">
      <c r="A5" s="126"/>
      <c r="B5" s="126"/>
    </row>
    <row r="7" spans="1:9">
      <c r="A7" s="11" t="s">
        <v>71</v>
      </c>
      <c r="B7" t="s">
        <v>1229</v>
      </c>
    </row>
    <row r="8" spans="1:9">
      <c r="A8" s="12" t="s">
        <v>95</v>
      </c>
      <c r="B8" s="13">
        <v>0.16732436817697405</v>
      </c>
    </row>
    <row r="9" spans="1:9">
      <c r="A9" s="12" t="s">
        <v>81</v>
      </c>
      <c r="B9" s="13">
        <v>0.15763933156400683</v>
      </c>
    </row>
    <row r="10" spans="1:9">
      <c r="A10" s="12" t="s">
        <v>111</v>
      </c>
      <c r="B10" s="13">
        <v>0.19747604341132344</v>
      </c>
    </row>
    <row r="11" spans="1:9">
      <c r="A11" s="12" t="s">
        <v>1228</v>
      </c>
      <c r="B11" s="13">
        <v>0.16612198220652133</v>
      </c>
    </row>
    <row r="13" spans="1:9">
      <c r="A13" s="122" t="s">
        <v>1230</v>
      </c>
      <c r="B13" s="122"/>
      <c r="C13" s="122"/>
      <c r="D13" s="122"/>
      <c r="E13" s="122"/>
      <c r="F13" s="122"/>
      <c r="G13" s="122"/>
      <c r="H13" s="122"/>
      <c r="I13" s="122"/>
    </row>
    <row r="15" spans="1:9">
      <c r="A15" s="127" t="s">
        <v>1233</v>
      </c>
      <c r="B15" s="128"/>
    </row>
    <row r="16" spans="1:9">
      <c r="A16" s="128"/>
      <c r="B16" s="128"/>
    </row>
    <row r="18" spans="1:5">
      <c r="A18" s="11" t="s">
        <v>1237</v>
      </c>
      <c r="B18" t="s">
        <v>1234</v>
      </c>
      <c r="C18" t="s">
        <v>1235</v>
      </c>
      <c r="D18" t="s">
        <v>1236</v>
      </c>
      <c r="E18" t="s">
        <v>1229</v>
      </c>
    </row>
    <row r="19" spans="1:5">
      <c r="A19" s="12" t="s">
        <v>82</v>
      </c>
      <c r="B19">
        <v>139292114</v>
      </c>
      <c r="C19">
        <v>159577657</v>
      </c>
      <c r="D19">
        <v>20285543</v>
      </c>
      <c r="E19" s="13">
        <v>0.13323602002402321</v>
      </c>
    </row>
    <row r="20" spans="1:5">
      <c r="A20" s="12" t="s">
        <v>89</v>
      </c>
      <c r="B20">
        <v>377404871</v>
      </c>
      <c r="C20">
        <v>423300399</v>
      </c>
      <c r="D20">
        <v>45895528</v>
      </c>
      <c r="E20" s="13">
        <v>0.10730588332432177</v>
      </c>
    </row>
    <row r="21" spans="1:5">
      <c r="A21" s="12" t="s">
        <v>96</v>
      </c>
      <c r="B21">
        <v>202218749</v>
      </c>
      <c r="C21">
        <v>252196787</v>
      </c>
      <c r="D21">
        <v>49978038</v>
      </c>
      <c r="E21" s="13">
        <v>0.25210129173785145</v>
      </c>
    </row>
    <row r="22" spans="1:5">
      <c r="A22" s="12" t="s">
        <v>107</v>
      </c>
      <c r="B22">
        <v>276402274</v>
      </c>
      <c r="C22">
        <v>314328476</v>
      </c>
      <c r="D22">
        <v>37926202</v>
      </c>
      <c r="E22" s="13">
        <v>0.13762154755324657</v>
      </c>
    </row>
    <row r="23" spans="1:5">
      <c r="A23" s="12" t="s">
        <v>100</v>
      </c>
      <c r="B23">
        <v>162936980</v>
      </c>
      <c r="C23">
        <v>186876390</v>
      </c>
      <c r="D23">
        <v>23939410</v>
      </c>
      <c r="E23" s="13">
        <v>0.13147050359818394</v>
      </c>
    </row>
    <row r="24" spans="1:5">
      <c r="A24" s="12" t="s">
        <v>85</v>
      </c>
      <c r="B24">
        <v>207257585</v>
      </c>
      <c r="C24">
        <v>251957838</v>
      </c>
      <c r="D24">
        <v>44700253</v>
      </c>
      <c r="E24" s="13">
        <v>0.18258894255467317</v>
      </c>
    </row>
    <row r="25" spans="1:5">
      <c r="A25" s="12" t="s">
        <v>129</v>
      </c>
      <c r="B25">
        <v>194389591</v>
      </c>
      <c r="C25">
        <v>220692772</v>
      </c>
      <c r="D25">
        <v>26303181</v>
      </c>
      <c r="E25" s="13">
        <v>0.15213723314045141</v>
      </c>
    </row>
    <row r="26" spans="1:5">
      <c r="A26" s="12" t="s">
        <v>150</v>
      </c>
      <c r="B26">
        <v>238232594</v>
      </c>
      <c r="C26">
        <v>300895518</v>
      </c>
      <c r="D26">
        <v>62662924</v>
      </c>
      <c r="E26" s="13">
        <v>0.24593854380661972</v>
      </c>
    </row>
    <row r="27" spans="1:5">
      <c r="A27" s="12" t="s">
        <v>123</v>
      </c>
      <c r="B27">
        <v>49683626</v>
      </c>
      <c r="C27">
        <v>51363072</v>
      </c>
      <c r="D27">
        <v>1679446</v>
      </c>
      <c r="E27" s="13">
        <v>3.3802806582595241E-2</v>
      </c>
    </row>
    <row r="28" spans="1:5">
      <c r="A28" s="12" t="s">
        <v>117</v>
      </c>
      <c r="B28">
        <v>304580669</v>
      </c>
      <c r="C28">
        <v>370758337</v>
      </c>
      <c r="D28">
        <v>66177668</v>
      </c>
      <c r="E28" s="13">
        <v>0.21100059209742031</v>
      </c>
    </row>
    <row r="29" spans="1:5">
      <c r="A29" s="12" t="s">
        <v>1228</v>
      </c>
      <c r="B29">
        <v>2152399053</v>
      </c>
      <c r="C29">
        <v>2531947246</v>
      </c>
      <c r="D29">
        <v>379548193</v>
      </c>
      <c r="E29" s="13">
        <v>0.1661219822065213</v>
      </c>
    </row>
    <row r="31" spans="1:5" ht="14.4" customHeight="1">
      <c r="A31" s="129" t="s">
        <v>1238</v>
      </c>
      <c r="B31" s="129"/>
      <c r="C31" s="129"/>
      <c r="D31" s="129"/>
      <c r="E31" s="129"/>
    </row>
    <row r="32" spans="1:5">
      <c r="A32" s="129"/>
      <c r="B32" s="129"/>
      <c r="C32" s="129"/>
      <c r="D32" s="129"/>
      <c r="E32" s="129"/>
    </row>
    <row r="33" spans="1:6">
      <c r="A33" s="14"/>
      <c r="B33" s="14"/>
      <c r="C33" s="14"/>
      <c r="D33" s="14"/>
      <c r="E33" s="14"/>
    </row>
    <row r="34" spans="1:6">
      <c r="A34" s="120" t="s">
        <v>1239</v>
      </c>
      <c r="B34" s="121"/>
      <c r="C34" s="14"/>
      <c r="D34" s="14"/>
      <c r="E34" s="14"/>
    </row>
    <row r="35" spans="1:6">
      <c r="A35" s="121"/>
      <c r="B35" s="121"/>
    </row>
    <row r="37" spans="1:6" ht="39.6">
      <c r="A37" s="2" t="s">
        <v>162</v>
      </c>
    </row>
    <row r="38" spans="1:6" ht="39.6">
      <c r="A38" s="2" t="s">
        <v>170</v>
      </c>
      <c r="B38" s="131" t="s">
        <v>1241</v>
      </c>
      <c r="C38" s="132"/>
      <c r="D38" s="132"/>
      <c r="E38" s="132"/>
      <c r="F38" s="132"/>
    </row>
    <row r="39" spans="1:6" ht="26.4">
      <c r="A39" s="3" t="s">
        <v>172</v>
      </c>
      <c r="B39" s="131"/>
      <c r="C39" s="132"/>
      <c r="D39" s="132"/>
      <c r="E39" s="132"/>
      <c r="F39" s="132"/>
    </row>
    <row r="40" spans="1:6" ht="39.6">
      <c r="A40" s="2" t="s">
        <v>175</v>
      </c>
    </row>
    <row r="41" spans="1:6" ht="39.6">
      <c r="A41" s="3" t="s">
        <v>194</v>
      </c>
    </row>
    <row r="43" spans="1:6">
      <c r="A43" s="127" t="s">
        <v>1242</v>
      </c>
      <c r="B43" s="127"/>
    </row>
    <row r="44" spans="1:6">
      <c r="A44" s="127"/>
      <c r="B44" s="127"/>
    </row>
    <row r="46" spans="1:6">
      <c r="A46">
        <f>CORREL('P01-CostOverrun'!H5:H54,'P01-CostOverrun'!J5:J54)</f>
        <v>-0.15637930919724985</v>
      </c>
    </row>
    <row r="48" spans="1:6" ht="14.4" customHeight="1">
      <c r="A48" s="129" t="s">
        <v>1243</v>
      </c>
      <c r="B48" s="129"/>
      <c r="C48" s="129"/>
      <c r="D48" s="129"/>
      <c r="E48" s="129"/>
      <c r="F48" s="129"/>
    </row>
    <row r="49" spans="1:12">
      <c r="A49" s="129"/>
      <c r="B49" s="129"/>
      <c r="C49" s="129"/>
      <c r="D49" s="129"/>
      <c r="E49" s="129"/>
      <c r="F49" s="129"/>
    </row>
    <row r="50" spans="1:12">
      <c r="A50" s="129"/>
      <c r="B50" s="129"/>
      <c r="C50" s="129"/>
      <c r="D50" s="129"/>
      <c r="E50" s="129"/>
      <c r="F50" s="129"/>
    </row>
    <row r="52" spans="1:12">
      <c r="A52" s="130" t="s">
        <v>1245</v>
      </c>
      <c r="B52" s="130"/>
    </row>
    <row r="53" spans="1:12">
      <c r="A53" s="130"/>
      <c r="B53" s="130"/>
    </row>
    <row r="55" spans="1:12">
      <c r="A55" s="11" t="s">
        <v>1229</v>
      </c>
      <c r="B55" s="11" t="s">
        <v>1244</v>
      </c>
    </row>
    <row r="56" spans="1:12">
      <c r="A56" s="11" t="s">
        <v>1227</v>
      </c>
      <c r="B56" t="s">
        <v>82</v>
      </c>
      <c r="C56" t="s">
        <v>89</v>
      </c>
      <c r="D56" t="s">
        <v>96</v>
      </c>
      <c r="E56" t="s">
        <v>107</v>
      </c>
      <c r="F56" t="s">
        <v>100</v>
      </c>
      <c r="G56" t="s">
        <v>85</v>
      </c>
      <c r="H56" t="s">
        <v>129</v>
      </c>
      <c r="I56" t="s">
        <v>150</v>
      </c>
      <c r="J56" t="s">
        <v>123</v>
      </c>
      <c r="K56" t="s">
        <v>117</v>
      </c>
      <c r="L56" t="s">
        <v>1228</v>
      </c>
    </row>
    <row r="57" spans="1:12">
      <c r="A57" s="12" t="s">
        <v>95</v>
      </c>
      <c r="B57" s="13"/>
      <c r="C57" s="13">
        <v>0.11293848163584572</v>
      </c>
      <c r="D57" s="13">
        <v>0.1857062702152355</v>
      </c>
      <c r="E57" s="13">
        <v>0.22210857339720888</v>
      </c>
      <c r="F57" s="13">
        <v>0.29553468841707359</v>
      </c>
      <c r="G57" s="13">
        <v>0.15299022775846177</v>
      </c>
      <c r="H57" s="13">
        <v>9.3273249945091549E-2</v>
      </c>
      <c r="I57" s="13">
        <v>0.23322555364028846</v>
      </c>
      <c r="J57" s="13"/>
      <c r="K57" s="13">
        <v>8.8721908935650004E-2</v>
      </c>
      <c r="L57" s="13">
        <v>0.16732436817697408</v>
      </c>
    </row>
    <row r="58" spans="1:12">
      <c r="A58" s="12" t="s">
        <v>81</v>
      </c>
      <c r="B58" s="13">
        <v>0.13323602002402321</v>
      </c>
      <c r="C58" s="13">
        <v>0.12639265395148844</v>
      </c>
      <c r="D58" s="13">
        <v>0.23834114790042252</v>
      </c>
      <c r="E58" s="13">
        <v>7.4256278170274831E-2</v>
      </c>
      <c r="F58" s="13">
        <v>6.1148534464179914E-2</v>
      </c>
      <c r="G58" s="13">
        <v>0.18083415863245228</v>
      </c>
      <c r="H58" s="13">
        <v>5.7979113293538498E-2</v>
      </c>
      <c r="I58" s="13">
        <v>0.25865153397295104</v>
      </c>
      <c r="J58" s="13">
        <v>3.3802806582595241E-2</v>
      </c>
      <c r="K58" s="13">
        <v>0.27213993367830547</v>
      </c>
      <c r="L58" s="13">
        <v>0.15763933156400683</v>
      </c>
    </row>
    <row r="59" spans="1:12">
      <c r="A59" s="12" t="s">
        <v>111</v>
      </c>
      <c r="B59" s="13"/>
      <c r="C59" s="13">
        <v>-1.847993706172614E-2</v>
      </c>
      <c r="D59" s="13">
        <v>0.29905894633658836</v>
      </c>
      <c r="E59" s="13"/>
      <c r="F59" s="13">
        <v>3.7728287913298332E-2</v>
      </c>
      <c r="G59" s="13">
        <v>0.24880550783597968</v>
      </c>
      <c r="H59" s="13">
        <v>0.25808027625926777</v>
      </c>
      <c r="I59" s="13"/>
      <c r="J59" s="13"/>
      <c r="K59" s="13"/>
      <c r="L59" s="13">
        <v>0.19747604341132344</v>
      </c>
    </row>
    <row r="60" spans="1:12">
      <c r="A60" s="12" t="s">
        <v>1228</v>
      </c>
      <c r="B60" s="13">
        <v>0.13323602002402321</v>
      </c>
      <c r="C60" s="13">
        <v>0.10730588332432177</v>
      </c>
      <c r="D60" s="13">
        <v>0.25210129173785145</v>
      </c>
      <c r="E60" s="13">
        <v>0.13762154755324657</v>
      </c>
      <c r="F60" s="13">
        <v>0.13147050359818394</v>
      </c>
      <c r="G60" s="13">
        <v>0.1825889425546732</v>
      </c>
      <c r="H60" s="13">
        <v>0.15213723314045144</v>
      </c>
      <c r="I60" s="13">
        <v>0.24593854380661972</v>
      </c>
      <c r="J60" s="13">
        <v>3.3802806582595241E-2</v>
      </c>
      <c r="K60" s="13">
        <v>0.21100059209742036</v>
      </c>
      <c r="L60" s="13">
        <v>0.16612198220652136</v>
      </c>
    </row>
    <row r="62" spans="1:12">
      <c r="A62" s="133" t="s">
        <v>1246</v>
      </c>
      <c r="B62" s="133"/>
      <c r="C62" s="133"/>
      <c r="D62" s="133"/>
      <c r="E62" s="133"/>
      <c r="F62" s="133"/>
    </row>
    <row r="63" spans="1:12">
      <c r="A63" s="133"/>
      <c r="B63" s="133"/>
      <c r="C63" s="133"/>
      <c r="D63" s="133"/>
      <c r="E63" s="133"/>
      <c r="F63" s="133"/>
    </row>
    <row r="65" spans="1:5">
      <c r="A65" s="130" t="s">
        <v>1247</v>
      </c>
      <c r="B65" s="130"/>
    </row>
    <row r="66" spans="1:5">
      <c r="A66" s="130"/>
      <c r="B66" s="130"/>
    </row>
    <row r="68" spans="1:5">
      <c r="A68" s="17" t="s">
        <v>1248</v>
      </c>
      <c r="B68" s="17" t="s">
        <v>1249</v>
      </c>
      <c r="C68" s="17" t="s">
        <v>1250</v>
      </c>
      <c r="D68" s="17" t="s">
        <v>1251</v>
      </c>
    </row>
    <row r="69" spans="1:5">
      <c r="A69">
        <f>COUNTA('P01-CostOverrun'!A5:A54)</f>
        <v>50</v>
      </c>
      <c r="B69" s="16">
        <f>COUNTIF('P01-CostOverrun'!I5:I54,"&gt;0")/COUNTA('P01-CostOverrun'!A5:A54)</f>
        <v>0.9</v>
      </c>
      <c r="C69" s="16">
        <f>COUNTIF('P01-CostOverrun'!I5:I54,"&lt;0")/COUNTA('P01-CostOverrun'!A5:A54)</f>
        <v>0.1</v>
      </c>
      <c r="D69" s="16">
        <f>COUNTIF('P01-CostOverrun'!I5:I54,"=0")/COUNTA('P01-CostOverrun'!A5:A54)</f>
        <v>0</v>
      </c>
    </row>
    <row r="71" spans="1:5" ht="14.4" customHeight="1">
      <c r="A71" s="129" t="s">
        <v>1252</v>
      </c>
      <c r="B71" s="129"/>
      <c r="C71" s="129"/>
      <c r="D71" s="129"/>
      <c r="E71" s="129"/>
    </row>
    <row r="72" spans="1:5">
      <c r="A72" s="129"/>
      <c r="B72" s="129"/>
      <c r="C72" s="129"/>
      <c r="D72" s="129"/>
      <c r="E72" s="129"/>
    </row>
    <row r="77" spans="1:5">
      <c r="A77" s="11" t="s">
        <v>70</v>
      </c>
      <c r="B77" t="s">
        <v>1229</v>
      </c>
    </row>
    <row r="78" spans="1:5">
      <c r="A78" s="12" t="s">
        <v>203</v>
      </c>
      <c r="B78" s="13">
        <v>-2.9764705796882351E-2</v>
      </c>
    </row>
    <row r="79" spans="1:5">
      <c r="A79" s="12" t="s">
        <v>99</v>
      </c>
      <c r="B79" s="13">
        <v>5.0976818113437884E-2</v>
      </c>
    </row>
    <row r="80" spans="1:5">
      <c r="A80" s="12" t="s">
        <v>116</v>
      </c>
      <c r="B80" s="13">
        <v>9.5679450916922773E-2</v>
      </c>
    </row>
    <row r="81" spans="1:7">
      <c r="A81" s="12" t="s">
        <v>103</v>
      </c>
      <c r="B81" s="13">
        <v>0.11293848163584572</v>
      </c>
    </row>
    <row r="82" spans="1:7" ht="14.4" customHeight="1">
      <c r="A82" s="12" t="s">
        <v>120</v>
      </c>
      <c r="B82" s="13">
        <v>0.1406238512367356</v>
      </c>
      <c r="C82" s="129" t="s">
        <v>1253</v>
      </c>
      <c r="D82" s="129"/>
      <c r="E82" s="129"/>
      <c r="F82" s="129"/>
      <c r="G82" s="129"/>
    </row>
    <row r="83" spans="1:7">
      <c r="A83" s="12" t="s">
        <v>143</v>
      </c>
      <c r="B83" s="13">
        <v>0.15078802322159501</v>
      </c>
      <c r="C83" s="129"/>
      <c r="D83" s="129"/>
      <c r="E83" s="129"/>
      <c r="F83" s="129"/>
      <c r="G83" s="129"/>
    </row>
    <row r="84" spans="1:7">
      <c r="A84" s="12" t="s">
        <v>88</v>
      </c>
      <c r="B84" s="13">
        <v>0.15776247735349944</v>
      </c>
      <c r="C84" s="14"/>
      <c r="D84" s="14"/>
      <c r="E84" s="14"/>
      <c r="F84" s="14"/>
      <c r="G84" s="14"/>
    </row>
    <row r="85" spans="1:7">
      <c r="A85" s="12" t="s">
        <v>126</v>
      </c>
      <c r="B85" s="13">
        <v>0.16715202899180862</v>
      </c>
      <c r="C85" s="14"/>
      <c r="D85" s="14"/>
      <c r="E85" s="14"/>
      <c r="F85" s="14"/>
      <c r="G85" s="14"/>
    </row>
    <row r="86" spans="1:7">
      <c r="A86" s="12" t="s">
        <v>80</v>
      </c>
      <c r="B86" s="13">
        <v>0.1672567905095072</v>
      </c>
    </row>
    <row r="87" spans="1:7">
      <c r="A87" s="12" t="s">
        <v>110</v>
      </c>
      <c r="B87" s="13">
        <v>0.17248877733220103</v>
      </c>
    </row>
    <row r="88" spans="1:7">
      <c r="A88" s="12" t="s">
        <v>106</v>
      </c>
      <c r="B88" s="13">
        <v>0.18796887580447455</v>
      </c>
    </row>
    <row r="89" spans="1:7">
      <c r="A89" s="12" t="s">
        <v>94</v>
      </c>
      <c r="B89" s="13">
        <v>0.20543072371113869</v>
      </c>
    </row>
    <row r="90" spans="1:7">
      <c r="A90" s="12" t="s">
        <v>136</v>
      </c>
      <c r="B90" s="13">
        <v>0.20901109838842766</v>
      </c>
    </row>
    <row r="91" spans="1:7">
      <c r="A91" s="12" t="s">
        <v>146</v>
      </c>
      <c r="B91" s="13">
        <v>0.25231279398864387</v>
      </c>
    </row>
    <row r="92" spans="1:7">
      <c r="A92" s="12" t="s">
        <v>149</v>
      </c>
      <c r="B92" s="13">
        <v>0.25865153397295104</v>
      </c>
    </row>
    <row r="93" spans="1:7">
      <c r="A93" s="12" t="s">
        <v>208</v>
      </c>
      <c r="B93" s="13">
        <v>0.31097713145082723</v>
      </c>
    </row>
    <row r="94" spans="1:7">
      <c r="A94" s="12" t="s">
        <v>184</v>
      </c>
      <c r="B94" s="13">
        <v>0.31216800023319985</v>
      </c>
    </row>
    <row r="95" spans="1:7">
      <c r="A95" s="12" t="s">
        <v>173</v>
      </c>
      <c r="B95" s="13">
        <v>0.33574516131380588</v>
      </c>
    </row>
    <row r="96" spans="1:7">
      <c r="A96" s="12" t="s">
        <v>1228</v>
      </c>
      <c r="B96" s="13">
        <v>0.16612198220652133</v>
      </c>
    </row>
  </sheetData>
  <mergeCells count="14">
    <mergeCell ref="A71:E72"/>
    <mergeCell ref="C82:G83"/>
    <mergeCell ref="A65:B66"/>
    <mergeCell ref="B38:F39"/>
    <mergeCell ref="A43:B44"/>
    <mergeCell ref="A48:F50"/>
    <mergeCell ref="A52:B53"/>
    <mergeCell ref="A62:F63"/>
    <mergeCell ref="A34:B35"/>
    <mergeCell ref="A13:I13"/>
    <mergeCell ref="A1:I2"/>
    <mergeCell ref="A4:B5"/>
    <mergeCell ref="A15:B16"/>
    <mergeCell ref="A31:E32"/>
  </mergeCells>
  <conditionalFormatting pivot="1" sqref="E19:E28">
    <cfRule type="top10" dxfId="5" priority="2" rank="1"/>
  </conditionalFormatting>
  <conditionalFormatting pivot="1" sqref="D19:D28">
    <cfRule type="top10" dxfId="4" priority="1" rank="1"/>
  </conditionalFormatting>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EF6C00"/>
  </sheetPr>
  <dimension ref="A1:I102"/>
  <sheetViews>
    <sheetView zoomScale="70" zoomScaleNormal="70" workbookViewId="0">
      <selection activeCell="B122" sqref="B122"/>
    </sheetView>
  </sheetViews>
  <sheetFormatPr defaultColWidth="8.6640625" defaultRowHeight="14.4"/>
  <cols>
    <col min="1" max="1" width="12" customWidth="1"/>
    <col min="2" max="2" width="28" customWidth="1"/>
    <col min="3" max="3" width="12" customWidth="1"/>
    <col min="4" max="4" width="16" customWidth="1"/>
    <col min="5" max="5" width="18" customWidth="1"/>
    <col min="6" max="6" width="16" customWidth="1"/>
    <col min="7" max="7" width="12" customWidth="1"/>
    <col min="8" max="8" width="14" customWidth="1"/>
  </cols>
  <sheetData>
    <row r="1" spans="1:9" ht="17.399999999999999">
      <c r="A1" s="134" t="s">
        <v>217</v>
      </c>
      <c r="B1" s="134"/>
      <c r="C1" s="134"/>
      <c r="D1" s="134"/>
      <c r="E1" s="134"/>
      <c r="F1" s="134"/>
      <c r="G1" s="134"/>
    </row>
    <row r="2" spans="1:9">
      <c r="A2" s="119" t="s">
        <v>218</v>
      </c>
      <c r="B2" s="119"/>
      <c r="C2" s="119"/>
      <c r="D2" s="119"/>
      <c r="E2" s="119"/>
      <c r="F2" s="119"/>
      <c r="G2" s="119"/>
    </row>
    <row r="4" spans="1:9" ht="39.6">
      <c r="A4" s="1" t="s">
        <v>219</v>
      </c>
      <c r="B4" s="1" t="s">
        <v>220</v>
      </c>
      <c r="C4" s="1" t="s">
        <v>221</v>
      </c>
      <c r="D4" s="1" t="s">
        <v>222</v>
      </c>
      <c r="E4" s="1" t="s">
        <v>223</v>
      </c>
      <c r="F4" s="1" t="s">
        <v>224</v>
      </c>
      <c r="G4" s="1" t="s">
        <v>71</v>
      </c>
      <c r="H4" s="4" t="s">
        <v>225</v>
      </c>
      <c r="I4" s="15" t="s">
        <v>1264</v>
      </c>
    </row>
    <row r="5" spans="1:9" hidden="1">
      <c r="A5" s="3" t="s">
        <v>247</v>
      </c>
      <c r="B5" s="3" t="s">
        <v>231</v>
      </c>
      <c r="C5" s="3" t="s">
        <v>228</v>
      </c>
      <c r="D5" s="3">
        <v>15</v>
      </c>
      <c r="E5" s="3">
        <v>18.73</v>
      </c>
      <c r="F5" s="3" t="s">
        <v>126</v>
      </c>
      <c r="G5" s="3" t="s">
        <v>81</v>
      </c>
      <c r="H5" s="6">
        <f t="shared" ref="H5:H36" si="0">(E5-D5)/D5</f>
        <v>0.2486666666666667</v>
      </c>
      <c r="I5" t="str">
        <f t="shared" ref="I5:I36" si="1">IF(H5&gt;15%,"high risk", "Normal")</f>
        <v>high risk</v>
      </c>
    </row>
    <row r="6" spans="1:9" hidden="1">
      <c r="A6" s="3" t="s">
        <v>254</v>
      </c>
      <c r="B6" s="3" t="s">
        <v>229</v>
      </c>
      <c r="C6" s="3" t="s">
        <v>230</v>
      </c>
      <c r="D6" s="3">
        <v>85</v>
      </c>
      <c r="E6" s="3">
        <v>105.52</v>
      </c>
      <c r="F6" s="3" t="s">
        <v>149</v>
      </c>
      <c r="G6" s="3" t="s">
        <v>81</v>
      </c>
      <c r="H6" s="6">
        <f t="shared" si="0"/>
        <v>0.2414117647058823</v>
      </c>
      <c r="I6" t="str">
        <f t="shared" si="1"/>
        <v>high risk</v>
      </c>
    </row>
    <row r="7" spans="1:9" hidden="1">
      <c r="A7" s="2" t="s">
        <v>259</v>
      </c>
      <c r="B7" s="2" t="s">
        <v>233</v>
      </c>
      <c r="C7" s="2" t="s">
        <v>228</v>
      </c>
      <c r="D7" s="2">
        <v>120</v>
      </c>
      <c r="E7" s="2">
        <v>147.97999999999999</v>
      </c>
      <c r="F7" s="2" t="s">
        <v>103</v>
      </c>
      <c r="G7" s="2" t="s">
        <v>95</v>
      </c>
      <c r="H7" s="6">
        <f t="shared" si="0"/>
        <v>0.23316666666666658</v>
      </c>
      <c r="I7" t="str">
        <f t="shared" si="1"/>
        <v>high risk</v>
      </c>
    </row>
    <row r="8" spans="1:9" hidden="1">
      <c r="A8" s="2" t="s">
        <v>242</v>
      </c>
      <c r="B8" s="2" t="s">
        <v>243</v>
      </c>
      <c r="C8" s="2" t="s">
        <v>244</v>
      </c>
      <c r="D8" s="2">
        <v>380</v>
      </c>
      <c r="E8" s="2">
        <v>467.68</v>
      </c>
      <c r="F8" s="2" t="s">
        <v>143</v>
      </c>
      <c r="G8" s="2" t="s">
        <v>111</v>
      </c>
      <c r="H8" s="6">
        <f t="shared" si="0"/>
        <v>0.23073684210526318</v>
      </c>
      <c r="I8" t="str">
        <f t="shared" si="1"/>
        <v>high risk</v>
      </c>
    </row>
    <row r="9" spans="1:9" hidden="1">
      <c r="A9" s="2" t="s">
        <v>248</v>
      </c>
      <c r="B9" s="2" t="s">
        <v>249</v>
      </c>
      <c r="C9" s="2" t="s">
        <v>228</v>
      </c>
      <c r="D9" s="2">
        <v>18</v>
      </c>
      <c r="E9" s="2">
        <v>22.1</v>
      </c>
      <c r="F9" s="2" t="s">
        <v>126</v>
      </c>
      <c r="G9" s="2" t="s">
        <v>81</v>
      </c>
      <c r="H9" s="6">
        <f t="shared" si="0"/>
        <v>0.22777777777777786</v>
      </c>
      <c r="I9" t="str">
        <f t="shared" si="1"/>
        <v>high risk</v>
      </c>
    </row>
    <row r="10" spans="1:9" hidden="1">
      <c r="A10" s="2" t="s">
        <v>254</v>
      </c>
      <c r="B10" s="2" t="s">
        <v>241</v>
      </c>
      <c r="C10" s="2" t="s">
        <v>240</v>
      </c>
      <c r="D10" s="2">
        <v>3</v>
      </c>
      <c r="E10" s="2">
        <v>3.68</v>
      </c>
      <c r="F10" s="2" t="s">
        <v>116</v>
      </c>
      <c r="G10" s="2" t="s">
        <v>81</v>
      </c>
      <c r="H10" s="6">
        <f t="shared" si="0"/>
        <v>0.22666666666666671</v>
      </c>
      <c r="I10" t="str">
        <f t="shared" si="1"/>
        <v>high risk</v>
      </c>
    </row>
    <row r="11" spans="1:9" hidden="1">
      <c r="A11" s="2" t="s">
        <v>236</v>
      </c>
      <c r="B11" s="2" t="s">
        <v>237</v>
      </c>
      <c r="C11" s="2" t="s">
        <v>238</v>
      </c>
      <c r="D11" s="2">
        <v>25</v>
      </c>
      <c r="E11" s="2">
        <v>30.58</v>
      </c>
      <c r="F11" s="2" t="s">
        <v>146</v>
      </c>
      <c r="G11" s="2" t="s">
        <v>111</v>
      </c>
      <c r="H11" s="6">
        <f t="shared" si="0"/>
        <v>0.22319999999999993</v>
      </c>
      <c r="I11" t="str">
        <f t="shared" si="1"/>
        <v>high risk</v>
      </c>
    </row>
    <row r="12" spans="1:9" hidden="1">
      <c r="A12" s="3" t="s">
        <v>248</v>
      </c>
      <c r="B12" s="3" t="s">
        <v>245</v>
      </c>
      <c r="C12" s="3" t="s">
        <v>230</v>
      </c>
      <c r="D12" s="3">
        <v>950</v>
      </c>
      <c r="E12" s="3">
        <v>1149.6500000000001</v>
      </c>
      <c r="F12" s="3" t="s">
        <v>106</v>
      </c>
      <c r="G12" s="3" t="s">
        <v>95</v>
      </c>
      <c r="H12" s="6">
        <f t="shared" si="0"/>
        <v>0.21015789473684221</v>
      </c>
      <c r="I12" t="str">
        <f t="shared" si="1"/>
        <v>high risk</v>
      </c>
    </row>
    <row r="13" spans="1:9" hidden="1">
      <c r="A13" s="3" t="s">
        <v>257</v>
      </c>
      <c r="B13" s="3" t="s">
        <v>255</v>
      </c>
      <c r="C13" s="3" t="s">
        <v>238</v>
      </c>
      <c r="D13" s="3">
        <v>22</v>
      </c>
      <c r="E13" s="3">
        <v>26.52</v>
      </c>
      <c r="F13" s="3" t="s">
        <v>173</v>
      </c>
      <c r="G13" s="3" t="s">
        <v>95</v>
      </c>
      <c r="H13" s="6">
        <f t="shared" si="0"/>
        <v>0.20545454545454545</v>
      </c>
      <c r="I13" t="str">
        <f t="shared" si="1"/>
        <v>high risk</v>
      </c>
    </row>
    <row r="14" spans="1:9" hidden="1">
      <c r="A14" s="2" t="s">
        <v>264</v>
      </c>
      <c r="B14" s="2" t="s">
        <v>229</v>
      </c>
      <c r="C14" s="2" t="s">
        <v>230</v>
      </c>
      <c r="D14" s="2">
        <v>85</v>
      </c>
      <c r="E14" s="2">
        <v>102.04</v>
      </c>
      <c r="F14" s="2" t="s">
        <v>126</v>
      </c>
      <c r="G14" s="2" t="s">
        <v>81</v>
      </c>
      <c r="H14" s="6">
        <f t="shared" si="0"/>
        <v>0.20047058823529418</v>
      </c>
      <c r="I14" t="str">
        <f t="shared" si="1"/>
        <v>high risk</v>
      </c>
    </row>
    <row r="15" spans="1:9" hidden="1">
      <c r="A15" s="3" t="s">
        <v>248</v>
      </c>
      <c r="B15" s="3" t="s">
        <v>233</v>
      </c>
      <c r="C15" s="3" t="s">
        <v>228</v>
      </c>
      <c r="D15" s="3">
        <v>120</v>
      </c>
      <c r="E15" s="3">
        <v>143.41999999999999</v>
      </c>
      <c r="F15" s="3" t="s">
        <v>232</v>
      </c>
      <c r="G15" s="3" t="s">
        <v>95</v>
      </c>
      <c r="H15" s="6">
        <f t="shared" si="0"/>
        <v>0.19516666666666657</v>
      </c>
      <c r="I15" t="str">
        <f t="shared" si="1"/>
        <v>high risk</v>
      </c>
    </row>
    <row r="16" spans="1:9" hidden="1">
      <c r="A16" s="2" t="s">
        <v>262</v>
      </c>
      <c r="B16" s="2" t="s">
        <v>260</v>
      </c>
      <c r="C16" s="2" t="s">
        <v>240</v>
      </c>
      <c r="D16" s="2">
        <v>12</v>
      </c>
      <c r="E16" s="2">
        <v>14.34</v>
      </c>
      <c r="F16" s="2" t="s">
        <v>232</v>
      </c>
      <c r="G16" s="2" t="s">
        <v>95</v>
      </c>
      <c r="H16" s="6">
        <f t="shared" si="0"/>
        <v>0.19499999999999998</v>
      </c>
      <c r="I16" t="str">
        <f t="shared" si="1"/>
        <v>high risk</v>
      </c>
    </row>
    <row r="17" spans="1:9" hidden="1">
      <c r="A17" s="2" t="s">
        <v>252</v>
      </c>
      <c r="B17" s="2" t="s">
        <v>233</v>
      </c>
      <c r="C17" s="2" t="s">
        <v>228</v>
      </c>
      <c r="D17" s="2">
        <v>120</v>
      </c>
      <c r="E17" s="2">
        <v>143.24</v>
      </c>
      <c r="F17" s="2" t="s">
        <v>184</v>
      </c>
      <c r="G17" s="2" t="s">
        <v>81</v>
      </c>
      <c r="H17" s="6">
        <f t="shared" si="0"/>
        <v>0.19366666666666674</v>
      </c>
      <c r="I17" t="str">
        <f t="shared" si="1"/>
        <v>high risk</v>
      </c>
    </row>
    <row r="18" spans="1:9">
      <c r="A18" s="3" t="s">
        <v>263</v>
      </c>
      <c r="B18" s="3" t="s">
        <v>250</v>
      </c>
      <c r="C18" s="3" t="s">
        <v>238</v>
      </c>
      <c r="D18" s="3">
        <v>75</v>
      </c>
      <c r="E18" s="3">
        <v>88.96</v>
      </c>
      <c r="F18" s="3" t="s">
        <v>149</v>
      </c>
      <c r="G18" s="3" t="s">
        <v>81</v>
      </c>
      <c r="H18" s="6">
        <f t="shared" si="0"/>
        <v>0.18613333333333326</v>
      </c>
      <c r="I18" t="str">
        <f t="shared" si="1"/>
        <v>high risk</v>
      </c>
    </row>
    <row r="19" spans="1:9" hidden="1">
      <c r="A19" s="3" t="s">
        <v>256</v>
      </c>
      <c r="B19" s="3" t="s">
        <v>255</v>
      </c>
      <c r="C19" s="3" t="s">
        <v>238</v>
      </c>
      <c r="D19" s="3">
        <v>22</v>
      </c>
      <c r="E19" s="3">
        <v>26.06</v>
      </c>
      <c r="F19" s="3" t="s">
        <v>116</v>
      </c>
      <c r="G19" s="3" t="s">
        <v>81</v>
      </c>
      <c r="H19" s="6">
        <f t="shared" si="0"/>
        <v>0.18454545454545448</v>
      </c>
      <c r="I19" t="str">
        <f t="shared" si="1"/>
        <v>high risk</v>
      </c>
    </row>
    <row r="20" spans="1:9" hidden="1">
      <c r="A20" s="2" t="s">
        <v>262</v>
      </c>
      <c r="B20" s="2" t="s">
        <v>233</v>
      </c>
      <c r="C20" s="2" t="s">
        <v>228</v>
      </c>
      <c r="D20" s="2">
        <v>120</v>
      </c>
      <c r="E20" s="2">
        <v>141.52000000000001</v>
      </c>
      <c r="F20" s="2" t="s">
        <v>103</v>
      </c>
      <c r="G20" s="2" t="s">
        <v>95</v>
      </c>
      <c r="H20" s="6">
        <f t="shared" si="0"/>
        <v>0.17933333333333343</v>
      </c>
      <c r="I20" t="str">
        <f t="shared" si="1"/>
        <v>high risk</v>
      </c>
    </row>
    <row r="21" spans="1:9">
      <c r="A21" s="2" t="s">
        <v>256</v>
      </c>
      <c r="B21" s="2" t="s">
        <v>250</v>
      </c>
      <c r="C21" s="2" t="s">
        <v>238</v>
      </c>
      <c r="D21" s="2">
        <v>75</v>
      </c>
      <c r="E21" s="2">
        <v>88.36</v>
      </c>
      <c r="F21" s="2" t="s">
        <v>94</v>
      </c>
      <c r="G21" s="2" t="s">
        <v>95</v>
      </c>
      <c r="H21" s="6">
        <f t="shared" si="0"/>
        <v>0.17813333333333334</v>
      </c>
      <c r="I21" t="str">
        <f t="shared" si="1"/>
        <v>high risk</v>
      </c>
    </row>
    <row r="22" spans="1:9" hidden="1">
      <c r="A22" s="2" t="s">
        <v>254</v>
      </c>
      <c r="B22" s="2" t="s">
        <v>255</v>
      </c>
      <c r="C22" s="2" t="s">
        <v>238</v>
      </c>
      <c r="D22" s="2">
        <v>22</v>
      </c>
      <c r="E22" s="2">
        <v>25.9</v>
      </c>
      <c r="F22" s="2" t="s">
        <v>94</v>
      </c>
      <c r="G22" s="2" t="s">
        <v>95</v>
      </c>
      <c r="H22" s="6">
        <f t="shared" si="0"/>
        <v>0.17727272727272722</v>
      </c>
      <c r="I22" t="str">
        <f t="shared" si="1"/>
        <v>high risk</v>
      </c>
    </row>
    <row r="23" spans="1:9" hidden="1">
      <c r="A23" s="3" t="s">
        <v>251</v>
      </c>
      <c r="B23" s="3" t="s">
        <v>249</v>
      </c>
      <c r="C23" s="3" t="s">
        <v>228</v>
      </c>
      <c r="D23" s="3">
        <v>18</v>
      </c>
      <c r="E23" s="3">
        <v>20.97</v>
      </c>
      <c r="F23" s="3" t="s">
        <v>149</v>
      </c>
      <c r="G23" s="3" t="s">
        <v>81</v>
      </c>
      <c r="H23" s="6">
        <f t="shared" si="0"/>
        <v>0.16499999999999992</v>
      </c>
      <c r="I23" t="str">
        <f t="shared" si="1"/>
        <v>high risk</v>
      </c>
    </row>
    <row r="24" spans="1:9" hidden="1">
      <c r="A24" s="3" t="s">
        <v>251</v>
      </c>
      <c r="B24" s="3" t="s">
        <v>241</v>
      </c>
      <c r="C24" s="3" t="s">
        <v>240</v>
      </c>
      <c r="D24" s="3">
        <v>3</v>
      </c>
      <c r="E24" s="3">
        <v>3.47</v>
      </c>
      <c r="F24" s="3" t="s">
        <v>136</v>
      </c>
      <c r="G24" s="3" t="s">
        <v>81</v>
      </c>
      <c r="H24" s="6">
        <f t="shared" si="0"/>
        <v>0.15666666666666673</v>
      </c>
      <c r="I24" t="str">
        <f t="shared" si="1"/>
        <v>high risk</v>
      </c>
    </row>
    <row r="25" spans="1:9" hidden="1">
      <c r="A25" s="2" t="s">
        <v>259</v>
      </c>
      <c r="B25" s="2" t="s">
        <v>260</v>
      </c>
      <c r="C25" s="2" t="s">
        <v>240</v>
      </c>
      <c r="D25" s="2">
        <v>12</v>
      </c>
      <c r="E25" s="2">
        <v>13.76</v>
      </c>
      <c r="F25" s="2" t="s">
        <v>136</v>
      </c>
      <c r="G25" s="2" t="s">
        <v>81</v>
      </c>
      <c r="H25" s="6">
        <f t="shared" si="0"/>
        <v>0.14666666666666664</v>
      </c>
      <c r="I25" t="str">
        <f t="shared" si="1"/>
        <v>Normal</v>
      </c>
    </row>
    <row r="26" spans="1:9" hidden="1">
      <c r="A26" s="3" t="s">
        <v>261</v>
      </c>
      <c r="B26" s="3" t="s">
        <v>233</v>
      </c>
      <c r="C26" s="3" t="s">
        <v>228</v>
      </c>
      <c r="D26" s="3">
        <v>120</v>
      </c>
      <c r="E26" s="3">
        <v>137.22</v>
      </c>
      <c r="F26" s="3" t="s">
        <v>99</v>
      </c>
      <c r="G26" s="3" t="s">
        <v>81</v>
      </c>
      <c r="H26" s="6">
        <f t="shared" si="0"/>
        <v>0.14349999999999999</v>
      </c>
      <c r="I26" t="str">
        <f t="shared" si="1"/>
        <v>Normal</v>
      </c>
    </row>
    <row r="27" spans="1:9" hidden="1">
      <c r="A27" s="2" t="s">
        <v>262</v>
      </c>
      <c r="B27" s="2" t="s">
        <v>249</v>
      </c>
      <c r="C27" s="2" t="s">
        <v>228</v>
      </c>
      <c r="D27" s="2">
        <v>18</v>
      </c>
      <c r="E27" s="2">
        <v>20.57</v>
      </c>
      <c r="F27" s="2" t="s">
        <v>146</v>
      </c>
      <c r="G27" s="2" t="s">
        <v>111</v>
      </c>
      <c r="H27" s="6">
        <f t="shared" si="0"/>
        <v>0.14277777777777778</v>
      </c>
      <c r="I27" t="str">
        <f t="shared" si="1"/>
        <v>Normal</v>
      </c>
    </row>
    <row r="28" spans="1:9" hidden="1">
      <c r="A28" s="2" t="s">
        <v>263</v>
      </c>
      <c r="B28" s="2" t="s">
        <v>237</v>
      </c>
      <c r="C28" s="2" t="s">
        <v>238</v>
      </c>
      <c r="D28" s="2">
        <v>25</v>
      </c>
      <c r="E28" s="2">
        <v>28.55</v>
      </c>
      <c r="F28" s="2" t="s">
        <v>116</v>
      </c>
      <c r="G28" s="2" t="s">
        <v>81</v>
      </c>
      <c r="H28" s="6">
        <f t="shared" si="0"/>
        <v>0.14200000000000002</v>
      </c>
      <c r="I28" t="str">
        <f t="shared" si="1"/>
        <v>Normal</v>
      </c>
    </row>
    <row r="29" spans="1:9" hidden="1">
      <c r="A29" s="2" t="s">
        <v>247</v>
      </c>
      <c r="B29" s="2" t="s">
        <v>243</v>
      </c>
      <c r="C29" s="2" t="s">
        <v>244</v>
      </c>
      <c r="D29" s="2">
        <v>380</v>
      </c>
      <c r="E29" s="2">
        <v>433.83</v>
      </c>
      <c r="F29" s="2" t="s">
        <v>232</v>
      </c>
      <c r="G29" s="2" t="s">
        <v>95</v>
      </c>
      <c r="H29" s="6">
        <f t="shared" si="0"/>
        <v>0.14165789473684207</v>
      </c>
      <c r="I29" t="str">
        <f t="shared" si="1"/>
        <v>Normal</v>
      </c>
    </row>
    <row r="30" spans="1:9" hidden="1">
      <c r="A30" s="3" t="s">
        <v>265</v>
      </c>
      <c r="B30" s="3" t="s">
        <v>227</v>
      </c>
      <c r="C30" s="3" t="s">
        <v>228</v>
      </c>
      <c r="D30" s="3">
        <v>95</v>
      </c>
      <c r="E30" s="3">
        <v>108.33</v>
      </c>
      <c r="F30" s="3" t="s">
        <v>110</v>
      </c>
      <c r="G30" s="3" t="s">
        <v>111</v>
      </c>
      <c r="H30" s="6">
        <f t="shared" si="0"/>
        <v>0.1403157894736842</v>
      </c>
      <c r="I30" t="str">
        <f t="shared" si="1"/>
        <v>Normal</v>
      </c>
    </row>
    <row r="31" spans="1:9" hidden="1">
      <c r="A31" s="3" t="s">
        <v>254</v>
      </c>
      <c r="B31" s="3" t="s">
        <v>239</v>
      </c>
      <c r="C31" s="3" t="s">
        <v>240</v>
      </c>
      <c r="D31" s="3">
        <v>8</v>
      </c>
      <c r="E31" s="3">
        <v>9.1199999999999992</v>
      </c>
      <c r="F31" s="3" t="s">
        <v>106</v>
      </c>
      <c r="G31" s="3" t="s">
        <v>95</v>
      </c>
      <c r="H31" s="6">
        <f t="shared" si="0"/>
        <v>0.1399999999999999</v>
      </c>
      <c r="I31" t="str">
        <f t="shared" si="1"/>
        <v>Normal</v>
      </c>
    </row>
    <row r="32" spans="1:9" hidden="1">
      <c r="A32" s="3" t="s">
        <v>226</v>
      </c>
      <c r="B32" s="3" t="s">
        <v>229</v>
      </c>
      <c r="C32" s="3" t="s">
        <v>230</v>
      </c>
      <c r="D32" s="3">
        <v>85</v>
      </c>
      <c r="E32" s="3">
        <v>96.77</v>
      </c>
      <c r="F32" s="3" t="s">
        <v>208</v>
      </c>
      <c r="G32" s="3" t="s">
        <v>111</v>
      </c>
      <c r="H32" s="6">
        <f t="shared" si="0"/>
        <v>0.13847058823529407</v>
      </c>
      <c r="I32" t="str">
        <f t="shared" si="1"/>
        <v>Normal</v>
      </c>
    </row>
    <row r="33" spans="1:9" hidden="1">
      <c r="A33" s="3" t="s">
        <v>263</v>
      </c>
      <c r="B33" s="3" t="s">
        <v>234</v>
      </c>
      <c r="C33" s="3" t="s">
        <v>235</v>
      </c>
      <c r="D33" s="3">
        <v>45</v>
      </c>
      <c r="E33" s="3">
        <v>51.18</v>
      </c>
      <c r="F33" s="3" t="s">
        <v>232</v>
      </c>
      <c r="G33" s="3" t="s">
        <v>95</v>
      </c>
      <c r="H33" s="6">
        <f t="shared" si="0"/>
        <v>0.13733333333333334</v>
      </c>
      <c r="I33" t="str">
        <f t="shared" si="1"/>
        <v>Normal</v>
      </c>
    </row>
    <row r="34" spans="1:9" hidden="1">
      <c r="A34" s="3" t="s">
        <v>242</v>
      </c>
      <c r="B34" s="3" t="s">
        <v>227</v>
      </c>
      <c r="C34" s="3" t="s">
        <v>228</v>
      </c>
      <c r="D34" s="3">
        <v>95</v>
      </c>
      <c r="E34" s="3">
        <v>108.01</v>
      </c>
      <c r="F34" s="3" t="s">
        <v>143</v>
      </c>
      <c r="G34" s="3" t="s">
        <v>111</v>
      </c>
      <c r="H34" s="6">
        <f t="shared" si="0"/>
        <v>0.13694736842105268</v>
      </c>
      <c r="I34" t="str">
        <f t="shared" si="1"/>
        <v>Normal</v>
      </c>
    </row>
    <row r="35" spans="1:9" hidden="1">
      <c r="A35" s="2" t="s">
        <v>252</v>
      </c>
      <c r="B35" s="2" t="s">
        <v>234</v>
      </c>
      <c r="C35" s="2" t="s">
        <v>235</v>
      </c>
      <c r="D35" s="2">
        <v>45</v>
      </c>
      <c r="E35" s="2">
        <v>50.86</v>
      </c>
      <c r="F35" s="2" t="s">
        <v>173</v>
      </c>
      <c r="G35" s="2" t="s">
        <v>95</v>
      </c>
      <c r="H35" s="6">
        <f t="shared" si="0"/>
        <v>0.13022222222222221</v>
      </c>
      <c r="I35" t="str">
        <f t="shared" si="1"/>
        <v>Normal</v>
      </c>
    </row>
    <row r="36" spans="1:9" hidden="1">
      <c r="A36" s="2" t="s">
        <v>242</v>
      </c>
      <c r="B36" s="2" t="s">
        <v>245</v>
      </c>
      <c r="C36" s="2" t="s">
        <v>230</v>
      </c>
      <c r="D36" s="2">
        <v>950</v>
      </c>
      <c r="E36" s="2">
        <v>1068.18</v>
      </c>
      <c r="F36" s="2" t="s">
        <v>94</v>
      </c>
      <c r="G36" s="2" t="s">
        <v>95</v>
      </c>
      <c r="H36" s="6">
        <f t="shared" si="0"/>
        <v>0.12440000000000007</v>
      </c>
      <c r="I36" t="str">
        <f t="shared" si="1"/>
        <v>Normal</v>
      </c>
    </row>
    <row r="37" spans="1:9">
      <c r="A37" s="2" t="s">
        <v>248</v>
      </c>
      <c r="B37" s="2" t="s">
        <v>250</v>
      </c>
      <c r="C37" s="2" t="s">
        <v>238</v>
      </c>
      <c r="D37" s="2">
        <v>75</v>
      </c>
      <c r="E37" s="2">
        <v>84.14</v>
      </c>
      <c r="F37" s="2" t="s">
        <v>146</v>
      </c>
      <c r="G37" s="2" t="s">
        <v>111</v>
      </c>
      <c r="H37" s="6">
        <f t="shared" ref="H37:H68" si="2">(E37-D37)/D37</f>
        <v>0.12186666666666668</v>
      </c>
      <c r="I37" t="str">
        <f t="shared" ref="I37:I68" si="3">IF(H37&gt;15%,"high risk", "Normal")</f>
        <v>Normal</v>
      </c>
    </row>
    <row r="38" spans="1:9" hidden="1">
      <c r="A38" s="3" t="s">
        <v>236</v>
      </c>
      <c r="B38" s="3" t="s">
        <v>229</v>
      </c>
      <c r="C38" s="3" t="s">
        <v>230</v>
      </c>
      <c r="D38" s="3">
        <v>85</v>
      </c>
      <c r="E38" s="3">
        <v>94.59</v>
      </c>
      <c r="F38" s="3" t="s">
        <v>146</v>
      </c>
      <c r="G38" s="3" t="s">
        <v>111</v>
      </c>
      <c r="H38" s="6">
        <f t="shared" si="2"/>
        <v>0.11282352941176474</v>
      </c>
      <c r="I38" t="str">
        <f t="shared" si="3"/>
        <v>Normal</v>
      </c>
    </row>
    <row r="39" spans="1:9" hidden="1">
      <c r="A39" s="2" t="s">
        <v>253</v>
      </c>
      <c r="B39" s="2" t="s">
        <v>249</v>
      </c>
      <c r="C39" s="2" t="s">
        <v>228</v>
      </c>
      <c r="D39" s="2">
        <v>18</v>
      </c>
      <c r="E39" s="2">
        <v>20.02</v>
      </c>
      <c r="F39" s="2" t="s">
        <v>149</v>
      </c>
      <c r="G39" s="2" t="s">
        <v>81</v>
      </c>
      <c r="H39" s="6">
        <f t="shared" si="2"/>
        <v>0.1122222222222222</v>
      </c>
      <c r="I39" t="str">
        <f t="shared" si="3"/>
        <v>Normal</v>
      </c>
    </row>
    <row r="40" spans="1:9" hidden="1">
      <c r="A40" s="2" t="s">
        <v>226</v>
      </c>
      <c r="B40" s="2" t="s">
        <v>234</v>
      </c>
      <c r="C40" s="2" t="s">
        <v>235</v>
      </c>
      <c r="D40" s="2">
        <v>45</v>
      </c>
      <c r="E40" s="2">
        <v>50</v>
      </c>
      <c r="F40" s="2" t="s">
        <v>110</v>
      </c>
      <c r="G40" s="2" t="s">
        <v>111</v>
      </c>
      <c r="H40" s="6">
        <f t="shared" si="2"/>
        <v>0.1111111111111111</v>
      </c>
      <c r="I40" t="str">
        <f t="shared" si="3"/>
        <v>Normal</v>
      </c>
    </row>
    <row r="41" spans="1:9">
      <c r="A41" s="3" t="s">
        <v>253</v>
      </c>
      <c r="B41" s="3" t="s">
        <v>250</v>
      </c>
      <c r="C41" s="3" t="s">
        <v>238</v>
      </c>
      <c r="D41" s="3">
        <v>75</v>
      </c>
      <c r="E41" s="3">
        <v>82.88</v>
      </c>
      <c r="F41" s="3" t="s">
        <v>80</v>
      </c>
      <c r="G41" s="3" t="s">
        <v>81</v>
      </c>
      <c r="H41" s="6">
        <f t="shared" si="2"/>
        <v>0.1050666666666666</v>
      </c>
      <c r="I41" t="str">
        <f t="shared" si="3"/>
        <v>Normal</v>
      </c>
    </row>
    <row r="42" spans="1:9" hidden="1">
      <c r="A42" s="3" t="s">
        <v>261</v>
      </c>
      <c r="B42" s="3" t="s">
        <v>243</v>
      </c>
      <c r="C42" s="3" t="s">
        <v>244</v>
      </c>
      <c r="D42" s="3">
        <v>380</v>
      </c>
      <c r="E42" s="3">
        <v>419.12</v>
      </c>
      <c r="F42" s="3" t="s">
        <v>136</v>
      </c>
      <c r="G42" s="3" t="s">
        <v>81</v>
      </c>
      <c r="H42" s="6">
        <f t="shared" si="2"/>
        <v>0.10294736842105265</v>
      </c>
      <c r="I42" t="str">
        <f t="shared" si="3"/>
        <v>Normal</v>
      </c>
    </row>
    <row r="43" spans="1:9" hidden="1">
      <c r="A43" s="3" t="s">
        <v>253</v>
      </c>
      <c r="B43" s="3" t="s">
        <v>234</v>
      </c>
      <c r="C43" s="3" t="s">
        <v>235</v>
      </c>
      <c r="D43" s="3">
        <v>45</v>
      </c>
      <c r="E43" s="3">
        <v>49.5</v>
      </c>
      <c r="F43" s="3" t="s">
        <v>106</v>
      </c>
      <c r="G43" s="3" t="s">
        <v>95</v>
      </c>
      <c r="H43" s="6">
        <f t="shared" si="2"/>
        <v>0.1</v>
      </c>
      <c r="I43" t="str">
        <f t="shared" si="3"/>
        <v>Normal</v>
      </c>
    </row>
    <row r="44" spans="1:9" hidden="1">
      <c r="A44" s="2" t="s">
        <v>242</v>
      </c>
      <c r="B44" s="2" t="s">
        <v>246</v>
      </c>
      <c r="C44" s="2" t="s">
        <v>230</v>
      </c>
      <c r="D44" s="2">
        <v>650</v>
      </c>
      <c r="E44" s="2">
        <v>710.14</v>
      </c>
      <c r="F44" s="2" t="s">
        <v>173</v>
      </c>
      <c r="G44" s="2" t="s">
        <v>95</v>
      </c>
      <c r="H44" s="6">
        <f t="shared" si="2"/>
        <v>9.2523076923076902E-2</v>
      </c>
      <c r="I44" t="str">
        <f t="shared" si="3"/>
        <v>Normal</v>
      </c>
    </row>
    <row r="45" spans="1:9" hidden="1">
      <c r="A45" s="2" t="s">
        <v>263</v>
      </c>
      <c r="B45" s="2" t="s">
        <v>255</v>
      </c>
      <c r="C45" s="2" t="s">
        <v>238</v>
      </c>
      <c r="D45" s="2">
        <v>22</v>
      </c>
      <c r="E45" s="2">
        <v>23.98</v>
      </c>
      <c r="F45" s="2" t="s">
        <v>103</v>
      </c>
      <c r="G45" s="2" t="s">
        <v>95</v>
      </c>
      <c r="H45" s="6">
        <f t="shared" si="2"/>
        <v>9.0000000000000024E-2</v>
      </c>
      <c r="I45" t="str">
        <f t="shared" si="3"/>
        <v>Normal</v>
      </c>
    </row>
    <row r="46" spans="1:9" hidden="1">
      <c r="A46" s="3" t="s">
        <v>261</v>
      </c>
      <c r="B46" s="3" t="s">
        <v>260</v>
      </c>
      <c r="C46" s="3" t="s">
        <v>240</v>
      </c>
      <c r="D46" s="3">
        <v>12</v>
      </c>
      <c r="E46" s="3">
        <v>13.05</v>
      </c>
      <c r="F46" s="3" t="s">
        <v>94</v>
      </c>
      <c r="G46" s="3" t="s">
        <v>95</v>
      </c>
      <c r="H46" s="6">
        <f t="shared" si="2"/>
        <v>8.7500000000000064E-2</v>
      </c>
      <c r="I46" t="str">
        <f t="shared" si="3"/>
        <v>Normal</v>
      </c>
    </row>
    <row r="47" spans="1:9" hidden="1">
      <c r="A47" s="3" t="s">
        <v>264</v>
      </c>
      <c r="B47" s="3" t="s">
        <v>234</v>
      </c>
      <c r="C47" s="3" t="s">
        <v>235</v>
      </c>
      <c r="D47" s="3">
        <v>45</v>
      </c>
      <c r="E47" s="3">
        <v>48.74</v>
      </c>
      <c r="F47" s="3" t="s">
        <v>116</v>
      </c>
      <c r="G47" s="3" t="s">
        <v>81</v>
      </c>
      <c r="H47" s="6">
        <f t="shared" si="2"/>
        <v>8.3111111111111149E-2</v>
      </c>
      <c r="I47" t="str">
        <f t="shared" si="3"/>
        <v>Normal</v>
      </c>
    </row>
    <row r="48" spans="1:9" hidden="1">
      <c r="A48" s="3" t="s">
        <v>262</v>
      </c>
      <c r="B48" s="3" t="s">
        <v>227</v>
      </c>
      <c r="C48" s="3" t="s">
        <v>228</v>
      </c>
      <c r="D48" s="3">
        <v>95</v>
      </c>
      <c r="E48" s="3">
        <v>101.98</v>
      </c>
      <c r="F48" s="3" t="s">
        <v>203</v>
      </c>
      <c r="G48" s="3" t="s">
        <v>95</v>
      </c>
      <c r="H48" s="6">
        <f t="shared" si="2"/>
        <v>7.3473684210526358E-2</v>
      </c>
      <c r="I48" t="str">
        <f t="shared" si="3"/>
        <v>Normal</v>
      </c>
    </row>
    <row r="49" spans="1:9" hidden="1">
      <c r="A49" s="2" t="s">
        <v>265</v>
      </c>
      <c r="B49" s="2" t="s">
        <v>255</v>
      </c>
      <c r="C49" s="2" t="s">
        <v>238</v>
      </c>
      <c r="D49" s="2">
        <v>22</v>
      </c>
      <c r="E49" s="2">
        <v>23.61</v>
      </c>
      <c r="F49" s="2" t="s">
        <v>110</v>
      </c>
      <c r="G49" s="2" t="s">
        <v>111</v>
      </c>
      <c r="H49" s="6">
        <f t="shared" si="2"/>
        <v>7.3181818181818153E-2</v>
      </c>
      <c r="I49" t="str">
        <f t="shared" si="3"/>
        <v>Normal</v>
      </c>
    </row>
    <row r="50" spans="1:9" hidden="1">
      <c r="A50" s="3" t="s">
        <v>247</v>
      </c>
      <c r="B50" s="3" t="s">
        <v>237</v>
      </c>
      <c r="C50" s="3" t="s">
        <v>238</v>
      </c>
      <c r="D50" s="3">
        <v>25</v>
      </c>
      <c r="E50" s="3">
        <v>26.77</v>
      </c>
      <c r="F50" s="3" t="s">
        <v>126</v>
      </c>
      <c r="G50" s="3" t="s">
        <v>81</v>
      </c>
      <c r="H50" s="6">
        <f t="shared" si="2"/>
        <v>7.0799999999999988E-2</v>
      </c>
      <c r="I50" t="str">
        <f t="shared" si="3"/>
        <v>Normal</v>
      </c>
    </row>
    <row r="51" spans="1:9" hidden="1">
      <c r="A51" s="2" t="s">
        <v>265</v>
      </c>
      <c r="B51" s="2" t="s">
        <v>246</v>
      </c>
      <c r="C51" s="2" t="s">
        <v>230</v>
      </c>
      <c r="D51" s="2">
        <v>650</v>
      </c>
      <c r="E51" s="2">
        <v>695.91</v>
      </c>
      <c r="F51" s="2" t="s">
        <v>203</v>
      </c>
      <c r="G51" s="2" t="s">
        <v>95</v>
      </c>
      <c r="H51" s="6">
        <f t="shared" si="2"/>
        <v>7.0630769230769178E-2</v>
      </c>
      <c r="I51" t="str">
        <f t="shared" si="3"/>
        <v>Normal</v>
      </c>
    </row>
    <row r="52" spans="1:9" hidden="1">
      <c r="A52" s="3" t="s">
        <v>264</v>
      </c>
      <c r="B52" s="3" t="s">
        <v>231</v>
      </c>
      <c r="C52" s="3" t="s">
        <v>228</v>
      </c>
      <c r="D52" s="3">
        <v>15</v>
      </c>
      <c r="E52" s="3">
        <v>16.05</v>
      </c>
      <c r="F52" s="3" t="s">
        <v>143</v>
      </c>
      <c r="G52" s="3" t="s">
        <v>111</v>
      </c>
      <c r="H52" s="6">
        <f t="shared" si="2"/>
        <v>7.0000000000000048E-2</v>
      </c>
      <c r="I52" t="str">
        <f t="shared" si="3"/>
        <v>Normal</v>
      </c>
    </row>
    <row r="53" spans="1:9" hidden="1">
      <c r="A53" s="3" t="s">
        <v>258</v>
      </c>
      <c r="B53" s="3" t="s">
        <v>229</v>
      </c>
      <c r="C53" s="3" t="s">
        <v>230</v>
      </c>
      <c r="D53" s="3">
        <v>85</v>
      </c>
      <c r="E53" s="3">
        <v>90.44</v>
      </c>
      <c r="F53" s="3" t="s">
        <v>146</v>
      </c>
      <c r="G53" s="3" t="s">
        <v>111</v>
      </c>
      <c r="H53" s="6">
        <f t="shared" si="2"/>
        <v>6.3999999999999974E-2</v>
      </c>
      <c r="I53" t="str">
        <f t="shared" si="3"/>
        <v>Normal</v>
      </c>
    </row>
    <row r="54" spans="1:9" hidden="1">
      <c r="A54" s="3" t="s">
        <v>253</v>
      </c>
      <c r="B54" s="3" t="s">
        <v>227</v>
      </c>
      <c r="C54" s="3" t="s">
        <v>228</v>
      </c>
      <c r="D54" s="3">
        <v>95</v>
      </c>
      <c r="E54" s="3">
        <v>100.87</v>
      </c>
      <c r="F54" s="3" t="s">
        <v>184</v>
      </c>
      <c r="G54" s="3" t="s">
        <v>81</v>
      </c>
      <c r="H54" s="6">
        <f t="shared" si="2"/>
        <v>6.1789473684210575E-2</v>
      </c>
      <c r="I54" t="str">
        <f t="shared" si="3"/>
        <v>Normal</v>
      </c>
    </row>
    <row r="55" spans="1:9" hidden="1">
      <c r="A55" s="2" t="s">
        <v>261</v>
      </c>
      <c r="B55" s="2" t="s">
        <v>246</v>
      </c>
      <c r="C55" s="2" t="s">
        <v>230</v>
      </c>
      <c r="D55" s="2">
        <v>650</v>
      </c>
      <c r="E55" s="2">
        <v>688.19</v>
      </c>
      <c r="F55" s="2" t="s">
        <v>120</v>
      </c>
      <c r="G55" s="2" t="s">
        <v>95</v>
      </c>
      <c r="H55" s="6">
        <f t="shared" si="2"/>
        <v>5.875384615384624E-2</v>
      </c>
      <c r="I55" t="str">
        <f t="shared" si="3"/>
        <v>Normal</v>
      </c>
    </row>
    <row r="56" spans="1:9" hidden="1">
      <c r="A56" s="2" t="s">
        <v>257</v>
      </c>
      <c r="B56" s="2" t="s">
        <v>245</v>
      </c>
      <c r="C56" s="2" t="s">
        <v>230</v>
      </c>
      <c r="D56" s="2">
        <v>950</v>
      </c>
      <c r="E56" s="2">
        <v>998.92</v>
      </c>
      <c r="F56" s="2" t="s">
        <v>173</v>
      </c>
      <c r="G56" s="2" t="s">
        <v>95</v>
      </c>
      <c r="H56" s="6">
        <f t="shared" si="2"/>
        <v>5.1494736842105218E-2</v>
      </c>
      <c r="I56" t="str">
        <f t="shared" si="3"/>
        <v>Normal</v>
      </c>
    </row>
    <row r="57" spans="1:9" hidden="1">
      <c r="A57" s="3" t="s">
        <v>256</v>
      </c>
      <c r="B57" s="3" t="s">
        <v>227</v>
      </c>
      <c r="C57" s="3" t="s">
        <v>228</v>
      </c>
      <c r="D57" s="3">
        <v>95</v>
      </c>
      <c r="E57" s="3">
        <v>99.39</v>
      </c>
      <c r="F57" s="3" t="s">
        <v>184</v>
      </c>
      <c r="G57" s="3" t="s">
        <v>81</v>
      </c>
      <c r="H57" s="6">
        <f t="shared" si="2"/>
        <v>4.621052631578948E-2</v>
      </c>
      <c r="I57" t="str">
        <f t="shared" si="3"/>
        <v>Normal</v>
      </c>
    </row>
    <row r="58" spans="1:9" hidden="1">
      <c r="A58" s="3" t="s">
        <v>259</v>
      </c>
      <c r="B58" s="3" t="s">
        <v>245</v>
      </c>
      <c r="C58" s="3" t="s">
        <v>230</v>
      </c>
      <c r="D58" s="3">
        <v>950</v>
      </c>
      <c r="E58" s="3">
        <v>988.18</v>
      </c>
      <c r="F58" s="3" t="s">
        <v>126</v>
      </c>
      <c r="G58" s="3" t="s">
        <v>81</v>
      </c>
      <c r="H58" s="6">
        <f t="shared" si="2"/>
        <v>4.0189473684210476E-2</v>
      </c>
      <c r="I58" t="str">
        <f t="shared" si="3"/>
        <v>Normal</v>
      </c>
    </row>
    <row r="59" spans="1:9" hidden="1">
      <c r="A59" s="2" t="s">
        <v>257</v>
      </c>
      <c r="B59" s="2" t="s">
        <v>241</v>
      </c>
      <c r="C59" s="2" t="s">
        <v>240</v>
      </c>
      <c r="D59" s="2">
        <v>3</v>
      </c>
      <c r="E59" s="2">
        <v>3.11</v>
      </c>
      <c r="F59" s="2" t="s">
        <v>116</v>
      </c>
      <c r="G59" s="2" t="s">
        <v>81</v>
      </c>
      <c r="H59" s="6">
        <f t="shared" si="2"/>
        <v>3.6666666666666625E-2</v>
      </c>
      <c r="I59" t="str">
        <f t="shared" si="3"/>
        <v>Normal</v>
      </c>
    </row>
    <row r="60" spans="1:9" hidden="1">
      <c r="A60" s="2" t="s">
        <v>257</v>
      </c>
      <c r="B60" s="2" t="s">
        <v>231</v>
      </c>
      <c r="C60" s="2" t="s">
        <v>228</v>
      </c>
      <c r="D60" s="2">
        <v>15</v>
      </c>
      <c r="E60" s="2">
        <v>15.54</v>
      </c>
      <c r="F60" s="2" t="s">
        <v>146</v>
      </c>
      <c r="G60" s="2" t="s">
        <v>111</v>
      </c>
      <c r="H60" s="6">
        <f t="shared" si="2"/>
        <v>3.5999999999999942E-2</v>
      </c>
      <c r="I60" t="str">
        <f t="shared" si="3"/>
        <v>Normal</v>
      </c>
    </row>
    <row r="61" spans="1:9" hidden="1">
      <c r="A61" s="2" t="s">
        <v>258</v>
      </c>
      <c r="B61" s="2" t="s">
        <v>239</v>
      </c>
      <c r="C61" s="2" t="s">
        <v>240</v>
      </c>
      <c r="D61" s="2">
        <v>8</v>
      </c>
      <c r="E61" s="2">
        <v>8.27</v>
      </c>
      <c r="F61" s="2" t="s">
        <v>103</v>
      </c>
      <c r="G61" s="2" t="s">
        <v>95</v>
      </c>
      <c r="H61" s="6">
        <f t="shared" si="2"/>
        <v>3.3749999999999947E-2</v>
      </c>
      <c r="I61" t="str">
        <f t="shared" si="3"/>
        <v>Normal</v>
      </c>
    </row>
    <row r="62" spans="1:9" hidden="1">
      <c r="A62" s="2" t="s">
        <v>261</v>
      </c>
      <c r="B62" s="2" t="s">
        <v>239</v>
      </c>
      <c r="C62" s="2" t="s">
        <v>240</v>
      </c>
      <c r="D62" s="2">
        <v>8</v>
      </c>
      <c r="E62" s="2">
        <v>8.2200000000000006</v>
      </c>
      <c r="F62" s="2" t="s">
        <v>232</v>
      </c>
      <c r="G62" s="2" t="s">
        <v>95</v>
      </c>
      <c r="H62" s="6">
        <f t="shared" si="2"/>
        <v>2.750000000000008E-2</v>
      </c>
      <c r="I62" t="str">
        <f t="shared" si="3"/>
        <v>Normal</v>
      </c>
    </row>
    <row r="63" spans="1:9" hidden="1">
      <c r="A63" s="3" t="s">
        <v>262</v>
      </c>
      <c r="B63" s="3" t="s">
        <v>231</v>
      </c>
      <c r="C63" s="3" t="s">
        <v>228</v>
      </c>
      <c r="D63" s="3">
        <v>15</v>
      </c>
      <c r="E63" s="3">
        <v>15.22</v>
      </c>
      <c r="F63" s="3" t="s">
        <v>94</v>
      </c>
      <c r="G63" s="3" t="s">
        <v>95</v>
      </c>
      <c r="H63" s="6">
        <f t="shared" si="2"/>
        <v>1.466666666666671E-2</v>
      </c>
      <c r="I63" t="str">
        <f t="shared" si="3"/>
        <v>Normal</v>
      </c>
    </row>
    <row r="64" spans="1:9" hidden="1">
      <c r="A64" s="2" t="s">
        <v>226</v>
      </c>
      <c r="B64" s="2" t="s">
        <v>227</v>
      </c>
      <c r="C64" s="2" t="s">
        <v>228</v>
      </c>
      <c r="D64" s="2">
        <v>95</v>
      </c>
      <c r="E64" s="2">
        <v>96.34</v>
      </c>
      <c r="F64" s="2" t="s">
        <v>110</v>
      </c>
      <c r="G64" s="2" t="s">
        <v>111</v>
      </c>
      <c r="H64" s="6">
        <f t="shared" si="2"/>
        <v>1.4105263157894773E-2</v>
      </c>
      <c r="I64" t="str">
        <f t="shared" si="3"/>
        <v>Normal</v>
      </c>
    </row>
    <row r="65" spans="1:9" hidden="1">
      <c r="A65" s="2" t="s">
        <v>248</v>
      </c>
      <c r="B65" s="2" t="s">
        <v>231</v>
      </c>
      <c r="C65" s="2" t="s">
        <v>228</v>
      </c>
      <c r="D65" s="2">
        <v>15</v>
      </c>
      <c r="E65" s="2">
        <v>15.21</v>
      </c>
      <c r="F65" s="2" t="s">
        <v>203</v>
      </c>
      <c r="G65" s="2" t="s">
        <v>95</v>
      </c>
      <c r="H65" s="6">
        <f t="shared" si="2"/>
        <v>1.4000000000000058E-2</v>
      </c>
      <c r="I65" t="str">
        <f t="shared" si="3"/>
        <v>Normal</v>
      </c>
    </row>
    <row r="66" spans="1:9" hidden="1">
      <c r="A66" s="2" t="s">
        <v>251</v>
      </c>
      <c r="B66" s="2" t="s">
        <v>233</v>
      </c>
      <c r="C66" s="2" t="s">
        <v>228</v>
      </c>
      <c r="D66" s="2">
        <v>120</v>
      </c>
      <c r="E66" s="2">
        <v>121.18</v>
      </c>
      <c r="F66" s="2" t="s">
        <v>136</v>
      </c>
      <c r="G66" s="2" t="s">
        <v>81</v>
      </c>
      <c r="H66" s="6">
        <f t="shared" si="2"/>
        <v>9.8333333333333901E-3</v>
      </c>
      <c r="I66" t="str">
        <f t="shared" si="3"/>
        <v>Normal</v>
      </c>
    </row>
    <row r="67" spans="1:9" hidden="1">
      <c r="A67" s="2" t="s">
        <v>256</v>
      </c>
      <c r="B67" s="2" t="s">
        <v>231</v>
      </c>
      <c r="C67" s="2" t="s">
        <v>228</v>
      </c>
      <c r="D67" s="2">
        <v>15</v>
      </c>
      <c r="E67" s="2">
        <v>15.12</v>
      </c>
      <c r="F67" s="2" t="s">
        <v>80</v>
      </c>
      <c r="G67" s="2" t="s">
        <v>81</v>
      </c>
      <c r="H67" s="6">
        <f t="shared" si="2"/>
        <v>7.9999999999999481E-3</v>
      </c>
      <c r="I67" t="str">
        <f t="shared" si="3"/>
        <v>Normal</v>
      </c>
    </row>
    <row r="68" spans="1:9" hidden="1">
      <c r="A68" s="3" t="s">
        <v>247</v>
      </c>
      <c r="B68" s="3" t="s">
        <v>245</v>
      </c>
      <c r="C68" s="3" t="s">
        <v>230</v>
      </c>
      <c r="D68" s="3">
        <v>950</v>
      </c>
      <c r="E68" s="3">
        <v>957.27</v>
      </c>
      <c r="F68" s="3" t="s">
        <v>149</v>
      </c>
      <c r="G68" s="3" t="s">
        <v>81</v>
      </c>
      <c r="H68" s="6">
        <f t="shared" si="2"/>
        <v>7.6526315789473493E-3</v>
      </c>
      <c r="I68" t="str">
        <f t="shared" si="3"/>
        <v>Normal</v>
      </c>
    </row>
    <row r="69" spans="1:9" hidden="1">
      <c r="A69" s="2" t="s">
        <v>251</v>
      </c>
      <c r="B69" s="2" t="s">
        <v>243</v>
      </c>
      <c r="C69" s="2" t="s">
        <v>244</v>
      </c>
      <c r="D69" s="2">
        <v>380</v>
      </c>
      <c r="E69" s="2">
        <v>382.76</v>
      </c>
      <c r="F69" s="2" t="s">
        <v>80</v>
      </c>
      <c r="G69" s="2" t="s">
        <v>81</v>
      </c>
      <c r="H69" s="6">
        <f t="shared" ref="H69:H94" si="4">(E69-D69)/D69</f>
        <v>7.2631578947368177E-3</v>
      </c>
      <c r="I69" t="str">
        <f t="shared" ref="I69:I94" si="5">IF(H69&gt;15%,"high risk", "Normal")</f>
        <v>Normal</v>
      </c>
    </row>
    <row r="70" spans="1:9" hidden="1">
      <c r="A70" s="3" t="s">
        <v>265</v>
      </c>
      <c r="B70" s="3" t="s">
        <v>241</v>
      </c>
      <c r="C70" s="3" t="s">
        <v>240</v>
      </c>
      <c r="D70" s="3">
        <v>3</v>
      </c>
      <c r="E70" s="3">
        <v>3.01</v>
      </c>
      <c r="F70" s="3" t="s">
        <v>80</v>
      </c>
      <c r="G70" s="3" t="s">
        <v>81</v>
      </c>
      <c r="H70" s="6">
        <f t="shared" si="4"/>
        <v>3.3333333333332624E-3</v>
      </c>
      <c r="I70" t="str">
        <f t="shared" si="5"/>
        <v>Normal</v>
      </c>
    </row>
    <row r="71" spans="1:9" hidden="1">
      <c r="A71" s="2" t="s">
        <v>252</v>
      </c>
      <c r="B71" s="2" t="s">
        <v>243</v>
      </c>
      <c r="C71" s="2" t="s">
        <v>244</v>
      </c>
      <c r="D71" s="2">
        <v>380</v>
      </c>
      <c r="E71" s="2">
        <v>381.09</v>
      </c>
      <c r="F71" s="2" t="s">
        <v>184</v>
      </c>
      <c r="G71" s="2" t="s">
        <v>81</v>
      </c>
      <c r="H71" s="6">
        <f t="shared" si="4"/>
        <v>2.8684210526315132E-3</v>
      </c>
      <c r="I71" t="str">
        <f t="shared" si="5"/>
        <v>Normal</v>
      </c>
    </row>
    <row r="72" spans="1:9" hidden="1">
      <c r="A72" s="3" t="s">
        <v>242</v>
      </c>
      <c r="B72" s="3" t="s">
        <v>241</v>
      </c>
      <c r="C72" s="3" t="s">
        <v>240</v>
      </c>
      <c r="D72" s="3">
        <v>3</v>
      </c>
      <c r="E72" s="3">
        <v>3</v>
      </c>
      <c r="F72" s="3" t="s">
        <v>184</v>
      </c>
      <c r="G72" s="3" t="s">
        <v>81</v>
      </c>
      <c r="H72" s="6">
        <f t="shared" si="4"/>
        <v>0</v>
      </c>
      <c r="I72" t="str">
        <f t="shared" si="5"/>
        <v>Normal</v>
      </c>
    </row>
    <row r="73" spans="1:9" hidden="1">
      <c r="A73" s="3" t="s">
        <v>257</v>
      </c>
      <c r="B73" s="3" t="s">
        <v>234</v>
      </c>
      <c r="C73" s="3" t="s">
        <v>235</v>
      </c>
      <c r="D73" s="3">
        <v>45</v>
      </c>
      <c r="E73" s="3">
        <v>44.71</v>
      </c>
      <c r="F73" s="3" t="s">
        <v>136</v>
      </c>
      <c r="G73" s="3" t="s">
        <v>81</v>
      </c>
      <c r="H73" s="6">
        <f t="shared" si="4"/>
        <v>-6.4444444444444254E-3</v>
      </c>
      <c r="I73" t="str">
        <f t="shared" si="5"/>
        <v>Normal</v>
      </c>
    </row>
    <row r="74" spans="1:9" hidden="1">
      <c r="A74" s="3" t="s">
        <v>265</v>
      </c>
      <c r="B74" s="3" t="s">
        <v>231</v>
      </c>
      <c r="C74" s="3" t="s">
        <v>228</v>
      </c>
      <c r="D74" s="3">
        <v>15</v>
      </c>
      <c r="E74" s="3">
        <v>14.88</v>
      </c>
      <c r="F74" s="3" t="s">
        <v>146</v>
      </c>
      <c r="G74" s="3" t="s">
        <v>111</v>
      </c>
      <c r="H74" s="6">
        <f t="shared" si="4"/>
        <v>-7.9999999999999481E-3</v>
      </c>
      <c r="I74" t="str">
        <f t="shared" si="5"/>
        <v>Normal</v>
      </c>
    </row>
    <row r="75" spans="1:9" hidden="1">
      <c r="A75" s="3" t="s">
        <v>226</v>
      </c>
      <c r="B75" s="3" t="s">
        <v>233</v>
      </c>
      <c r="C75" s="3" t="s">
        <v>228</v>
      </c>
      <c r="D75" s="3">
        <v>120</v>
      </c>
      <c r="E75" s="3">
        <v>119.02</v>
      </c>
      <c r="F75" s="3" t="s">
        <v>184</v>
      </c>
      <c r="G75" s="3" t="s">
        <v>81</v>
      </c>
      <c r="H75" s="6">
        <f t="shared" si="4"/>
        <v>-8.1666666666667005E-3</v>
      </c>
      <c r="I75" t="str">
        <f t="shared" si="5"/>
        <v>Normal</v>
      </c>
    </row>
    <row r="76" spans="1:9" hidden="1">
      <c r="A76" s="2" t="s">
        <v>254</v>
      </c>
      <c r="B76" s="2" t="s">
        <v>233</v>
      </c>
      <c r="C76" s="2" t="s">
        <v>228</v>
      </c>
      <c r="D76" s="2">
        <v>120</v>
      </c>
      <c r="E76" s="2">
        <v>118.72</v>
      </c>
      <c r="F76" s="2" t="s">
        <v>116</v>
      </c>
      <c r="G76" s="2" t="s">
        <v>81</v>
      </c>
      <c r="H76" s="6">
        <f t="shared" si="4"/>
        <v>-1.0666666666666677E-2</v>
      </c>
      <c r="I76" t="str">
        <f t="shared" si="5"/>
        <v>Normal</v>
      </c>
    </row>
    <row r="77" spans="1:9" hidden="1">
      <c r="A77" s="2" t="s">
        <v>264</v>
      </c>
      <c r="B77" s="2" t="s">
        <v>245</v>
      </c>
      <c r="C77" s="2" t="s">
        <v>230</v>
      </c>
      <c r="D77" s="2">
        <v>950</v>
      </c>
      <c r="E77" s="2">
        <v>934.96</v>
      </c>
      <c r="F77" s="2" t="s">
        <v>120</v>
      </c>
      <c r="G77" s="2" t="s">
        <v>95</v>
      </c>
      <c r="H77" s="6">
        <f t="shared" si="4"/>
        <v>-1.5831578947368384E-2</v>
      </c>
      <c r="I77" t="str">
        <f t="shared" si="5"/>
        <v>Normal</v>
      </c>
    </row>
    <row r="78" spans="1:9" hidden="1">
      <c r="A78" s="2" t="s">
        <v>258</v>
      </c>
      <c r="B78" s="2" t="s">
        <v>243</v>
      </c>
      <c r="C78" s="2" t="s">
        <v>244</v>
      </c>
      <c r="D78" s="2">
        <v>380</v>
      </c>
      <c r="E78" s="2">
        <v>371.99</v>
      </c>
      <c r="F78" s="2" t="s">
        <v>173</v>
      </c>
      <c r="G78" s="2" t="s">
        <v>95</v>
      </c>
      <c r="H78" s="6">
        <f t="shared" si="4"/>
        <v>-2.1078947368421027E-2</v>
      </c>
      <c r="I78" t="str">
        <f t="shared" si="5"/>
        <v>Normal</v>
      </c>
    </row>
    <row r="79" spans="1:9" hidden="1">
      <c r="A79" s="3" t="s">
        <v>236</v>
      </c>
      <c r="B79" s="3" t="s">
        <v>239</v>
      </c>
      <c r="C79" s="3" t="s">
        <v>240</v>
      </c>
      <c r="D79" s="3">
        <v>8</v>
      </c>
      <c r="E79" s="3">
        <v>7.78</v>
      </c>
      <c r="F79" s="3" t="s">
        <v>146</v>
      </c>
      <c r="G79" s="3" t="s">
        <v>111</v>
      </c>
      <c r="H79" s="6">
        <f t="shared" si="4"/>
        <v>-2.7499999999999969E-2</v>
      </c>
      <c r="I79" t="str">
        <f t="shared" si="5"/>
        <v>Normal</v>
      </c>
    </row>
    <row r="80" spans="1:9" hidden="1">
      <c r="A80" s="2" t="s">
        <v>226</v>
      </c>
      <c r="B80" s="2" t="s">
        <v>231</v>
      </c>
      <c r="C80" s="2" t="s">
        <v>228</v>
      </c>
      <c r="D80" s="2">
        <v>15</v>
      </c>
      <c r="E80" s="2">
        <v>14.57</v>
      </c>
      <c r="F80" s="2" t="s">
        <v>232</v>
      </c>
      <c r="G80" s="2" t="s">
        <v>95</v>
      </c>
      <c r="H80" s="6">
        <f t="shared" si="4"/>
        <v>-2.8666666666666649E-2</v>
      </c>
      <c r="I80" t="str">
        <f t="shared" si="5"/>
        <v>Normal</v>
      </c>
    </row>
    <row r="81" spans="1:9" hidden="1">
      <c r="A81" s="2" t="s">
        <v>264</v>
      </c>
      <c r="B81" s="2" t="s">
        <v>260</v>
      </c>
      <c r="C81" s="2" t="s">
        <v>240</v>
      </c>
      <c r="D81" s="2">
        <v>12</v>
      </c>
      <c r="E81" s="2">
        <v>11.62</v>
      </c>
      <c r="F81" s="2" t="s">
        <v>88</v>
      </c>
      <c r="G81" s="2" t="s">
        <v>81</v>
      </c>
      <c r="H81" s="6">
        <f t="shared" si="4"/>
        <v>-3.1666666666666732E-2</v>
      </c>
      <c r="I81" t="str">
        <f t="shared" si="5"/>
        <v>Normal</v>
      </c>
    </row>
    <row r="82" spans="1:9" hidden="1">
      <c r="A82" s="3" t="s">
        <v>258</v>
      </c>
      <c r="B82" s="3" t="s">
        <v>227</v>
      </c>
      <c r="C82" s="3" t="s">
        <v>228</v>
      </c>
      <c r="D82" s="3">
        <v>95</v>
      </c>
      <c r="E82" s="3">
        <v>91.02</v>
      </c>
      <c r="F82" s="3" t="s">
        <v>173</v>
      </c>
      <c r="G82" s="3" t="s">
        <v>95</v>
      </c>
      <c r="H82" s="6">
        <f t="shared" si="4"/>
        <v>-4.1894736842105304E-2</v>
      </c>
      <c r="I82" t="str">
        <f t="shared" si="5"/>
        <v>Normal</v>
      </c>
    </row>
    <row r="83" spans="1:9" hidden="1">
      <c r="A83" s="3" t="s">
        <v>251</v>
      </c>
      <c r="B83" s="3" t="s">
        <v>229</v>
      </c>
      <c r="C83" s="3" t="s">
        <v>230</v>
      </c>
      <c r="D83" s="3">
        <v>85</v>
      </c>
      <c r="E83" s="3">
        <v>81.11</v>
      </c>
      <c r="F83" s="3" t="s">
        <v>149</v>
      </c>
      <c r="G83" s="3" t="s">
        <v>81</v>
      </c>
      <c r="H83" s="6">
        <f t="shared" si="4"/>
        <v>-4.576470588235295E-2</v>
      </c>
      <c r="I83" t="str">
        <f t="shared" si="5"/>
        <v>Normal</v>
      </c>
    </row>
    <row r="84" spans="1:9" hidden="1">
      <c r="A84" s="3" t="s">
        <v>252</v>
      </c>
      <c r="B84" s="3" t="s">
        <v>231</v>
      </c>
      <c r="C84" s="3" t="s">
        <v>228</v>
      </c>
      <c r="D84" s="3">
        <v>15</v>
      </c>
      <c r="E84" s="3">
        <v>14.26</v>
      </c>
      <c r="F84" s="3" t="s">
        <v>94</v>
      </c>
      <c r="G84" s="3" t="s">
        <v>95</v>
      </c>
      <c r="H84" s="6">
        <f t="shared" si="4"/>
        <v>-4.9333333333333347E-2</v>
      </c>
      <c r="I84" t="str">
        <f t="shared" si="5"/>
        <v>Normal</v>
      </c>
    </row>
    <row r="85" spans="1:9" hidden="1">
      <c r="A85" s="3" t="s">
        <v>263</v>
      </c>
      <c r="B85" s="3" t="s">
        <v>241</v>
      </c>
      <c r="C85" s="3" t="s">
        <v>240</v>
      </c>
      <c r="D85" s="3">
        <v>3</v>
      </c>
      <c r="E85" s="3">
        <v>2.85</v>
      </c>
      <c r="F85" s="3" t="s">
        <v>116</v>
      </c>
      <c r="G85" s="3" t="s">
        <v>81</v>
      </c>
      <c r="H85" s="6">
        <f t="shared" si="4"/>
        <v>-4.9999999999999968E-2</v>
      </c>
      <c r="I85" t="str">
        <f t="shared" si="5"/>
        <v>Normal</v>
      </c>
    </row>
    <row r="86" spans="1:9" hidden="1">
      <c r="A86" s="2" t="s">
        <v>236</v>
      </c>
      <c r="B86" s="2" t="s">
        <v>231</v>
      </c>
      <c r="C86" s="2" t="s">
        <v>228</v>
      </c>
      <c r="D86" s="2">
        <v>15</v>
      </c>
      <c r="E86" s="2">
        <v>14.2</v>
      </c>
      <c r="F86" s="2" t="s">
        <v>99</v>
      </c>
      <c r="G86" s="2" t="s">
        <v>81</v>
      </c>
      <c r="H86" s="6">
        <f t="shared" si="4"/>
        <v>-5.3333333333333378E-2</v>
      </c>
      <c r="I86" t="str">
        <f t="shared" si="5"/>
        <v>Normal</v>
      </c>
    </row>
    <row r="87" spans="1:9" hidden="1">
      <c r="A87" s="2" t="s">
        <v>253</v>
      </c>
      <c r="B87" s="2" t="s">
        <v>237</v>
      </c>
      <c r="C87" s="2" t="s">
        <v>238</v>
      </c>
      <c r="D87" s="2">
        <v>25</v>
      </c>
      <c r="E87" s="2">
        <v>23.62</v>
      </c>
      <c r="F87" s="2" t="s">
        <v>149</v>
      </c>
      <c r="G87" s="2" t="s">
        <v>81</v>
      </c>
      <c r="H87" s="6">
        <f t="shared" si="4"/>
        <v>-5.5199999999999957E-2</v>
      </c>
      <c r="I87" t="str">
        <f t="shared" si="5"/>
        <v>Normal</v>
      </c>
    </row>
    <row r="88" spans="1:9" hidden="1">
      <c r="A88" s="3" t="s">
        <v>236</v>
      </c>
      <c r="B88" s="3" t="s">
        <v>241</v>
      </c>
      <c r="C88" s="3" t="s">
        <v>240</v>
      </c>
      <c r="D88" s="3">
        <v>3</v>
      </c>
      <c r="E88" s="3">
        <v>2.83</v>
      </c>
      <c r="F88" s="3" t="s">
        <v>126</v>
      </c>
      <c r="G88" s="3" t="s">
        <v>81</v>
      </c>
      <c r="H88" s="6">
        <f t="shared" si="4"/>
        <v>-5.6666666666666643E-2</v>
      </c>
      <c r="I88" t="str">
        <f t="shared" si="5"/>
        <v>Normal</v>
      </c>
    </row>
    <row r="89" spans="1:9" hidden="1">
      <c r="A89" s="2" t="s">
        <v>259</v>
      </c>
      <c r="B89" s="2" t="s">
        <v>246</v>
      </c>
      <c r="C89" s="2" t="s">
        <v>230</v>
      </c>
      <c r="D89" s="2">
        <v>650</v>
      </c>
      <c r="E89" s="2">
        <v>607.52</v>
      </c>
      <c r="F89" s="2" t="s">
        <v>94</v>
      </c>
      <c r="G89" s="2" t="s">
        <v>95</v>
      </c>
      <c r="H89" s="6">
        <f t="shared" si="4"/>
        <v>-6.5353846153846179E-2</v>
      </c>
      <c r="I89" t="str">
        <f t="shared" si="5"/>
        <v>Normal</v>
      </c>
    </row>
    <row r="90" spans="1:9" hidden="1">
      <c r="A90" s="3" t="s">
        <v>258</v>
      </c>
      <c r="B90" s="3" t="s">
        <v>249</v>
      </c>
      <c r="C90" s="3" t="s">
        <v>228</v>
      </c>
      <c r="D90" s="3">
        <v>18</v>
      </c>
      <c r="E90" s="3">
        <v>16.79</v>
      </c>
      <c r="F90" s="3" t="s">
        <v>94</v>
      </c>
      <c r="G90" s="3" t="s">
        <v>95</v>
      </c>
      <c r="H90" s="6">
        <f t="shared" si="4"/>
        <v>-6.7222222222222267E-2</v>
      </c>
      <c r="I90" t="str">
        <f t="shared" si="5"/>
        <v>Normal</v>
      </c>
    </row>
    <row r="91" spans="1:9" hidden="1">
      <c r="A91" s="3" t="s">
        <v>256</v>
      </c>
      <c r="B91" s="3" t="s">
        <v>241</v>
      </c>
      <c r="C91" s="3" t="s">
        <v>240</v>
      </c>
      <c r="D91" s="3">
        <v>3</v>
      </c>
      <c r="E91" s="3">
        <v>2.78</v>
      </c>
      <c r="F91" s="3" t="s">
        <v>103</v>
      </c>
      <c r="G91" s="3" t="s">
        <v>95</v>
      </c>
      <c r="H91" s="6">
        <f t="shared" si="4"/>
        <v>-7.3333333333333403E-2</v>
      </c>
      <c r="I91" t="str">
        <f t="shared" si="5"/>
        <v>Normal</v>
      </c>
    </row>
    <row r="92" spans="1:9" hidden="1">
      <c r="A92" s="2" t="s">
        <v>247</v>
      </c>
      <c r="B92" s="2" t="s">
        <v>239</v>
      </c>
      <c r="C92" s="2" t="s">
        <v>240</v>
      </c>
      <c r="D92" s="2">
        <v>8</v>
      </c>
      <c r="E92" s="2">
        <v>7.38</v>
      </c>
      <c r="F92" s="2" t="s">
        <v>143</v>
      </c>
      <c r="G92" s="2" t="s">
        <v>111</v>
      </c>
      <c r="H92" s="6">
        <f t="shared" si="4"/>
        <v>-7.7500000000000013E-2</v>
      </c>
      <c r="I92" t="str">
        <f t="shared" si="5"/>
        <v>Normal</v>
      </c>
    </row>
    <row r="93" spans="1:9" hidden="1">
      <c r="A93" s="3" t="s">
        <v>252</v>
      </c>
      <c r="B93" s="3" t="s">
        <v>249</v>
      </c>
      <c r="C93" s="3" t="s">
        <v>228</v>
      </c>
      <c r="D93" s="3">
        <v>18</v>
      </c>
      <c r="E93" s="3">
        <v>16.579999999999998</v>
      </c>
      <c r="F93" s="3" t="s">
        <v>149</v>
      </c>
      <c r="G93" s="3" t="s">
        <v>81</v>
      </c>
      <c r="H93" s="6">
        <f t="shared" si="4"/>
        <v>-7.8888888888888981E-2</v>
      </c>
      <c r="I93" t="str">
        <f t="shared" si="5"/>
        <v>Normal</v>
      </c>
    </row>
    <row r="94" spans="1:9" hidden="1">
      <c r="A94" s="3" t="s">
        <v>259</v>
      </c>
      <c r="B94" s="3" t="s">
        <v>227</v>
      </c>
      <c r="C94" s="3" t="s">
        <v>228</v>
      </c>
      <c r="D94" s="3">
        <v>95</v>
      </c>
      <c r="E94" s="3">
        <v>87.45</v>
      </c>
      <c r="F94" s="3" t="s">
        <v>110</v>
      </c>
      <c r="G94" s="3" t="s">
        <v>111</v>
      </c>
      <c r="H94" s="6">
        <f t="shared" si="4"/>
        <v>-7.947368421052628E-2</v>
      </c>
      <c r="I94" t="str">
        <f t="shared" si="5"/>
        <v>Normal</v>
      </c>
    </row>
    <row r="96" spans="1:9" ht="15.6">
      <c r="A96" s="7" t="s">
        <v>209</v>
      </c>
    </row>
    <row r="97" spans="1:6">
      <c r="A97" s="96" t="s">
        <v>266</v>
      </c>
      <c r="B97" s="96"/>
      <c r="C97" s="96"/>
      <c r="D97" s="96"/>
      <c r="E97" s="96"/>
      <c r="F97" s="96"/>
    </row>
    <row r="98" spans="1:6">
      <c r="A98" s="96" t="s">
        <v>267</v>
      </c>
      <c r="B98" s="96"/>
      <c r="C98" s="96"/>
      <c r="D98" s="96"/>
      <c r="E98" s="96"/>
      <c r="F98" s="96"/>
    </row>
    <row r="99" spans="1:6">
      <c r="A99" s="96" t="s">
        <v>268</v>
      </c>
      <c r="B99" s="96"/>
      <c r="C99" s="96"/>
      <c r="D99" s="96"/>
      <c r="E99" s="96"/>
      <c r="F99" s="96"/>
    </row>
    <row r="100" spans="1:6">
      <c r="A100" s="96" t="s">
        <v>269</v>
      </c>
      <c r="B100" s="96"/>
      <c r="C100" s="96"/>
      <c r="D100" s="96"/>
      <c r="E100" s="96"/>
      <c r="F100" s="96"/>
    </row>
    <row r="101" spans="1:6">
      <c r="A101" s="96" t="s">
        <v>270</v>
      </c>
      <c r="B101" s="96"/>
      <c r="C101" s="96"/>
      <c r="D101" s="96"/>
      <c r="E101" s="96"/>
      <c r="F101" s="96"/>
    </row>
    <row r="102" spans="1:6">
      <c r="A102" s="96" t="s">
        <v>271</v>
      </c>
      <c r="B102" s="96"/>
      <c r="C102" s="96"/>
      <c r="D102" s="96"/>
      <c r="E102" s="96"/>
      <c r="F102" s="96"/>
    </row>
  </sheetData>
  <autoFilter ref="A4:I94" xr:uid="{00000000-0001-0000-0200-000000000000}">
    <filterColumn colId="1">
      <filters>
        <filter val="RMC M30"/>
      </filters>
    </filterColumn>
  </autoFilter>
  <sortState xmlns:xlrd2="http://schemas.microsoft.com/office/spreadsheetml/2017/richdata2" ref="A5:I94">
    <sortCondition descending="1" ref="H5:H94"/>
  </sortState>
  <mergeCells count="8">
    <mergeCell ref="A100:F100"/>
    <mergeCell ref="A101:F101"/>
    <mergeCell ref="A102:F102"/>
    <mergeCell ref="A1:G1"/>
    <mergeCell ref="A2:G2"/>
    <mergeCell ref="A97:F97"/>
    <mergeCell ref="A98:F98"/>
    <mergeCell ref="A99:F9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2FAF5-205F-4096-AADE-9C75CB81F172}">
  <dimension ref="A1:H141"/>
  <sheetViews>
    <sheetView topLeftCell="A127" workbookViewId="0">
      <selection activeCell="B144" sqref="B144"/>
    </sheetView>
  </sheetViews>
  <sheetFormatPr defaultRowHeight="14.4"/>
  <cols>
    <col min="1" max="1" width="10.77734375" bestFit="1" customWidth="1"/>
    <col min="2" max="2" width="27" bestFit="1" customWidth="1"/>
    <col min="3" max="3" width="16.109375" bestFit="1" customWidth="1"/>
    <col min="4" max="4" width="10.77734375" bestFit="1" customWidth="1"/>
    <col min="5" max="5" width="15.44140625" bestFit="1" customWidth="1"/>
    <col min="6" max="6" width="13.109375" bestFit="1" customWidth="1"/>
    <col min="7" max="7" width="10.77734375" bestFit="1" customWidth="1"/>
    <col min="8" max="8" width="8.6640625" bestFit="1" customWidth="1"/>
    <col min="9" max="9" width="16.21875" bestFit="1" customWidth="1"/>
    <col min="10" max="10" width="11.33203125" bestFit="1" customWidth="1"/>
    <col min="11" max="11" width="8.6640625" bestFit="1" customWidth="1"/>
    <col min="12" max="12" width="13.109375" bestFit="1" customWidth="1"/>
    <col min="13" max="13" width="7.77734375" bestFit="1" customWidth="1"/>
    <col min="14" max="14" width="13.88671875" bestFit="1" customWidth="1"/>
    <col min="15" max="15" width="13.21875" bestFit="1" customWidth="1"/>
    <col min="16" max="16" width="16.109375" bestFit="1" customWidth="1"/>
    <col min="17" max="17" width="23.44140625" bestFit="1" customWidth="1"/>
    <col min="18" max="18" width="10.77734375" bestFit="1" customWidth="1"/>
  </cols>
  <sheetData>
    <row r="1" spans="1:8">
      <c r="A1" s="135" t="s">
        <v>1256</v>
      </c>
      <c r="B1" s="135"/>
      <c r="C1" s="135"/>
      <c r="D1" s="135"/>
      <c r="E1" s="135"/>
      <c r="F1" s="135"/>
    </row>
    <row r="2" spans="1:8">
      <c r="A2" s="135"/>
      <c r="B2" s="135"/>
      <c r="C2" s="135"/>
      <c r="D2" s="135"/>
      <c r="E2" s="135"/>
      <c r="F2" s="135"/>
    </row>
    <row r="4" spans="1:8">
      <c r="A4" s="130" t="s">
        <v>1232</v>
      </c>
      <c r="B4" s="130"/>
    </row>
    <row r="5" spans="1:8">
      <c r="A5" s="130"/>
      <c r="B5" s="130"/>
    </row>
    <row r="7" spans="1:8">
      <c r="A7" s="11" t="s">
        <v>1255</v>
      </c>
      <c r="B7" t="s">
        <v>1254</v>
      </c>
    </row>
    <row r="8" spans="1:8">
      <c r="A8" s="12" t="s">
        <v>255</v>
      </c>
      <c r="B8" s="13">
        <v>0.14609090909090908</v>
      </c>
    </row>
    <row r="9" spans="1:8">
      <c r="A9" s="12" t="s">
        <v>233</v>
      </c>
      <c r="B9" s="13">
        <v>0.11697916666666666</v>
      </c>
    </row>
    <row r="10" spans="1:8">
      <c r="A10" s="12" t="s">
        <v>243</v>
      </c>
      <c r="B10" s="13">
        <v>7.7399122807017537E-2</v>
      </c>
    </row>
    <row r="11" spans="1:8">
      <c r="A11" s="12" t="s">
        <v>229</v>
      </c>
      <c r="B11" s="13">
        <v>0.11856862745098039</v>
      </c>
    </row>
    <row r="12" spans="1:8">
      <c r="A12" s="12" t="s">
        <v>239</v>
      </c>
      <c r="B12" s="13">
        <v>1.9249999999999989E-2</v>
      </c>
    </row>
    <row r="13" spans="1:8">
      <c r="A13" s="12" t="s">
        <v>227</v>
      </c>
      <c r="B13" s="13">
        <v>4.3934210526315805E-2</v>
      </c>
      <c r="C13" s="129" t="s">
        <v>1257</v>
      </c>
      <c r="D13" s="129"/>
      <c r="E13" s="129"/>
      <c r="F13" s="129"/>
      <c r="G13" s="129"/>
      <c r="H13" s="129"/>
    </row>
    <row r="14" spans="1:8">
      <c r="A14" s="12" t="s">
        <v>260</v>
      </c>
      <c r="B14" s="13">
        <v>9.9374999999999991E-2</v>
      </c>
      <c r="C14" s="129"/>
      <c r="D14" s="129"/>
      <c r="E14" s="129"/>
      <c r="F14" s="129"/>
      <c r="G14" s="129"/>
      <c r="H14" s="129"/>
    </row>
    <row r="15" spans="1:8">
      <c r="A15" s="12" t="s">
        <v>234</v>
      </c>
      <c r="B15" s="13">
        <v>9.2555555555555558E-2</v>
      </c>
    </row>
    <row r="16" spans="1:8">
      <c r="A16" s="12" t="s">
        <v>241</v>
      </c>
      <c r="B16" s="13">
        <v>3.0416666666666661E-2</v>
      </c>
    </row>
    <row r="17" spans="1:4">
      <c r="A17" s="12" t="s">
        <v>250</v>
      </c>
      <c r="B17" s="13">
        <v>0.14779999999999996</v>
      </c>
    </row>
    <row r="18" spans="1:4">
      <c r="A18" s="12" t="s">
        <v>237</v>
      </c>
      <c r="B18" s="13">
        <v>9.5199999999999993E-2</v>
      </c>
    </row>
    <row r="19" spans="1:4">
      <c r="A19" s="12" t="s">
        <v>245</v>
      </c>
      <c r="B19" s="13">
        <v>6.9677192982456157E-2</v>
      </c>
    </row>
    <row r="20" spans="1:4">
      <c r="A20" s="12" t="s">
        <v>249</v>
      </c>
      <c r="B20" s="13">
        <v>8.3611111111111081E-2</v>
      </c>
    </row>
    <row r="21" spans="1:4">
      <c r="A21" s="12" t="s">
        <v>246</v>
      </c>
      <c r="B21" s="13">
        <v>3.9138461538461539E-2</v>
      </c>
    </row>
    <row r="22" spans="1:4">
      <c r="A22" s="12" t="s">
        <v>231</v>
      </c>
      <c r="B22" s="13">
        <v>2.5200000000000011E-2</v>
      </c>
    </row>
    <row r="23" spans="1:4">
      <c r="A23" s="12" t="s">
        <v>1228</v>
      </c>
      <c r="B23" s="13">
        <v>7.5402982243647873E-2</v>
      </c>
    </row>
    <row r="26" spans="1:4">
      <c r="A26" s="130" t="s">
        <v>1233</v>
      </c>
      <c r="B26" s="130"/>
    </row>
    <row r="27" spans="1:4">
      <c r="A27" s="130"/>
      <c r="B27" s="130"/>
    </row>
    <row r="29" spans="1:4">
      <c r="A29" s="11" t="s">
        <v>1260</v>
      </c>
      <c r="B29" s="11" t="s">
        <v>1258</v>
      </c>
    </row>
    <row r="30" spans="1:4">
      <c r="A30" s="11" t="s">
        <v>1259</v>
      </c>
      <c r="B30" t="s">
        <v>229</v>
      </c>
      <c r="C30" t="s">
        <v>246</v>
      </c>
      <c r="D30" t="s">
        <v>1228</v>
      </c>
    </row>
    <row r="31" spans="1:4">
      <c r="A31" s="12" t="s">
        <v>226</v>
      </c>
      <c r="B31">
        <v>96.77</v>
      </c>
      <c r="C31">
        <v>1</v>
      </c>
      <c r="D31">
        <v>96.77</v>
      </c>
    </row>
    <row r="32" spans="1:4">
      <c r="A32" s="12" t="s">
        <v>236</v>
      </c>
      <c r="B32">
        <v>94.59</v>
      </c>
      <c r="C32">
        <v>1</v>
      </c>
      <c r="D32">
        <v>94.59</v>
      </c>
    </row>
    <row r="33" spans="1:7">
      <c r="A33" s="12" t="s">
        <v>242</v>
      </c>
      <c r="B33">
        <v>1</v>
      </c>
      <c r="C33">
        <v>710.14</v>
      </c>
      <c r="D33">
        <v>710.14</v>
      </c>
    </row>
    <row r="34" spans="1:7">
      <c r="A34" s="12" t="s">
        <v>251</v>
      </c>
      <c r="B34">
        <v>81.11</v>
      </c>
      <c r="C34">
        <v>1</v>
      </c>
      <c r="D34">
        <v>81.11</v>
      </c>
    </row>
    <row r="35" spans="1:7">
      <c r="A35" s="12" t="s">
        <v>254</v>
      </c>
      <c r="B35">
        <v>105.52</v>
      </c>
      <c r="C35">
        <v>1</v>
      </c>
      <c r="D35">
        <v>105.52</v>
      </c>
    </row>
    <row r="36" spans="1:7">
      <c r="A36" s="12" t="s">
        <v>258</v>
      </c>
      <c r="B36">
        <v>90.44</v>
      </c>
      <c r="C36">
        <v>1</v>
      </c>
      <c r="D36">
        <v>90.44</v>
      </c>
    </row>
    <row r="37" spans="1:7">
      <c r="A37" s="12" t="s">
        <v>259</v>
      </c>
      <c r="B37">
        <v>1</v>
      </c>
      <c r="C37">
        <v>607.52</v>
      </c>
      <c r="D37">
        <v>607.52</v>
      </c>
    </row>
    <row r="38" spans="1:7">
      <c r="A38" s="12" t="s">
        <v>261</v>
      </c>
      <c r="B38">
        <v>1</v>
      </c>
      <c r="C38">
        <v>688.19</v>
      </c>
      <c r="D38">
        <v>688.19</v>
      </c>
      <c r="E38" s="129" t="s">
        <v>1261</v>
      </c>
      <c r="F38" s="129"/>
      <c r="G38" s="129"/>
    </row>
    <row r="39" spans="1:7">
      <c r="A39" s="12" t="s">
        <v>264</v>
      </c>
      <c r="B39">
        <v>102.04</v>
      </c>
      <c r="C39">
        <v>1</v>
      </c>
      <c r="D39">
        <v>102.04</v>
      </c>
      <c r="E39" s="129"/>
      <c r="F39" s="129"/>
      <c r="G39" s="129"/>
    </row>
    <row r="40" spans="1:7">
      <c r="A40" s="12" t="s">
        <v>265</v>
      </c>
      <c r="B40">
        <v>1</v>
      </c>
      <c r="C40">
        <v>695.91</v>
      </c>
      <c r="D40">
        <v>695.91</v>
      </c>
      <c r="E40" s="129"/>
      <c r="F40" s="129"/>
      <c r="G40" s="129"/>
    </row>
    <row r="41" spans="1:7">
      <c r="A41" s="12" t="s">
        <v>1228</v>
      </c>
      <c r="B41">
        <v>95.078333333333333</v>
      </c>
      <c r="C41">
        <v>675.43999999999994</v>
      </c>
      <c r="D41">
        <v>327.22300000000001</v>
      </c>
      <c r="E41" s="129"/>
      <c r="F41" s="129"/>
      <c r="G41" s="129"/>
    </row>
    <row r="42" spans="1:7">
      <c r="E42" s="129"/>
      <c r="F42" s="129"/>
      <c r="G42" s="129"/>
    </row>
    <row r="59" spans="1:5">
      <c r="A59" s="130" t="s">
        <v>1239</v>
      </c>
    </row>
    <row r="60" spans="1:5">
      <c r="A60" s="130"/>
    </row>
    <row r="62" spans="1:5">
      <c r="A62" s="11" t="s">
        <v>71</v>
      </c>
      <c r="B62" t="s">
        <v>1262</v>
      </c>
    </row>
    <row r="63" spans="1:5" ht="14.4" customHeight="1">
      <c r="A63" s="12" t="s">
        <v>95</v>
      </c>
      <c r="B63" s="13">
        <v>9.2102807435095038E-2</v>
      </c>
      <c r="C63" s="129" t="s">
        <v>1263</v>
      </c>
      <c r="D63" s="129"/>
      <c r="E63" s="129"/>
    </row>
    <row r="64" spans="1:5">
      <c r="A64" s="12" t="s">
        <v>81</v>
      </c>
      <c r="B64" s="13">
        <v>9.7922415236652294E-2</v>
      </c>
      <c r="C64" s="129"/>
      <c r="D64" s="129"/>
      <c r="E64" s="129"/>
    </row>
    <row r="65" spans="1:5">
      <c r="A65" s="12" t="s">
        <v>111</v>
      </c>
      <c r="B65" s="13">
        <v>8.9924745734892925E-2</v>
      </c>
      <c r="C65" s="129"/>
      <c r="D65" s="129"/>
      <c r="E65" s="129"/>
    </row>
    <row r="66" spans="1:5">
      <c r="A66" s="12" t="s">
        <v>1228</v>
      </c>
      <c r="B66" s="13">
        <v>9.3298286898412255E-2</v>
      </c>
    </row>
    <row r="68" spans="1:5">
      <c r="A68" s="130" t="s">
        <v>1242</v>
      </c>
      <c r="B68" s="130"/>
    </row>
    <row r="69" spans="1:5">
      <c r="A69" s="130"/>
      <c r="B69" s="130"/>
    </row>
    <row r="72" spans="1:5">
      <c r="A72" s="11" t="s">
        <v>1227</v>
      </c>
      <c r="B72" t="s">
        <v>1265</v>
      </c>
    </row>
    <row r="73" spans="1:5">
      <c r="A73" s="12" t="s">
        <v>231</v>
      </c>
      <c r="B73" s="13">
        <v>0.2486666666666667</v>
      </c>
    </row>
    <row r="74" spans="1:5">
      <c r="A74" s="12" t="s">
        <v>229</v>
      </c>
      <c r="B74" s="13">
        <v>0.2414117647058823</v>
      </c>
    </row>
    <row r="75" spans="1:5" ht="14.4" customHeight="1">
      <c r="A75" s="12" t="s">
        <v>233</v>
      </c>
      <c r="B75" s="13">
        <v>0.23316666666666658</v>
      </c>
      <c r="C75" s="132" t="s">
        <v>1266</v>
      </c>
      <c r="D75" s="132"/>
      <c r="E75" s="132"/>
    </row>
    <row r="76" spans="1:5">
      <c r="A76" s="12" t="s">
        <v>243</v>
      </c>
      <c r="B76" s="13">
        <v>0.23073684210526318</v>
      </c>
      <c r="C76" s="132"/>
      <c r="D76" s="132"/>
      <c r="E76" s="132"/>
    </row>
    <row r="77" spans="1:5">
      <c r="A77" s="12" t="s">
        <v>249</v>
      </c>
      <c r="B77" s="13">
        <v>0.22777777777777786</v>
      </c>
      <c r="C77" s="132"/>
      <c r="D77" s="132"/>
      <c r="E77" s="132"/>
    </row>
    <row r="78" spans="1:5">
      <c r="A78" s="12" t="s">
        <v>241</v>
      </c>
      <c r="B78" s="13">
        <v>0.22666666666666671</v>
      </c>
      <c r="C78" s="132"/>
      <c r="D78" s="132"/>
      <c r="E78" s="132"/>
    </row>
    <row r="79" spans="1:5">
      <c r="A79" s="12" t="s">
        <v>237</v>
      </c>
      <c r="B79" s="13">
        <v>0.22319999999999993</v>
      </c>
      <c r="C79" s="132"/>
      <c r="D79" s="132"/>
      <c r="E79" s="132"/>
    </row>
    <row r="80" spans="1:5">
      <c r="A80" s="12" t="s">
        <v>245</v>
      </c>
      <c r="B80" s="13">
        <v>0.21015789473684221</v>
      </c>
      <c r="C80" s="132"/>
      <c r="D80" s="132"/>
      <c r="E80" s="132"/>
    </row>
    <row r="81" spans="1:2">
      <c r="A81" s="12" t="s">
        <v>255</v>
      </c>
      <c r="B81" s="13">
        <v>0.20545454545454545</v>
      </c>
    </row>
    <row r="82" spans="1:2">
      <c r="A82" s="12" t="s">
        <v>260</v>
      </c>
      <c r="B82" s="13">
        <v>0.19499999999999998</v>
      </c>
    </row>
    <row r="83" spans="1:2">
      <c r="A83" s="12" t="s">
        <v>250</v>
      </c>
      <c r="B83" s="13">
        <v>0.18613333333333326</v>
      </c>
    </row>
    <row r="84" spans="1:2">
      <c r="A84" s="12" t="s">
        <v>227</v>
      </c>
      <c r="B84" s="13">
        <v>0.1403157894736842</v>
      </c>
    </row>
    <row r="85" spans="1:2">
      <c r="A85" s="12" t="s">
        <v>239</v>
      </c>
      <c r="B85" s="13">
        <v>0.1399999999999999</v>
      </c>
    </row>
    <row r="86" spans="1:2">
      <c r="A86" s="12" t="s">
        <v>234</v>
      </c>
      <c r="B86" s="13">
        <v>0.13733333333333334</v>
      </c>
    </row>
    <row r="87" spans="1:2">
      <c r="A87" s="12" t="s">
        <v>246</v>
      </c>
      <c r="B87" s="13">
        <v>9.2523076923076902E-2</v>
      </c>
    </row>
    <row r="88" spans="1:2">
      <c r="A88" s="12" t="s">
        <v>1228</v>
      </c>
      <c r="B88" s="13">
        <v>0.2486666666666667</v>
      </c>
    </row>
    <row r="90" spans="1:2">
      <c r="A90" s="130" t="s">
        <v>1245</v>
      </c>
    </row>
    <row r="91" spans="1:2">
      <c r="A91" s="130"/>
    </row>
    <row r="93" spans="1:2">
      <c r="A93" s="11" t="s">
        <v>1255</v>
      </c>
      <c r="B93" t="s">
        <v>1254</v>
      </c>
    </row>
    <row r="94" spans="1:2">
      <c r="A94" s="12" t="s">
        <v>250</v>
      </c>
      <c r="B94" s="13">
        <v>0.14779999999999999</v>
      </c>
    </row>
    <row r="95" spans="1:2">
      <c r="A95" s="12" t="s">
        <v>255</v>
      </c>
      <c r="B95" s="13">
        <v>0.14609090909090908</v>
      </c>
    </row>
    <row r="96" spans="1:2">
      <c r="A96" s="12" t="s">
        <v>229</v>
      </c>
      <c r="B96" s="13">
        <v>0.11856862745098039</v>
      </c>
    </row>
    <row r="97" spans="1:5" ht="14.4" customHeight="1">
      <c r="A97" s="12" t="s">
        <v>233</v>
      </c>
      <c r="B97" s="13">
        <v>0.11697916666666666</v>
      </c>
      <c r="C97" s="129" t="s">
        <v>1267</v>
      </c>
      <c r="D97" s="129"/>
      <c r="E97" s="129"/>
    </row>
    <row r="98" spans="1:5">
      <c r="A98" s="12" t="s">
        <v>260</v>
      </c>
      <c r="B98" s="13">
        <v>9.9374999999999991E-2</v>
      </c>
      <c r="C98" s="129"/>
      <c r="D98" s="129"/>
      <c r="E98" s="129"/>
    </row>
    <row r="99" spans="1:5">
      <c r="A99" s="12" t="s">
        <v>237</v>
      </c>
      <c r="B99" s="13">
        <v>9.5199999999999993E-2</v>
      </c>
      <c r="C99" s="129"/>
      <c r="D99" s="129"/>
      <c r="E99" s="129"/>
    </row>
    <row r="100" spans="1:5">
      <c r="A100" s="12" t="s">
        <v>234</v>
      </c>
      <c r="B100" s="13">
        <v>9.2555555555555558E-2</v>
      </c>
      <c r="C100" s="129"/>
      <c r="D100" s="129"/>
      <c r="E100" s="129"/>
    </row>
    <row r="101" spans="1:5">
      <c r="A101" s="12" t="s">
        <v>249</v>
      </c>
      <c r="B101" s="13">
        <v>8.3611111111111081E-2</v>
      </c>
      <c r="C101" s="129"/>
      <c r="D101" s="129"/>
      <c r="E101" s="129"/>
    </row>
    <row r="102" spans="1:5">
      <c r="A102" s="12" t="s">
        <v>243</v>
      </c>
      <c r="B102" s="13">
        <v>7.7399122807017537E-2</v>
      </c>
    </row>
    <row r="103" spans="1:5">
      <c r="A103" s="12" t="s">
        <v>245</v>
      </c>
      <c r="B103" s="13">
        <v>6.9677192982456157E-2</v>
      </c>
    </row>
    <row r="104" spans="1:5">
      <c r="A104" s="12" t="s">
        <v>227</v>
      </c>
      <c r="B104" s="13">
        <v>4.3934210526315812E-2</v>
      </c>
    </row>
    <row r="105" spans="1:5">
      <c r="A105" s="12" t="s">
        <v>246</v>
      </c>
      <c r="B105" s="13">
        <v>3.9138461538461539E-2</v>
      </c>
    </row>
    <row r="106" spans="1:5">
      <c r="A106" s="12" t="s">
        <v>241</v>
      </c>
      <c r="B106" s="13">
        <v>3.0416666666666654E-2</v>
      </c>
    </row>
    <row r="107" spans="1:5">
      <c r="A107" s="12" t="s">
        <v>231</v>
      </c>
      <c r="B107" s="13">
        <v>2.5200000000000007E-2</v>
      </c>
    </row>
    <row r="108" spans="1:5">
      <c r="A108" s="12" t="s">
        <v>239</v>
      </c>
      <c r="B108" s="13">
        <v>1.9249999999999989E-2</v>
      </c>
    </row>
    <row r="109" spans="1:5">
      <c r="A109" s="12" t="s">
        <v>1228</v>
      </c>
      <c r="B109" s="13">
        <v>7.5402982243647887E-2</v>
      </c>
    </row>
    <row r="111" spans="1:5">
      <c r="A111" s="127" t="s">
        <v>1247</v>
      </c>
    </row>
    <row r="112" spans="1:5">
      <c r="A112" s="127"/>
    </row>
    <row r="114" spans="1:5">
      <c r="A114" s="11" t="s">
        <v>1260</v>
      </c>
      <c r="B114" s="11" t="s">
        <v>1268</v>
      </c>
    </row>
    <row r="115" spans="1:5">
      <c r="A115" s="11" t="s">
        <v>219</v>
      </c>
      <c r="B115" t="s">
        <v>246</v>
      </c>
      <c r="C115" t="s">
        <v>1228</v>
      </c>
    </row>
    <row r="116" spans="1:5">
      <c r="A116" s="12" t="s">
        <v>242</v>
      </c>
      <c r="B116">
        <v>710.14</v>
      </c>
      <c r="C116">
        <v>710.14</v>
      </c>
    </row>
    <row r="117" spans="1:5">
      <c r="A117" s="12" t="s">
        <v>259</v>
      </c>
      <c r="B117">
        <v>607.52</v>
      </c>
      <c r="C117">
        <v>607.52</v>
      </c>
    </row>
    <row r="118" spans="1:5">
      <c r="A118" s="12" t="s">
        <v>261</v>
      </c>
      <c r="B118">
        <v>688.19</v>
      </c>
      <c r="C118">
        <v>688.19</v>
      </c>
    </row>
    <row r="119" spans="1:5">
      <c r="A119" s="12" t="s">
        <v>265</v>
      </c>
      <c r="B119">
        <v>695.91</v>
      </c>
      <c r="C119">
        <v>695.91</v>
      </c>
    </row>
    <row r="120" spans="1:5">
      <c r="A120" s="12" t="s">
        <v>1228</v>
      </c>
      <c r="B120">
        <v>675.43999999999994</v>
      </c>
      <c r="C120">
        <v>675.43999999999994</v>
      </c>
    </row>
    <row r="123" spans="1:5">
      <c r="A123" s="19" t="s">
        <v>1269</v>
      </c>
      <c r="B123" s="19" t="s">
        <v>1271</v>
      </c>
      <c r="C123" s="19" t="s">
        <v>1272</v>
      </c>
      <c r="D123" s="19" t="s">
        <v>1270</v>
      </c>
      <c r="E123" s="18"/>
    </row>
    <row r="124" spans="1:5">
      <c r="A124" s="18">
        <v>1</v>
      </c>
      <c r="B124" s="18" t="str">
        <f>TEXT(EDATE(DATE(2024,1,1),A124-1),"yyyy-mm")</f>
        <v>2024-01</v>
      </c>
      <c r="C124" s="18" t="str">
        <f>IFERROR(AVERAGEIFS('P02-MaterialPrice'!$E:$E,'P02-MaterialPrice'!$A:$A,B124,'P02-MaterialPrice'!$B:$B,"TMT Steel (Fe500)"),"")</f>
        <v/>
      </c>
      <c r="D124" s="18" cm="1">
        <f t="array" ref="D124">_xlfn.FORECAST.LINEAR(19,_xlfn._xlws.FILTER($C$124:$C$141,ISNUMBER($C$124:$C$141)),_xlfn._xlws.FILTER($A$124:$A$141,ISNUMBER($C$124:$C$141)))</f>
        <v>662.13426229508195</v>
      </c>
      <c r="E124" s="18"/>
    </row>
    <row r="125" spans="1:5">
      <c r="A125" s="18">
        <v>2</v>
      </c>
      <c r="B125" s="18" t="str">
        <f t="shared" ref="B125:B141" si="0">TEXT(EDATE(DATE(2024,1,1),A125-1),"yyyy-mm")</f>
        <v>2024-02</v>
      </c>
      <c r="C125" s="18" t="str">
        <f>IFERROR(AVERAGEIFS('P02-MaterialPrice'!$E:$E,'P02-MaterialPrice'!$A:$A,B125,'P02-MaterialPrice'!$B:$B,"TMT Steel (Fe500)"),"")</f>
        <v/>
      </c>
      <c r="D125" s="18" cm="1">
        <f t="array" ref="D125">_xlfn.FORECAST.LINEAR(A125+5,_xlfn._xlws.FILTER($C$124:$C$141,ISNUMBER($C$124:$C$141)),_xlfn._xlws.FILTER($A$124:$A$141,ISNUMBER($C$124:$C$141)))</f>
        <v>684.94409836065574</v>
      </c>
      <c r="E125" s="18"/>
    </row>
    <row r="126" spans="1:5">
      <c r="A126" s="18">
        <v>3</v>
      </c>
      <c r="B126" s="18" t="str">
        <f t="shared" si="0"/>
        <v>2024-03</v>
      </c>
      <c r="C126" s="18">
        <f>IFERROR(AVERAGEIFS('P02-MaterialPrice'!$E:$E,'P02-MaterialPrice'!$A:$A,B126,'P02-MaterialPrice'!$B:$B,"TMT Steel (Fe500)"),"")</f>
        <v>710.14</v>
      </c>
      <c r="D126" s="18" cm="1">
        <f t="array" ref="D126">_xlfn.FORECAST.LINEAR(21,_xlfn._xlws.FILTER($C$124:$C$141,ISNUMBER($C$124:$C$141)),_xlfn._xlws.FILTER($A$124:$A$141,ISNUMBER($C$124:$C$141)))</f>
        <v>658.33262295081965</v>
      </c>
      <c r="E126" s="18"/>
    </row>
    <row r="127" spans="1:5">
      <c r="A127" s="18">
        <v>4</v>
      </c>
      <c r="B127" s="18" t="str">
        <f t="shared" si="0"/>
        <v>2024-04</v>
      </c>
      <c r="C127" s="18" t="str">
        <f>IFERROR(AVERAGEIFS('P02-MaterialPrice'!$E:$E,'P02-MaterialPrice'!$A:$A,B127,'P02-MaterialPrice'!$B:$B,"TMT Steel (Fe500)"),"")</f>
        <v/>
      </c>
      <c r="D127" s="18"/>
      <c r="E127" s="18"/>
    </row>
    <row r="128" spans="1:5">
      <c r="A128" s="18">
        <v>5</v>
      </c>
      <c r="B128" s="18" t="str">
        <f t="shared" si="0"/>
        <v>2024-05</v>
      </c>
      <c r="C128" s="18" t="str">
        <f>IFERROR(AVERAGEIFS('P02-MaterialPrice'!$E:$E,'P02-MaterialPrice'!$A:$A,B128,'P02-MaterialPrice'!$B:$B,"TMT Steel (Fe500)"),"")</f>
        <v/>
      </c>
      <c r="D128" s="18"/>
      <c r="E128" s="18"/>
    </row>
    <row r="129" spans="1:7">
      <c r="A129" s="18">
        <v>6</v>
      </c>
      <c r="B129" s="18" t="str">
        <f t="shared" si="0"/>
        <v>2024-06</v>
      </c>
      <c r="C129" s="18" t="str">
        <f>IFERROR(AVERAGEIFS('P02-MaterialPrice'!$E:$E,'P02-MaterialPrice'!$A:$A,B129,'P02-MaterialPrice'!$B:$B,"TMT Steel (Fe500)"),"")</f>
        <v/>
      </c>
      <c r="D129" s="18"/>
      <c r="E129" s="18">
        <f>AVERAGE(D124:D126)*500</f>
        <v>334235.16393442621</v>
      </c>
    </row>
    <row r="130" spans="1:7">
      <c r="A130" s="18">
        <v>7</v>
      </c>
      <c r="B130" s="18" t="str">
        <f t="shared" si="0"/>
        <v>2024-07</v>
      </c>
      <c r="C130" s="18" t="str">
        <f>IFERROR(AVERAGEIFS('P02-MaterialPrice'!$E:$E,'P02-MaterialPrice'!$A:$A,B130,'P02-MaterialPrice'!$B:$B,"TMT Steel (Fe500)"),"")</f>
        <v/>
      </c>
      <c r="D130" s="18"/>
      <c r="E130" s="18"/>
    </row>
    <row r="131" spans="1:7">
      <c r="A131" s="18">
        <v>8</v>
      </c>
      <c r="B131" s="18" t="str">
        <f t="shared" si="0"/>
        <v>2024-08</v>
      </c>
      <c r="C131" s="18" t="str">
        <f>IFERROR(AVERAGEIFS('P02-MaterialPrice'!$E:$E,'P02-MaterialPrice'!$A:$A,B131,'P02-MaterialPrice'!$B:$B,"TMT Steel (Fe500)"),"")</f>
        <v/>
      </c>
      <c r="D131" s="18"/>
      <c r="E131" s="18"/>
    </row>
    <row r="132" spans="1:7">
      <c r="A132" s="18">
        <v>9</v>
      </c>
      <c r="B132" s="18" t="str">
        <f t="shared" si="0"/>
        <v>2024-09</v>
      </c>
      <c r="C132" s="18" t="str">
        <f>IFERROR(AVERAGEIFS('P02-MaterialPrice'!$E:$E,'P02-MaterialPrice'!$A:$A,B132,'P02-MaterialPrice'!$B:$B,"TMT Steel (Fe500)"),"")</f>
        <v/>
      </c>
      <c r="D132" s="18"/>
      <c r="E132" s="132" t="s">
        <v>1273</v>
      </c>
      <c r="F132" s="132"/>
      <c r="G132" s="132"/>
    </row>
    <row r="133" spans="1:7">
      <c r="A133" s="18">
        <v>10</v>
      </c>
      <c r="B133" s="18" t="str">
        <f t="shared" si="0"/>
        <v>2024-10</v>
      </c>
      <c r="C133" s="18" t="str">
        <f>IFERROR(AVERAGEIFS('P02-MaterialPrice'!$E:$E,'P02-MaterialPrice'!$A:$A,B133,'P02-MaterialPrice'!$B:$B,"TMT Steel (Fe500)"),"")</f>
        <v/>
      </c>
      <c r="D133" s="18"/>
      <c r="E133" s="132"/>
      <c r="F133" s="132"/>
      <c r="G133" s="132"/>
    </row>
    <row r="134" spans="1:7">
      <c r="A134" s="18">
        <v>11</v>
      </c>
      <c r="B134" s="18" t="str">
        <f t="shared" si="0"/>
        <v>2024-11</v>
      </c>
      <c r="C134" s="18" t="str">
        <f>IFERROR(AVERAGEIFS('P02-MaterialPrice'!$E:$E,'P02-MaterialPrice'!$A:$A,B134,'P02-MaterialPrice'!$B:$B,"TMT Steel (Fe500)"),"")</f>
        <v/>
      </c>
      <c r="D134" s="18"/>
      <c r="E134" s="132"/>
      <c r="F134" s="132"/>
      <c r="G134" s="132"/>
    </row>
    <row r="135" spans="1:7">
      <c r="A135" s="18">
        <v>12</v>
      </c>
      <c r="B135" s="18" t="str">
        <f t="shared" si="0"/>
        <v>2024-12</v>
      </c>
      <c r="C135" s="18" t="str">
        <f>IFERROR(AVERAGEIFS('P02-MaterialPrice'!$E:$E,'P02-MaterialPrice'!$A:$A,B135,'P02-MaterialPrice'!$B:$B,"TMT Steel (Fe500)"),"")</f>
        <v/>
      </c>
      <c r="D135" s="18"/>
      <c r="E135" s="132"/>
      <c r="F135" s="132"/>
      <c r="G135" s="132"/>
    </row>
    <row r="136" spans="1:7">
      <c r="A136" s="18">
        <v>13</v>
      </c>
      <c r="B136" s="18" t="str">
        <f t="shared" si="0"/>
        <v>2025-01</v>
      </c>
      <c r="C136" s="18">
        <f>IFERROR(AVERAGEIFS('P02-MaterialPrice'!$E:$E,'P02-MaterialPrice'!$A:$A,B136,'P02-MaterialPrice'!$B:$B,"TMT Steel (Fe500)"),"")</f>
        <v>607.52</v>
      </c>
      <c r="D136" s="18"/>
      <c r="E136" s="132"/>
      <c r="F136" s="132"/>
      <c r="G136" s="132"/>
    </row>
    <row r="137" spans="1:7">
      <c r="A137" s="18">
        <v>14</v>
      </c>
      <c r="B137" s="18" t="str">
        <f t="shared" si="0"/>
        <v>2025-02</v>
      </c>
      <c r="C137" s="18">
        <f>IFERROR(AVERAGEIFS('P02-MaterialPrice'!$E:$E,'P02-MaterialPrice'!$A:$A,B137,'P02-MaterialPrice'!$B:$B,"TMT Steel (Fe500)"),"")</f>
        <v>688.19</v>
      </c>
      <c r="D137" s="18"/>
      <c r="E137" s="132"/>
      <c r="F137" s="132"/>
      <c r="G137" s="132"/>
    </row>
    <row r="138" spans="1:7">
      <c r="A138" s="18">
        <v>15</v>
      </c>
      <c r="B138" s="18" t="str">
        <f t="shared" si="0"/>
        <v>2025-03</v>
      </c>
      <c r="C138" s="18" t="str">
        <f>IFERROR(AVERAGEIFS('P02-MaterialPrice'!$E:$E,'P02-MaterialPrice'!$A:$A,B138,'P02-MaterialPrice'!$B:$B,"TMT Steel (Fe500)"),"")</f>
        <v/>
      </c>
      <c r="D138" s="18"/>
      <c r="E138" s="132"/>
      <c r="F138" s="132"/>
      <c r="G138" s="132"/>
    </row>
    <row r="139" spans="1:7">
      <c r="A139" s="18">
        <v>16</v>
      </c>
      <c r="B139" s="18" t="str">
        <f t="shared" si="0"/>
        <v>2025-04</v>
      </c>
      <c r="C139" s="18" t="str">
        <f>IFERROR(AVERAGEIFS('P02-MaterialPrice'!$E:$E,'P02-MaterialPrice'!$A:$A,B139,'P02-MaterialPrice'!$B:$B,"TMT Steel (Fe500)"),"")</f>
        <v/>
      </c>
      <c r="D139" s="18"/>
      <c r="E139" s="132"/>
      <c r="F139" s="132"/>
      <c r="G139" s="132"/>
    </row>
    <row r="140" spans="1:7">
      <c r="A140" s="18">
        <v>17</v>
      </c>
      <c r="B140" s="18" t="str">
        <f t="shared" si="0"/>
        <v>2025-05</v>
      </c>
      <c r="C140" s="18" t="str">
        <f>IFERROR(AVERAGEIFS('P02-MaterialPrice'!$E:$E,'P02-MaterialPrice'!$A:$A,B140,'P02-MaterialPrice'!$B:$B,"TMT Steel (Fe500)"),"")</f>
        <v/>
      </c>
      <c r="D140" s="18"/>
      <c r="E140" s="132"/>
      <c r="F140" s="132"/>
      <c r="G140" s="132"/>
    </row>
    <row r="141" spans="1:7">
      <c r="A141" s="18">
        <v>18</v>
      </c>
      <c r="B141" s="18" t="str">
        <f t="shared" si="0"/>
        <v>2025-06</v>
      </c>
      <c r="C141" s="18">
        <f>IFERROR(AVERAGEIFS('P02-MaterialPrice'!$E:$E,'P02-MaterialPrice'!$A:$A,B141,'P02-MaterialPrice'!$B:$B,"TMT Steel (Fe500)"),"")</f>
        <v>695.91</v>
      </c>
      <c r="D141" s="18"/>
      <c r="E141" s="132"/>
      <c r="F141" s="132"/>
      <c r="G141" s="132"/>
    </row>
  </sheetData>
  <mergeCells count="13">
    <mergeCell ref="C97:E101"/>
    <mergeCell ref="A111:A112"/>
    <mergeCell ref="E132:G141"/>
    <mergeCell ref="C63:E65"/>
    <mergeCell ref="A68:B69"/>
    <mergeCell ref="C75:E80"/>
    <mergeCell ref="A90:A91"/>
    <mergeCell ref="A59:A60"/>
    <mergeCell ref="A1:F2"/>
    <mergeCell ref="C13:H14"/>
    <mergeCell ref="A4:B5"/>
    <mergeCell ref="A26:B27"/>
    <mergeCell ref="E38:G42"/>
  </mergeCells>
  <phoneticPr fontId="17" type="noConversion"/>
  <conditionalFormatting pivot="1" sqref="B8:B22">
    <cfRule type="top10" dxfId="3" priority="1" rank="1"/>
  </conditionalFormatting>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97B"/>
  </sheetPr>
  <dimension ref="A1:M99"/>
  <sheetViews>
    <sheetView topLeftCell="A73" zoomScaleNormal="100" workbookViewId="0">
      <selection activeCell="A79" sqref="A79:F84"/>
    </sheetView>
  </sheetViews>
  <sheetFormatPr defaultColWidth="8.6640625" defaultRowHeight="14.4"/>
  <cols>
    <col min="1" max="1" width="15.77734375" bestFit="1" customWidth="1"/>
    <col min="2" max="2" width="15.21875" bestFit="1" customWidth="1"/>
    <col min="3" max="3" width="19.109375" bestFit="1" customWidth="1"/>
    <col min="4" max="4" width="12.21875" bestFit="1" customWidth="1"/>
    <col min="5" max="5" width="11.5546875" bestFit="1" customWidth="1"/>
    <col min="6" max="6" width="13.77734375" bestFit="1" customWidth="1"/>
    <col min="7" max="7" width="7.109375" bestFit="1" customWidth="1"/>
    <col min="8" max="8" width="10.44140625" bestFit="1" customWidth="1"/>
    <col min="9" max="9" width="11.109375" bestFit="1" customWidth="1"/>
    <col min="10" max="10" width="13.33203125" bestFit="1" customWidth="1"/>
    <col min="11" max="11" width="16" bestFit="1" customWidth="1"/>
    <col min="12" max="12" width="11.5546875" bestFit="1" customWidth="1"/>
    <col min="13" max="13" width="26.33203125" bestFit="1" customWidth="1"/>
  </cols>
  <sheetData>
    <row r="1" spans="1:13" ht="17.399999999999999">
      <c r="A1" s="134" t="s">
        <v>272</v>
      </c>
      <c r="B1" s="134"/>
      <c r="C1" s="134"/>
      <c r="D1" s="134"/>
      <c r="E1" s="134"/>
      <c r="F1" s="134"/>
      <c r="G1" s="134"/>
      <c r="H1" s="134"/>
    </row>
    <row r="2" spans="1:13">
      <c r="A2" s="119" t="s">
        <v>273</v>
      </c>
      <c r="B2" s="119"/>
      <c r="C2" s="119"/>
      <c r="D2" s="119"/>
      <c r="E2" s="119"/>
      <c r="F2" s="119"/>
      <c r="G2" s="119"/>
      <c r="H2" s="119"/>
    </row>
    <row r="4" spans="1:13" ht="26.4">
      <c r="A4" s="1" t="s">
        <v>68</v>
      </c>
      <c r="B4" s="1" t="s">
        <v>274</v>
      </c>
      <c r="C4" s="25" t="s">
        <v>275</v>
      </c>
      <c r="D4" s="1" t="s">
        <v>221</v>
      </c>
      <c r="E4" s="1" t="s">
        <v>276</v>
      </c>
      <c r="F4" s="1" t="s">
        <v>277</v>
      </c>
      <c r="G4" s="1" t="s">
        <v>278</v>
      </c>
      <c r="H4" s="1" t="s">
        <v>279</v>
      </c>
      <c r="I4" s="4" t="s">
        <v>280</v>
      </c>
      <c r="J4" s="4" t="s">
        <v>281</v>
      </c>
      <c r="K4" s="26" t="s">
        <v>282</v>
      </c>
      <c r="L4" s="28" t="s">
        <v>1280</v>
      </c>
      <c r="M4" s="29" t="s">
        <v>1284</v>
      </c>
    </row>
    <row r="5" spans="1:13">
      <c r="A5" s="3" t="s">
        <v>318</v>
      </c>
      <c r="B5" s="30" t="s">
        <v>284</v>
      </c>
      <c r="C5" s="3" t="s">
        <v>293</v>
      </c>
      <c r="D5" s="3" t="s">
        <v>291</v>
      </c>
      <c r="E5" s="3">
        <v>4879</v>
      </c>
      <c r="F5" s="3">
        <v>6291</v>
      </c>
      <c r="G5" s="3">
        <v>107.3</v>
      </c>
      <c r="H5" s="21">
        <v>523516.7</v>
      </c>
      <c r="I5" s="5">
        <f t="shared" ref="I5:I36" si="0">F5*G5</f>
        <v>675024.29999999993</v>
      </c>
      <c r="J5" s="5">
        <f t="shared" ref="J5:J36" si="1">F5-E5</f>
        <v>1412</v>
      </c>
      <c r="K5" s="6">
        <f t="shared" ref="K5:K36" si="2">J5/E5</f>
        <v>0.28940356630457059</v>
      </c>
      <c r="L5" t="str">
        <f t="shared" ref="L5:L36" si="3">IF(F5&gt;E5,"Over BOQ","Within BOQ")</f>
        <v>Over BOQ</v>
      </c>
      <c r="M5">
        <f>IF(J5&gt;0,J5*G5,0)</f>
        <v>151507.6</v>
      </c>
    </row>
    <row r="6" spans="1:13">
      <c r="A6" s="2" t="s">
        <v>317</v>
      </c>
      <c r="B6" s="2" t="s">
        <v>300</v>
      </c>
      <c r="C6" s="2" t="s">
        <v>303</v>
      </c>
      <c r="D6" s="2" t="s">
        <v>297</v>
      </c>
      <c r="E6" s="2">
        <v>4324</v>
      </c>
      <c r="F6" s="2">
        <v>5554</v>
      </c>
      <c r="G6" s="2">
        <v>57.67</v>
      </c>
      <c r="H6" s="20">
        <v>249365.08</v>
      </c>
      <c r="I6" s="5">
        <f t="shared" si="0"/>
        <v>320299.18</v>
      </c>
      <c r="J6" s="5">
        <f t="shared" si="1"/>
        <v>1230</v>
      </c>
      <c r="K6" s="6">
        <f t="shared" si="2"/>
        <v>0.28445883441258096</v>
      </c>
      <c r="L6" t="str">
        <f t="shared" si="3"/>
        <v>Over BOQ</v>
      </c>
      <c r="M6">
        <f t="shared" ref="M6:M69" si="4">IF(J6&gt;0,J6*G6,0)</f>
        <v>70934.100000000006</v>
      </c>
    </row>
    <row r="7" spans="1:13">
      <c r="A7" s="2" t="s">
        <v>283</v>
      </c>
      <c r="B7" s="2" t="s">
        <v>284</v>
      </c>
      <c r="C7" s="2" t="s">
        <v>285</v>
      </c>
      <c r="D7" s="2" t="s">
        <v>286</v>
      </c>
      <c r="E7" s="2">
        <v>2649</v>
      </c>
      <c r="F7" s="2">
        <v>3384</v>
      </c>
      <c r="G7" s="2">
        <v>178.83</v>
      </c>
      <c r="H7" s="20">
        <v>473720.67</v>
      </c>
      <c r="I7" s="5">
        <f t="shared" si="0"/>
        <v>605160.72000000009</v>
      </c>
      <c r="J7" s="5">
        <f t="shared" si="1"/>
        <v>735</v>
      </c>
      <c r="K7" s="6">
        <f t="shared" si="2"/>
        <v>0.27746319365798416</v>
      </c>
      <c r="L7" t="str">
        <f t="shared" si="3"/>
        <v>Over BOQ</v>
      </c>
      <c r="M7">
        <f t="shared" si="4"/>
        <v>131440.05000000002</v>
      </c>
    </row>
    <row r="8" spans="1:13">
      <c r="A8" s="2" t="s">
        <v>318</v>
      </c>
      <c r="B8" s="2" t="s">
        <v>300</v>
      </c>
      <c r="C8" s="2" t="s">
        <v>305</v>
      </c>
      <c r="D8" s="2" t="s">
        <v>228</v>
      </c>
      <c r="E8" s="2">
        <v>4660</v>
      </c>
      <c r="F8" s="2">
        <v>5951</v>
      </c>
      <c r="G8" s="2">
        <v>21.61</v>
      </c>
      <c r="H8" s="20">
        <v>100702.6</v>
      </c>
      <c r="I8" s="5">
        <f t="shared" si="0"/>
        <v>128601.11</v>
      </c>
      <c r="J8" s="5">
        <f t="shared" si="1"/>
        <v>1291</v>
      </c>
      <c r="K8" s="6">
        <f t="shared" si="2"/>
        <v>0.27703862660944206</v>
      </c>
      <c r="L8" t="str">
        <f t="shared" si="3"/>
        <v>Over BOQ</v>
      </c>
      <c r="M8">
        <f t="shared" si="4"/>
        <v>27898.51</v>
      </c>
    </row>
    <row r="9" spans="1:13">
      <c r="A9" s="3" t="s">
        <v>318</v>
      </c>
      <c r="B9" s="3" t="s">
        <v>311</v>
      </c>
      <c r="C9" s="3" t="s">
        <v>312</v>
      </c>
      <c r="D9" s="3" t="s">
        <v>297</v>
      </c>
      <c r="E9" s="3">
        <v>862</v>
      </c>
      <c r="F9" s="3">
        <v>1100</v>
      </c>
      <c r="G9" s="3">
        <v>45.52</v>
      </c>
      <c r="H9" s="21">
        <v>39238.239999999998</v>
      </c>
      <c r="I9" s="5">
        <f t="shared" si="0"/>
        <v>50072</v>
      </c>
      <c r="J9" s="5">
        <f t="shared" si="1"/>
        <v>238</v>
      </c>
      <c r="K9" s="6">
        <f t="shared" si="2"/>
        <v>0.27610208816705334</v>
      </c>
      <c r="L9" t="str">
        <f t="shared" si="3"/>
        <v>Over BOQ</v>
      </c>
      <c r="M9">
        <f t="shared" si="4"/>
        <v>10833.76</v>
      </c>
    </row>
    <row r="10" spans="1:13">
      <c r="A10" s="3" t="s">
        <v>317</v>
      </c>
      <c r="B10" s="3" t="s">
        <v>306</v>
      </c>
      <c r="C10" s="3" t="s">
        <v>307</v>
      </c>
      <c r="D10" s="3" t="s">
        <v>238</v>
      </c>
      <c r="E10" s="3">
        <v>2334</v>
      </c>
      <c r="F10" s="3">
        <v>2909</v>
      </c>
      <c r="G10" s="3">
        <v>52.55</v>
      </c>
      <c r="H10" s="21">
        <v>122651.7</v>
      </c>
      <c r="I10" s="5">
        <f t="shared" si="0"/>
        <v>152867.94999999998</v>
      </c>
      <c r="J10" s="5">
        <f t="shared" si="1"/>
        <v>575</v>
      </c>
      <c r="K10" s="6">
        <f t="shared" si="2"/>
        <v>0.24635818337617824</v>
      </c>
      <c r="L10" t="str">
        <f t="shared" si="3"/>
        <v>Over BOQ</v>
      </c>
      <c r="M10">
        <f t="shared" si="4"/>
        <v>30216.25</v>
      </c>
    </row>
    <row r="11" spans="1:13">
      <c r="A11" s="3" t="s">
        <v>318</v>
      </c>
      <c r="B11" s="3" t="s">
        <v>306</v>
      </c>
      <c r="C11" s="3" t="s">
        <v>309</v>
      </c>
      <c r="D11" s="3" t="s">
        <v>289</v>
      </c>
      <c r="E11" s="3">
        <v>2485</v>
      </c>
      <c r="F11" s="3">
        <v>3074</v>
      </c>
      <c r="G11" s="3">
        <v>198.06</v>
      </c>
      <c r="H11" s="21">
        <v>492179.1</v>
      </c>
      <c r="I11" s="5">
        <f t="shared" si="0"/>
        <v>608836.44000000006</v>
      </c>
      <c r="J11" s="5">
        <f t="shared" si="1"/>
        <v>589</v>
      </c>
      <c r="K11" s="6">
        <f t="shared" si="2"/>
        <v>0.23702213279678069</v>
      </c>
      <c r="L11" t="str">
        <f t="shared" si="3"/>
        <v>Over BOQ</v>
      </c>
      <c r="M11">
        <f t="shared" si="4"/>
        <v>116657.34</v>
      </c>
    </row>
    <row r="12" spans="1:13">
      <c r="A12" s="2" t="s">
        <v>283</v>
      </c>
      <c r="B12" s="2" t="s">
        <v>300</v>
      </c>
      <c r="C12" s="2" t="s">
        <v>301</v>
      </c>
      <c r="D12" s="2" t="s">
        <v>297</v>
      </c>
      <c r="E12" s="2">
        <v>210</v>
      </c>
      <c r="F12" s="2">
        <v>259</v>
      </c>
      <c r="G12" s="2">
        <v>154.29</v>
      </c>
      <c r="H12" s="20">
        <v>32400.9</v>
      </c>
      <c r="I12" s="5">
        <f t="shared" si="0"/>
        <v>39961.11</v>
      </c>
      <c r="J12" s="5">
        <f t="shared" si="1"/>
        <v>49</v>
      </c>
      <c r="K12" s="6">
        <f t="shared" si="2"/>
        <v>0.23333333333333334</v>
      </c>
      <c r="L12" t="str">
        <f t="shared" si="3"/>
        <v>Over BOQ</v>
      </c>
      <c r="M12">
        <f t="shared" si="4"/>
        <v>7560.21</v>
      </c>
    </row>
    <row r="13" spans="1:13">
      <c r="A13" s="3" t="s">
        <v>317</v>
      </c>
      <c r="B13" s="3" t="s">
        <v>306</v>
      </c>
      <c r="C13" s="3" t="s">
        <v>309</v>
      </c>
      <c r="D13" s="3" t="s">
        <v>238</v>
      </c>
      <c r="E13" s="3">
        <v>4099</v>
      </c>
      <c r="F13" s="3">
        <v>5053</v>
      </c>
      <c r="G13" s="3">
        <v>40.46</v>
      </c>
      <c r="H13" s="21">
        <v>165845.54</v>
      </c>
      <c r="I13" s="5">
        <f t="shared" si="0"/>
        <v>204444.38</v>
      </c>
      <c r="J13" s="5">
        <f t="shared" si="1"/>
        <v>954</v>
      </c>
      <c r="K13" s="6">
        <f t="shared" si="2"/>
        <v>0.23273969260795316</v>
      </c>
      <c r="L13" t="str">
        <f t="shared" si="3"/>
        <v>Over BOQ</v>
      </c>
      <c r="M13">
        <f t="shared" si="4"/>
        <v>38598.840000000004</v>
      </c>
    </row>
    <row r="14" spans="1:13">
      <c r="A14" s="3" t="s">
        <v>317</v>
      </c>
      <c r="B14" s="3" t="s">
        <v>294</v>
      </c>
      <c r="C14" s="3" t="s">
        <v>296</v>
      </c>
      <c r="D14" s="3" t="s">
        <v>238</v>
      </c>
      <c r="E14" s="3">
        <v>2520</v>
      </c>
      <c r="F14" s="3">
        <v>3106</v>
      </c>
      <c r="G14" s="3">
        <v>122.08</v>
      </c>
      <c r="H14" s="21">
        <v>307641.59999999998</v>
      </c>
      <c r="I14" s="5">
        <f t="shared" si="0"/>
        <v>379180.48</v>
      </c>
      <c r="J14" s="5">
        <f t="shared" si="1"/>
        <v>586</v>
      </c>
      <c r="K14" s="6">
        <f t="shared" si="2"/>
        <v>0.23253968253968255</v>
      </c>
      <c r="L14" t="str">
        <f t="shared" si="3"/>
        <v>Over BOQ</v>
      </c>
      <c r="M14">
        <f t="shared" si="4"/>
        <v>71538.880000000005</v>
      </c>
    </row>
    <row r="15" spans="1:13">
      <c r="A15" s="3" t="s">
        <v>283</v>
      </c>
      <c r="B15" s="3" t="s">
        <v>306</v>
      </c>
      <c r="C15" s="3" t="s">
        <v>307</v>
      </c>
      <c r="D15" s="3" t="s">
        <v>289</v>
      </c>
      <c r="E15" s="3">
        <v>1402</v>
      </c>
      <c r="F15" s="3">
        <v>1721</v>
      </c>
      <c r="G15" s="3">
        <v>184.31</v>
      </c>
      <c r="H15" s="21">
        <v>258402.62</v>
      </c>
      <c r="I15" s="5">
        <f t="shared" si="0"/>
        <v>317197.51</v>
      </c>
      <c r="J15" s="5">
        <f t="shared" si="1"/>
        <v>319</v>
      </c>
      <c r="K15" s="6">
        <f t="shared" si="2"/>
        <v>0.22753209700427959</v>
      </c>
      <c r="L15" t="str">
        <f t="shared" si="3"/>
        <v>Over BOQ</v>
      </c>
      <c r="M15">
        <f t="shared" si="4"/>
        <v>58794.89</v>
      </c>
    </row>
    <row r="16" spans="1:13">
      <c r="A16" s="3" t="s">
        <v>283</v>
      </c>
      <c r="B16" s="3" t="s">
        <v>284</v>
      </c>
      <c r="C16" s="3" t="s">
        <v>290</v>
      </c>
      <c r="D16" s="3" t="s">
        <v>291</v>
      </c>
      <c r="E16" s="3">
        <v>2075</v>
      </c>
      <c r="F16" s="3">
        <v>2547</v>
      </c>
      <c r="G16" s="3">
        <v>59.08</v>
      </c>
      <c r="H16" s="21">
        <v>122591</v>
      </c>
      <c r="I16" s="5">
        <f t="shared" si="0"/>
        <v>150476.76</v>
      </c>
      <c r="J16" s="5">
        <f t="shared" si="1"/>
        <v>472</v>
      </c>
      <c r="K16" s="6">
        <f t="shared" si="2"/>
        <v>0.22746987951807229</v>
      </c>
      <c r="L16" t="str">
        <f t="shared" si="3"/>
        <v>Over BOQ</v>
      </c>
      <c r="M16">
        <f t="shared" si="4"/>
        <v>27885.759999999998</v>
      </c>
    </row>
    <row r="17" spans="1:13">
      <c r="A17" s="2" t="s">
        <v>318</v>
      </c>
      <c r="B17" s="2" t="s">
        <v>294</v>
      </c>
      <c r="C17" s="2" t="s">
        <v>295</v>
      </c>
      <c r="D17" s="2" t="s">
        <v>291</v>
      </c>
      <c r="E17" s="2">
        <v>873</v>
      </c>
      <c r="F17" s="2">
        <v>1069</v>
      </c>
      <c r="G17" s="2">
        <v>62.77</v>
      </c>
      <c r="H17" s="20">
        <v>54798.21</v>
      </c>
      <c r="I17" s="5">
        <f t="shared" si="0"/>
        <v>67101.13</v>
      </c>
      <c r="J17" s="5">
        <f t="shared" si="1"/>
        <v>196</v>
      </c>
      <c r="K17" s="6">
        <f t="shared" si="2"/>
        <v>0.22451317296678122</v>
      </c>
      <c r="L17" t="str">
        <f t="shared" si="3"/>
        <v>Over BOQ</v>
      </c>
      <c r="M17">
        <f t="shared" si="4"/>
        <v>12302.92</v>
      </c>
    </row>
    <row r="18" spans="1:13">
      <c r="A18" s="2" t="s">
        <v>317</v>
      </c>
      <c r="B18" s="2" t="s">
        <v>300</v>
      </c>
      <c r="C18" s="2" t="s">
        <v>301</v>
      </c>
      <c r="D18" s="2" t="s">
        <v>238</v>
      </c>
      <c r="E18" s="2">
        <v>3491</v>
      </c>
      <c r="F18" s="2">
        <v>4259</v>
      </c>
      <c r="G18" s="2">
        <v>25.58</v>
      </c>
      <c r="H18" s="20">
        <v>89299.78</v>
      </c>
      <c r="I18" s="5">
        <f t="shared" si="0"/>
        <v>108945.21999999999</v>
      </c>
      <c r="J18" s="5">
        <f t="shared" si="1"/>
        <v>768</v>
      </c>
      <c r="K18" s="6">
        <f t="shared" si="2"/>
        <v>0.2199942709825265</v>
      </c>
      <c r="L18" t="str">
        <f t="shared" si="3"/>
        <v>Over BOQ</v>
      </c>
      <c r="M18">
        <f t="shared" si="4"/>
        <v>19645.439999999999</v>
      </c>
    </row>
    <row r="19" spans="1:13">
      <c r="A19" s="2" t="s">
        <v>318</v>
      </c>
      <c r="B19" s="2" t="s">
        <v>300</v>
      </c>
      <c r="C19" s="2" t="s">
        <v>303</v>
      </c>
      <c r="D19" s="2" t="s">
        <v>289</v>
      </c>
      <c r="E19" s="2">
        <v>984</v>
      </c>
      <c r="F19" s="2">
        <v>1200</v>
      </c>
      <c r="G19" s="2">
        <v>83.14</v>
      </c>
      <c r="H19" s="20">
        <v>81809.759999999995</v>
      </c>
      <c r="I19" s="5">
        <f t="shared" si="0"/>
        <v>99768</v>
      </c>
      <c r="J19" s="5">
        <f t="shared" si="1"/>
        <v>216</v>
      </c>
      <c r="K19" s="6">
        <f t="shared" si="2"/>
        <v>0.21951219512195122</v>
      </c>
      <c r="L19" t="str">
        <f t="shared" si="3"/>
        <v>Over BOQ</v>
      </c>
      <c r="M19">
        <f t="shared" si="4"/>
        <v>17958.240000000002</v>
      </c>
    </row>
    <row r="20" spans="1:13">
      <c r="A20" s="2" t="s">
        <v>317</v>
      </c>
      <c r="B20" s="2" t="s">
        <v>306</v>
      </c>
      <c r="C20" s="2" t="s">
        <v>310</v>
      </c>
      <c r="D20" s="2" t="s">
        <v>228</v>
      </c>
      <c r="E20" s="2">
        <v>2956</v>
      </c>
      <c r="F20" s="2">
        <v>3573</v>
      </c>
      <c r="G20" s="2">
        <v>71.37</v>
      </c>
      <c r="H20" s="20">
        <v>210969.72</v>
      </c>
      <c r="I20" s="5">
        <f t="shared" si="0"/>
        <v>255005.01</v>
      </c>
      <c r="J20" s="5">
        <f t="shared" si="1"/>
        <v>617</v>
      </c>
      <c r="K20" s="6">
        <f t="shared" si="2"/>
        <v>0.20872801082543979</v>
      </c>
      <c r="L20" t="str">
        <f t="shared" si="3"/>
        <v>Over BOQ</v>
      </c>
      <c r="M20">
        <f t="shared" si="4"/>
        <v>44035.29</v>
      </c>
    </row>
    <row r="21" spans="1:13">
      <c r="A21" s="2" t="s">
        <v>317</v>
      </c>
      <c r="B21" s="2" t="s">
        <v>311</v>
      </c>
      <c r="C21" s="2" t="s">
        <v>315</v>
      </c>
      <c r="D21" s="2" t="s">
        <v>289</v>
      </c>
      <c r="E21" s="2">
        <v>3721</v>
      </c>
      <c r="F21" s="2">
        <v>4490</v>
      </c>
      <c r="G21" s="2">
        <v>23.15</v>
      </c>
      <c r="H21" s="20">
        <v>86141.15</v>
      </c>
      <c r="I21" s="5">
        <f t="shared" si="0"/>
        <v>103943.5</v>
      </c>
      <c r="J21" s="5">
        <f t="shared" si="1"/>
        <v>769</v>
      </c>
      <c r="K21" s="6">
        <f t="shared" si="2"/>
        <v>0.20666487503359313</v>
      </c>
      <c r="L21" t="str">
        <f t="shared" si="3"/>
        <v>Over BOQ</v>
      </c>
      <c r="M21">
        <f t="shared" si="4"/>
        <v>17802.349999999999</v>
      </c>
    </row>
    <row r="22" spans="1:13">
      <c r="A22" s="2" t="s">
        <v>317</v>
      </c>
      <c r="B22" s="2" t="s">
        <v>294</v>
      </c>
      <c r="C22" s="2" t="s">
        <v>298</v>
      </c>
      <c r="D22" s="2" t="s">
        <v>238</v>
      </c>
      <c r="E22" s="2">
        <v>4686</v>
      </c>
      <c r="F22" s="2">
        <v>5633</v>
      </c>
      <c r="G22" s="2">
        <v>72.7</v>
      </c>
      <c r="H22" s="20">
        <v>340672.2</v>
      </c>
      <c r="I22" s="5">
        <f t="shared" si="0"/>
        <v>409519.10000000003</v>
      </c>
      <c r="J22" s="5">
        <f t="shared" si="1"/>
        <v>947</v>
      </c>
      <c r="K22" s="6">
        <f t="shared" si="2"/>
        <v>0.20209133589415279</v>
      </c>
      <c r="L22" t="str">
        <f t="shared" si="3"/>
        <v>Over BOQ</v>
      </c>
      <c r="M22">
        <f t="shared" si="4"/>
        <v>68846.900000000009</v>
      </c>
    </row>
    <row r="23" spans="1:13">
      <c r="A23" s="3" t="s">
        <v>317</v>
      </c>
      <c r="B23" s="3" t="s">
        <v>284</v>
      </c>
      <c r="C23" s="3" t="s">
        <v>290</v>
      </c>
      <c r="D23" s="3" t="s">
        <v>286</v>
      </c>
      <c r="E23" s="3">
        <v>988</v>
      </c>
      <c r="F23" s="3">
        <v>1185</v>
      </c>
      <c r="G23" s="3">
        <v>36.93</v>
      </c>
      <c r="H23" s="21">
        <v>36486.839999999997</v>
      </c>
      <c r="I23" s="5">
        <f t="shared" si="0"/>
        <v>43762.05</v>
      </c>
      <c r="J23" s="5">
        <f t="shared" si="1"/>
        <v>197</v>
      </c>
      <c r="K23" s="6">
        <f t="shared" si="2"/>
        <v>0.19939271255060728</v>
      </c>
      <c r="L23" t="str">
        <f t="shared" si="3"/>
        <v>Over BOQ</v>
      </c>
      <c r="M23">
        <f t="shared" si="4"/>
        <v>7275.21</v>
      </c>
    </row>
    <row r="24" spans="1:13">
      <c r="A24" s="2" t="s">
        <v>318</v>
      </c>
      <c r="B24" s="2" t="s">
        <v>306</v>
      </c>
      <c r="C24" s="2" t="s">
        <v>308</v>
      </c>
      <c r="D24" s="2" t="s">
        <v>286</v>
      </c>
      <c r="E24" s="2">
        <v>1898</v>
      </c>
      <c r="F24" s="2">
        <v>2275</v>
      </c>
      <c r="G24" s="2">
        <v>79.17</v>
      </c>
      <c r="H24" s="20">
        <v>150264.66</v>
      </c>
      <c r="I24" s="5">
        <f t="shared" si="0"/>
        <v>180111.75</v>
      </c>
      <c r="J24" s="5">
        <f t="shared" si="1"/>
        <v>377</v>
      </c>
      <c r="K24" s="6">
        <f t="shared" si="2"/>
        <v>0.19863013698630136</v>
      </c>
      <c r="L24" t="str">
        <f t="shared" si="3"/>
        <v>Over BOQ</v>
      </c>
      <c r="M24">
        <f t="shared" si="4"/>
        <v>29847.09</v>
      </c>
    </row>
    <row r="25" spans="1:13">
      <c r="A25" s="2" t="s">
        <v>317</v>
      </c>
      <c r="B25" s="2" t="s">
        <v>284</v>
      </c>
      <c r="C25" s="2" t="s">
        <v>288</v>
      </c>
      <c r="D25" s="2" t="s">
        <v>297</v>
      </c>
      <c r="E25" s="2">
        <v>2149</v>
      </c>
      <c r="F25" s="2">
        <v>2568</v>
      </c>
      <c r="G25" s="2">
        <v>37.72</v>
      </c>
      <c r="H25" s="20">
        <v>81060.28</v>
      </c>
      <c r="I25" s="5">
        <f t="shared" si="0"/>
        <v>96864.959999999992</v>
      </c>
      <c r="J25" s="5">
        <f t="shared" si="1"/>
        <v>419</v>
      </c>
      <c r="K25" s="6">
        <f t="shared" si="2"/>
        <v>0.19497440670079105</v>
      </c>
      <c r="L25" t="str">
        <f t="shared" si="3"/>
        <v>Over BOQ</v>
      </c>
      <c r="M25">
        <f t="shared" si="4"/>
        <v>15804.68</v>
      </c>
    </row>
    <row r="26" spans="1:13">
      <c r="A26" s="2" t="s">
        <v>283</v>
      </c>
      <c r="B26" s="2" t="s">
        <v>311</v>
      </c>
      <c r="C26" s="2" t="s">
        <v>313</v>
      </c>
      <c r="D26" s="2" t="s">
        <v>289</v>
      </c>
      <c r="E26" s="2">
        <v>2329</v>
      </c>
      <c r="F26" s="2">
        <v>2767</v>
      </c>
      <c r="G26" s="2">
        <v>167.23</v>
      </c>
      <c r="H26" s="20">
        <v>389478.67</v>
      </c>
      <c r="I26" s="5">
        <f t="shared" si="0"/>
        <v>462725.41</v>
      </c>
      <c r="J26" s="5">
        <f t="shared" si="1"/>
        <v>438</v>
      </c>
      <c r="K26" s="6">
        <f t="shared" si="2"/>
        <v>0.18806354658651783</v>
      </c>
      <c r="L26" t="str">
        <f t="shared" si="3"/>
        <v>Over BOQ</v>
      </c>
      <c r="M26">
        <f t="shared" si="4"/>
        <v>73246.739999999991</v>
      </c>
    </row>
    <row r="27" spans="1:13">
      <c r="A27" s="3" t="s">
        <v>283</v>
      </c>
      <c r="B27" s="3" t="s">
        <v>311</v>
      </c>
      <c r="C27" s="30" t="s">
        <v>316</v>
      </c>
      <c r="D27" s="3" t="s">
        <v>297</v>
      </c>
      <c r="E27" s="3">
        <v>379</v>
      </c>
      <c r="F27" s="3">
        <v>450</v>
      </c>
      <c r="G27" s="3">
        <v>190.17</v>
      </c>
      <c r="H27" s="21">
        <v>72074.429999999993</v>
      </c>
      <c r="I27" s="5">
        <f t="shared" si="0"/>
        <v>85576.5</v>
      </c>
      <c r="J27" s="5">
        <f t="shared" si="1"/>
        <v>71</v>
      </c>
      <c r="K27" s="6">
        <f t="shared" si="2"/>
        <v>0.18733509234828497</v>
      </c>
      <c r="L27" t="str">
        <f t="shared" si="3"/>
        <v>Over BOQ</v>
      </c>
      <c r="M27">
        <f t="shared" si="4"/>
        <v>13502.07</v>
      </c>
    </row>
    <row r="28" spans="1:13">
      <c r="A28" s="2" t="s">
        <v>283</v>
      </c>
      <c r="B28" s="2" t="s">
        <v>284</v>
      </c>
      <c r="C28" s="2" t="s">
        <v>288</v>
      </c>
      <c r="D28" s="2" t="s">
        <v>289</v>
      </c>
      <c r="E28" s="2">
        <v>1353</v>
      </c>
      <c r="F28" s="2">
        <v>1602</v>
      </c>
      <c r="G28" s="2">
        <v>97.56</v>
      </c>
      <c r="H28" s="20">
        <v>131998.68</v>
      </c>
      <c r="I28" s="5">
        <f t="shared" si="0"/>
        <v>156291.12</v>
      </c>
      <c r="J28" s="5">
        <f t="shared" si="1"/>
        <v>249</v>
      </c>
      <c r="K28" s="6">
        <f t="shared" si="2"/>
        <v>0.18403547671840353</v>
      </c>
      <c r="L28" t="str">
        <f t="shared" si="3"/>
        <v>Over BOQ</v>
      </c>
      <c r="M28">
        <f t="shared" si="4"/>
        <v>24292.440000000002</v>
      </c>
    </row>
    <row r="29" spans="1:13">
      <c r="A29" s="3" t="s">
        <v>317</v>
      </c>
      <c r="B29" s="3" t="s">
        <v>300</v>
      </c>
      <c r="C29" s="3" t="s">
        <v>302</v>
      </c>
      <c r="D29" s="3" t="s">
        <v>291</v>
      </c>
      <c r="E29" s="3">
        <v>3816</v>
      </c>
      <c r="F29" s="3">
        <v>4458</v>
      </c>
      <c r="G29" s="3">
        <v>89.92</v>
      </c>
      <c r="H29" s="21">
        <v>343134.71999999997</v>
      </c>
      <c r="I29" s="5">
        <f t="shared" si="0"/>
        <v>400863.36</v>
      </c>
      <c r="J29" s="5">
        <f t="shared" si="1"/>
        <v>642</v>
      </c>
      <c r="K29" s="6">
        <f t="shared" si="2"/>
        <v>0.16823899371069181</v>
      </c>
      <c r="L29" t="str">
        <f t="shared" si="3"/>
        <v>Over BOQ</v>
      </c>
      <c r="M29">
        <f t="shared" si="4"/>
        <v>57728.639999999999</v>
      </c>
    </row>
    <row r="30" spans="1:13">
      <c r="A30" s="3" t="s">
        <v>283</v>
      </c>
      <c r="B30" s="3" t="s">
        <v>294</v>
      </c>
      <c r="C30" s="3" t="s">
        <v>296</v>
      </c>
      <c r="D30" s="3" t="s">
        <v>297</v>
      </c>
      <c r="E30" s="3">
        <v>1301</v>
      </c>
      <c r="F30" s="3">
        <v>1519</v>
      </c>
      <c r="G30" s="3">
        <v>17.52</v>
      </c>
      <c r="H30" s="21">
        <v>22793.52</v>
      </c>
      <c r="I30" s="5">
        <f t="shared" si="0"/>
        <v>26612.880000000001</v>
      </c>
      <c r="J30" s="5">
        <f t="shared" si="1"/>
        <v>218</v>
      </c>
      <c r="K30" s="6">
        <f t="shared" si="2"/>
        <v>0.16756341275941583</v>
      </c>
      <c r="L30" t="str">
        <f t="shared" si="3"/>
        <v>Over BOQ</v>
      </c>
      <c r="M30">
        <f t="shared" si="4"/>
        <v>3819.36</v>
      </c>
    </row>
    <row r="31" spans="1:13">
      <c r="A31" s="3" t="s">
        <v>318</v>
      </c>
      <c r="B31" s="3" t="s">
        <v>311</v>
      </c>
      <c r="C31" s="3" t="s">
        <v>316</v>
      </c>
      <c r="D31" s="3" t="s">
        <v>291</v>
      </c>
      <c r="E31" s="3">
        <v>2366</v>
      </c>
      <c r="F31" s="3">
        <v>2759</v>
      </c>
      <c r="G31" s="3">
        <v>93.54</v>
      </c>
      <c r="H31" s="21">
        <v>221315.64</v>
      </c>
      <c r="I31" s="5">
        <f t="shared" si="0"/>
        <v>258076.86000000002</v>
      </c>
      <c r="J31" s="5">
        <f t="shared" si="1"/>
        <v>393</v>
      </c>
      <c r="K31" s="6">
        <f t="shared" si="2"/>
        <v>0.16610312764158919</v>
      </c>
      <c r="L31" t="str">
        <f t="shared" si="3"/>
        <v>Over BOQ</v>
      </c>
      <c r="M31">
        <f t="shared" si="4"/>
        <v>36761.22</v>
      </c>
    </row>
    <row r="32" spans="1:13">
      <c r="A32" s="3" t="s">
        <v>317</v>
      </c>
      <c r="B32" s="3" t="s">
        <v>311</v>
      </c>
      <c r="C32" s="3" t="s">
        <v>316</v>
      </c>
      <c r="D32" s="3" t="s">
        <v>228</v>
      </c>
      <c r="E32" s="3">
        <v>3362</v>
      </c>
      <c r="F32" s="3">
        <v>3904</v>
      </c>
      <c r="G32" s="3">
        <v>64.709999999999994</v>
      </c>
      <c r="H32" s="21">
        <v>217555.02</v>
      </c>
      <c r="I32" s="5">
        <f t="shared" si="0"/>
        <v>252627.83999999997</v>
      </c>
      <c r="J32" s="5">
        <f t="shared" si="1"/>
        <v>542</v>
      </c>
      <c r="K32" s="6">
        <f t="shared" si="2"/>
        <v>0.16121356335514575</v>
      </c>
      <c r="L32" t="str">
        <f t="shared" si="3"/>
        <v>Over BOQ</v>
      </c>
      <c r="M32">
        <f t="shared" si="4"/>
        <v>35072.82</v>
      </c>
    </row>
    <row r="33" spans="1:13">
      <c r="A33" s="2" t="s">
        <v>317</v>
      </c>
      <c r="B33" s="2" t="s">
        <v>294</v>
      </c>
      <c r="C33" s="2" t="s">
        <v>295</v>
      </c>
      <c r="D33" s="2" t="s">
        <v>238</v>
      </c>
      <c r="E33" s="2">
        <v>4900</v>
      </c>
      <c r="F33" s="2">
        <v>5687</v>
      </c>
      <c r="G33" s="2">
        <v>127.31</v>
      </c>
      <c r="H33" s="20">
        <v>623819</v>
      </c>
      <c r="I33" s="5">
        <f t="shared" si="0"/>
        <v>724011.97</v>
      </c>
      <c r="J33" s="5">
        <f t="shared" si="1"/>
        <v>787</v>
      </c>
      <c r="K33" s="6">
        <f t="shared" si="2"/>
        <v>0.16061224489795919</v>
      </c>
      <c r="L33" t="str">
        <f t="shared" si="3"/>
        <v>Over BOQ</v>
      </c>
      <c r="M33">
        <f t="shared" si="4"/>
        <v>100192.97</v>
      </c>
    </row>
    <row r="34" spans="1:13">
      <c r="A34" s="3" t="s">
        <v>317</v>
      </c>
      <c r="B34" s="3" t="s">
        <v>311</v>
      </c>
      <c r="C34" s="3" t="s">
        <v>314</v>
      </c>
      <c r="D34" s="3" t="s">
        <v>286</v>
      </c>
      <c r="E34" s="3">
        <v>2018</v>
      </c>
      <c r="F34" s="3">
        <v>2342</v>
      </c>
      <c r="G34" s="3">
        <v>130.94999999999999</v>
      </c>
      <c r="H34" s="21">
        <v>264257.09999999998</v>
      </c>
      <c r="I34" s="5">
        <f t="shared" si="0"/>
        <v>306684.89999999997</v>
      </c>
      <c r="J34" s="5">
        <f t="shared" si="1"/>
        <v>324</v>
      </c>
      <c r="K34" s="6">
        <f t="shared" si="2"/>
        <v>0.1605550049554014</v>
      </c>
      <c r="L34" t="str">
        <f t="shared" si="3"/>
        <v>Over BOQ</v>
      </c>
      <c r="M34">
        <f t="shared" si="4"/>
        <v>42427.799999999996</v>
      </c>
    </row>
    <row r="35" spans="1:13">
      <c r="A35" s="2" t="s">
        <v>318</v>
      </c>
      <c r="B35" s="2" t="s">
        <v>311</v>
      </c>
      <c r="C35" s="2" t="s">
        <v>313</v>
      </c>
      <c r="D35" s="2" t="s">
        <v>228</v>
      </c>
      <c r="E35" s="2">
        <v>2217</v>
      </c>
      <c r="F35" s="2">
        <v>2543</v>
      </c>
      <c r="G35" s="2">
        <v>35.630000000000003</v>
      </c>
      <c r="H35" s="20">
        <v>78991.710000000006</v>
      </c>
      <c r="I35" s="5">
        <f t="shared" si="0"/>
        <v>90607.090000000011</v>
      </c>
      <c r="J35" s="5">
        <f t="shared" si="1"/>
        <v>326</v>
      </c>
      <c r="K35" s="6">
        <f t="shared" si="2"/>
        <v>0.14704555705908887</v>
      </c>
      <c r="L35" t="str">
        <f t="shared" si="3"/>
        <v>Over BOQ</v>
      </c>
      <c r="M35">
        <f t="shared" si="4"/>
        <v>11615.380000000001</v>
      </c>
    </row>
    <row r="36" spans="1:13">
      <c r="A36" s="3" t="s">
        <v>318</v>
      </c>
      <c r="B36" s="3" t="s">
        <v>294</v>
      </c>
      <c r="C36" s="3" t="s">
        <v>299</v>
      </c>
      <c r="D36" s="3" t="s">
        <v>291</v>
      </c>
      <c r="E36" s="3">
        <v>1084</v>
      </c>
      <c r="F36" s="3">
        <v>1232</v>
      </c>
      <c r="G36" s="3">
        <v>151.79</v>
      </c>
      <c r="H36" s="21">
        <v>164540.35999999999</v>
      </c>
      <c r="I36" s="5">
        <f t="shared" si="0"/>
        <v>187005.28</v>
      </c>
      <c r="J36" s="5">
        <f t="shared" si="1"/>
        <v>148</v>
      </c>
      <c r="K36" s="6">
        <f t="shared" si="2"/>
        <v>0.13653136531365315</v>
      </c>
      <c r="L36" t="str">
        <f t="shared" si="3"/>
        <v>Over BOQ</v>
      </c>
      <c r="M36">
        <f t="shared" si="4"/>
        <v>22464.92</v>
      </c>
    </row>
    <row r="37" spans="1:13">
      <c r="A37" s="3" t="s">
        <v>318</v>
      </c>
      <c r="B37" s="3" t="s">
        <v>300</v>
      </c>
      <c r="C37" s="3" t="s">
        <v>304</v>
      </c>
      <c r="D37" s="3" t="s">
        <v>238</v>
      </c>
      <c r="E37" s="3">
        <v>4776</v>
      </c>
      <c r="F37" s="3">
        <v>5412</v>
      </c>
      <c r="G37" s="3">
        <v>15.45</v>
      </c>
      <c r="H37" s="21">
        <v>73789.2</v>
      </c>
      <c r="I37" s="5">
        <f t="shared" ref="I37:I68" si="5">F37*G37</f>
        <v>83615.399999999994</v>
      </c>
      <c r="J37" s="5">
        <f t="shared" ref="J37:J68" si="6">F37-E37</f>
        <v>636</v>
      </c>
      <c r="K37" s="6">
        <f t="shared" ref="K37:K68" si="7">J37/E37</f>
        <v>0.13316582914572864</v>
      </c>
      <c r="L37" t="str">
        <f t="shared" ref="L37:L68" si="8">IF(F37&gt;E37,"Over BOQ","Within BOQ")</f>
        <v>Over BOQ</v>
      </c>
      <c r="M37">
        <f t="shared" si="4"/>
        <v>9826.1999999999989</v>
      </c>
    </row>
    <row r="38" spans="1:13">
      <c r="A38" s="2" t="s">
        <v>283</v>
      </c>
      <c r="B38" s="2" t="s">
        <v>284</v>
      </c>
      <c r="C38" s="2" t="s">
        <v>292</v>
      </c>
      <c r="D38" s="2" t="s">
        <v>286</v>
      </c>
      <c r="E38" s="2">
        <v>4019</v>
      </c>
      <c r="F38" s="2">
        <v>4549</v>
      </c>
      <c r="G38" s="2">
        <v>58.55</v>
      </c>
      <c r="H38" s="20">
        <v>235312.45</v>
      </c>
      <c r="I38" s="5">
        <f t="shared" si="5"/>
        <v>266343.95</v>
      </c>
      <c r="J38" s="5">
        <f t="shared" si="6"/>
        <v>530</v>
      </c>
      <c r="K38" s="6">
        <f t="shared" si="7"/>
        <v>0.13187360039810897</v>
      </c>
      <c r="L38" t="str">
        <f t="shared" si="8"/>
        <v>Over BOQ</v>
      </c>
      <c r="M38">
        <f t="shared" si="4"/>
        <v>31031.5</v>
      </c>
    </row>
    <row r="39" spans="1:13">
      <c r="A39" s="2" t="s">
        <v>318</v>
      </c>
      <c r="B39" s="2" t="s">
        <v>306</v>
      </c>
      <c r="C39" s="2" t="s">
        <v>310</v>
      </c>
      <c r="D39" s="2" t="s">
        <v>291</v>
      </c>
      <c r="E39" s="2">
        <v>4708</v>
      </c>
      <c r="F39" s="2">
        <v>5317</v>
      </c>
      <c r="G39" s="2">
        <v>123.88</v>
      </c>
      <c r="H39" s="20">
        <v>583227.04</v>
      </c>
      <c r="I39" s="5">
        <f t="shared" si="5"/>
        <v>658669.96</v>
      </c>
      <c r="J39" s="5">
        <f t="shared" si="6"/>
        <v>609</v>
      </c>
      <c r="K39" s="6">
        <f t="shared" si="7"/>
        <v>0.12935429056924383</v>
      </c>
      <c r="L39" t="str">
        <f t="shared" si="8"/>
        <v>Over BOQ</v>
      </c>
      <c r="M39">
        <f t="shared" si="4"/>
        <v>75442.92</v>
      </c>
    </row>
    <row r="40" spans="1:13">
      <c r="A40" s="2" t="s">
        <v>317</v>
      </c>
      <c r="B40" s="2" t="s">
        <v>284</v>
      </c>
      <c r="C40" s="2" t="s">
        <v>285</v>
      </c>
      <c r="D40" s="2" t="s">
        <v>228</v>
      </c>
      <c r="E40" s="2">
        <v>216</v>
      </c>
      <c r="F40" s="2">
        <v>243</v>
      </c>
      <c r="G40" s="2">
        <v>51.52</v>
      </c>
      <c r="H40" s="20">
        <v>11128.32</v>
      </c>
      <c r="I40" s="5">
        <f t="shared" si="5"/>
        <v>12519.36</v>
      </c>
      <c r="J40" s="5">
        <f t="shared" si="6"/>
        <v>27</v>
      </c>
      <c r="K40" s="6">
        <f t="shared" si="7"/>
        <v>0.125</v>
      </c>
      <c r="L40" t="str">
        <f t="shared" si="8"/>
        <v>Over BOQ</v>
      </c>
      <c r="M40">
        <f t="shared" si="4"/>
        <v>1391.0400000000002</v>
      </c>
    </row>
    <row r="41" spans="1:13">
      <c r="A41" s="2" t="s">
        <v>317</v>
      </c>
      <c r="B41" s="2" t="s">
        <v>306</v>
      </c>
      <c r="C41" s="2" t="s">
        <v>308</v>
      </c>
      <c r="D41" s="2" t="s">
        <v>289</v>
      </c>
      <c r="E41" s="2">
        <v>4718</v>
      </c>
      <c r="F41" s="2">
        <v>5306</v>
      </c>
      <c r="G41" s="2">
        <v>78.900000000000006</v>
      </c>
      <c r="H41" s="20">
        <v>372250.2</v>
      </c>
      <c r="I41" s="5">
        <f t="shared" si="5"/>
        <v>418643.4</v>
      </c>
      <c r="J41" s="5">
        <f t="shared" si="6"/>
        <v>588</v>
      </c>
      <c r="K41" s="6">
        <f t="shared" si="7"/>
        <v>0.12462908011869436</v>
      </c>
      <c r="L41" t="str">
        <f t="shared" si="8"/>
        <v>Over BOQ</v>
      </c>
      <c r="M41">
        <f t="shared" si="4"/>
        <v>46393.200000000004</v>
      </c>
    </row>
    <row r="42" spans="1:13">
      <c r="A42" s="2" t="s">
        <v>317</v>
      </c>
      <c r="B42" s="2" t="s">
        <v>284</v>
      </c>
      <c r="C42" s="2" t="s">
        <v>292</v>
      </c>
      <c r="D42" s="2" t="s">
        <v>291</v>
      </c>
      <c r="E42" s="2">
        <v>935</v>
      </c>
      <c r="F42" s="2">
        <v>1038</v>
      </c>
      <c r="G42" s="2">
        <v>186.13</v>
      </c>
      <c r="H42" s="20">
        <v>174031.55</v>
      </c>
      <c r="I42" s="5">
        <f t="shared" si="5"/>
        <v>193202.94</v>
      </c>
      <c r="J42" s="5">
        <f t="shared" si="6"/>
        <v>103</v>
      </c>
      <c r="K42" s="6">
        <f t="shared" si="7"/>
        <v>0.11016042780748662</v>
      </c>
      <c r="L42" t="str">
        <f t="shared" si="8"/>
        <v>Over BOQ</v>
      </c>
      <c r="M42">
        <f t="shared" si="4"/>
        <v>19171.39</v>
      </c>
    </row>
    <row r="43" spans="1:13">
      <c r="A43" s="2" t="s">
        <v>318</v>
      </c>
      <c r="B43" s="2" t="s">
        <v>300</v>
      </c>
      <c r="C43" s="2" t="s">
        <v>301</v>
      </c>
      <c r="D43" s="2" t="s">
        <v>238</v>
      </c>
      <c r="E43" s="2">
        <v>150</v>
      </c>
      <c r="F43" s="2">
        <v>166</v>
      </c>
      <c r="G43" s="2">
        <v>96.53</v>
      </c>
      <c r="H43" s="20">
        <v>14479.5</v>
      </c>
      <c r="I43" s="5">
        <f t="shared" si="5"/>
        <v>16023.98</v>
      </c>
      <c r="J43" s="5">
        <f t="shared" si="6"/>
        <v>16</v>
      </c>
      <c r="K43" s="6">
        <f t="shared" si="7"/>
        <v>0.10666666666666667</v>
      </c>
      <c r="L43" t="str">
        <f t="shared" si="8"/>
        <v>Over BOQ</v>
      </c>
      <c r="M43">
        <f t="shared" si="4"/>
        <v>1544.48</v>
      </c>
    </row>
    <row r="44" spans="1:13">
      <c r="A44" s="3" t="s">
        <v>317</v>
      </c>
      <c r="B44" s="3" t="s">
        <v>284</v>
      </c>
      <c r="C44" s="3" t="s">
        <v>287</v>
      </c>
      <c r="D44" s="3" t="s">
        <v>289</v>
      </c>
      <c r="E44" s="3">
        <v>987</v>
      </c>
      <c r="F44" s="3">
        <v>1089</v>
      </c>
      <c r="G44" s="3">
        <v>47.5</v>
      </c>
      <c r="H44" s="21">
        <v>46882.5</v>
      </c>
      <c r="I44" s="5">
        <f t="shared" si="5"/>
        <v>51727.5</v>
      </c>
      <c r="J44" s="5">
        <f t="shared" si="6"/>
        <v>102</v>
      </c>
      <c r="K44" s="6">
        <f t="shared" si="7"/>
        <v>0.10334346504559271</v>
      </c>
      <c r="L44" t="str">
        <f t="shared" si="8"/>
        <v>Over BOQ</v>
      </c>
      <c r="M44">
        <f t="shared" si="4"/>
        <v>4845</v>
      </c>
    </row>
    <row r="45" spans="1:13">
      <c r="A45" s="3" t="s">
        <v>318</v>
      </c>
      <c r="B45" s="3" t="s">
        <v>306</v>
      </c>
      <c r="C45" s="3" t="s">
        <v>307</v>
      </c>
      <c r="D45" s="3" t="s">
        <v>228</v>
      </c>
      <c r="E45" s="3">
        <v>1020</v>
      </c>
      <c r="F45" s="3">
        <v>1123</v>
      </c>
      <c r="G45" s="3">
        <v>86.15</v>
      </c>
      <c r="H45" s="21">
        <v>87873</v>
      </c>
      <c r="I45" s="5">
        <f t="shared" si="5"/>
        <v>96746.450000000012</v>
      </c>
      <c r="J45" s="5">
        <f t="shared" si="6"/>
        <v>103</v>
      </c>
      <c r="K45" s="6">
        <f t="shared" si="7"/>
        <v>0.10098039215686275</v>
      </c>
      <c r="L45" t="str">
        <f t="shared" si="8"/>
        <v>Over BOQ</v>
      </c>
      <c r="M45">
        <f t="shared" si="4"/>
        <v>8873.4500000000007</v>
      </c>
    </row>
    <row r="46" spans="1:13">
      <c r="A46" s="3" t="s">
        <v>317</v>
      </c>
      <c r="B46" s="3" t="s">
        <v>311</v>
      </c>
      <c r="C46" s="3" t="s">
        <v>312</v>
      </c>
      <c r="D46" s="3" t="s">
        <v>286</v>
      </c>
      <c r="E46" s="3">
        <v>2313</v>
      </c>
      <c r="F46" s="3">
        <v>2544</v>
      </c>
      <c r="G46" s="3">
        <v>105.74</v>
      </c>
      <c r="H46" s="21">
        <v>244576.62</v>
      </c>
      <c r="I46" s="5">
        <f t="shared" si="5"/>
        <v>269002.56</v>
      </c>
      <c r="J46" s="5">
        <f t="shared" si="6"/>
        <v>231</v>
      </c>
      <c r="K46" s="6">
        <f t="shared" si="7"/>
        <v>9.9870298313878086E-2</v>
      </c>
      <c r="L46" t="str">
        <f t="shared" si="8"/>
        <v>Over BOQ</v>
      </c>
      <c r="M46">
        <f t="shared" si="4"/>
        <v>24425.94</v>
      </c>
    </row>
    <row r="47" spans="1:13">
      <c r="A47" s="2" t="s">
        <v>283</v>
      </c>
      <c r="B47" s="2" t="s">
        <v>294</v>
      </c>
      <c r="C47" s="2" t="s">
        <v>298</v>
      </c>
      <c r="D47" s="2" t="s">
        <v>289</v>
      </c>
      <c r="E47" s="2">
        <v>2760</v>
      </c>
      <c r="F47" s="2">
        <v>3019</v>
      </c>
      <c r="G47" s="2">
        <v>86.08</v>
      </c>
      <c r="H47" s="20">
        <v>237580.79999999999</v>
      </c>
      <c r="I47" s="5">
        <f t="shared" si="5"/>
        <v>259875.52</v>
      </c>
      <c r="J47" s="5">
        <f t="shared" si="6"/>
        <v>259</v>
      </c>
      <c r="K47" s="6">
        <f t="shared" si="7"/>
        <v>9.3840579710144922E-2</v>
      </c>
      <c r="L47" t="str">
        <f t="shared" si="8"/>
        <v>Over BOQ</v>
      </c>
      <c r="M47">
        <f t="shared" si="4"/>
        <v>22294.720000000001</v>
      </c>
    </row>
    <row r="48" spans="1:13">
      <c r="A48" s="2" t="s">
        <v>283</v>
      </c>
      <c r="B48" s="2" t="s">
        <v>300</v>
      </c>
      <c r="C48" s="2" t="s">
        <v>303</v>
      </c>
      <c r="D48" s="2" t="s">
        <v>289</v>
      </c>
      <c r="E48" s="2">
        <v>3482</v>
      </c>
      <c r="F48" s="2">
        <v>3803</v>
      </c>
      <c r="G48" s="2">
        <v>148.25</v>
      </c>
      <c r="H48" s="20">
        <v>516206.5</v>
      </c>
      <c r="I48" s="5">
        <f t="shared" si="5"/>
        <v>563794.75</v>
      </c>
      <c r="J48" s="5">
        <f t="shared" si="6"/>
        <v>321</v>
      </c>
      <c r="K48" s="6">
        <f t="shared" si="7"/>
        <v>9.2188397472716829E-2</v>
      </c>
      <c r="L48" t="str">
        <f t="shared" si="8"/>
        <v>Over BOQ</v>
      </c>
      <c r="M48">
        <f t="shared" si="4"/>
        <v>47588.25</v>
      </c>
    </row>
    <row r="49" spans="1:13">
      <c r="A49" s="3" t="s">
        <v>283</v>
      </c>
      <c r="B49" s="3" t="s">
        <v>300</v>
      </c>
      <c r="C49" s="3" t="s">
        <v>304</v>
      </c>
      <c r="D49" s="3" t="s">
        <v>286</v>
      </c>
      <c r="E49" s="3">
        <v>1856</v>
      </c>
      <c r="F49" s="3">
        <v>1985</v>
      </c>
      <c r="G49" s="3">
        <v>58.22</v>
      </c>
      <c r="H49" s="21">
        <v>108056.32000000001</v>
      </c>
      <c r="I49" s="5">
        <f t="shared" si="5"/>
        <v>115566.7</v>
      </c>
      <c r="J49" s="5">
        <f t="shared" si="6"/>
        <v>129</v>
      </c>
      <c r="K49" s="6">
        <f t="shared" si="7"/>
        <v>6.9504310344827583E-2</v>
      </c>
      <c r="L49" t="str">
        <f t="shared" si="8"/>
        <v>Over BOQ</v>
      </c>
      <c r="M49">
        <f t="shared" si="4"/>
        <v>7510.38</v>
      </c>
    </row>
    <row r="50" spans="1:13">
      <c r="A50" s="2" t="s">
        <v>318</v>
      </c>
      <c r="B50" s="2" t="s">
        <v>284</v>
      </c>
      <c r="C50" s="2" t="s">
        <v>285</v>
      </c>
      <c r="D50" s="2" t="s">
        <v>286</v>
      </c>
      <c r="E50" s="2">
        <v>3073</v>
      </c>
      <c r="F50" s="2">
        <v>3266</v>
      </c>
      <c r="G50" s="2">
        <v>108.53</v>
      </c>
      <c r="H50" s="20">
        <v>333512.69</v>
      </c>
      <c r="I50" s="5">
        <f t="shared" si="5"/>
        <v>354458.98</v>
      </c>
      <c r="J50" s="5">
        <f t="shared" si="6"/>
        <v>193</v>
      </c>
      <c r="K50" s="6">
        <f t="shared" si="7"/>
        <v>6.2805076472502441E-2</v>
      </c>
      <c r="L50" t="str">
        <f t="shared" si="8"/>
        <v>Over BOQ</v>
      </c>
      <c r="M50">
        <f t="shared" si="4"/>
        <v>20946.29</v>
      </c>
    </row>
    <row r="51" spans="1:13">
      <c r="A51" s="2" t="s">
        <v>318</v>
      </c>
      <c r="B51" s="2" t="s">
        <v>311</v>
      </c>
      <c r="C51" s="2" t="s">
        <v>315</v>
      </c>
      <c r="D51" s="2" t="s">
        <v>289</v>
      </c>
      <c r="E51" s="2">
        <v>4914</v>
      </c>
      <c r="F51" s="2">
        <v>5216</v>
      </c>
      <c r="G51" s="2">
        <v>11.36</v>
      </c>
      <c r="H51" s="20">
        <v>55823.040000000001</v>
      </c>
      <c r="I51" s="5">
        <f t="shared" si="5"/>
        <v>59253.759999999995</v>
      </c>
      <c r="J51" s="5">
        <f t="shared" si="6"/>
        <v>302</v>
      </c>
      <c r="K51" s="6">
        <f t="shared" si="7"/>
        <v>6.1457061457061458E-2</v>
      </c>
      <c r="L51" t="str">
        <f t="shared" si="8"/>
        <v>Over BOQ</v>
      </c>
      <c r="M51">
        <f t="shared" si="4"/>
        <v>3430.72</v>
      </c>
    </row>
    <row r="52" spans="1:13">
      <c r="A52" s="3" t="s">
        <v>283</v>
      </c>
      <c r="B52" s="3" t="s">
        <v>311</v>
      </c>
      <c r="C52" s="3" t="s">
        <v>314</v>
      </c>
      <c r="D52" s="3" t="s">
        <v>291</v>
      </c>
      <c r="E52" s="3">
        <v>720</v>
      </c>
      <c r="F52" s="3">
        <v>764</v>
      </c>
      <c r="G52" s="3">
        <v>151.06</v>
      </c>
      <c r="H52" s="21">
        <v>108763.2</v>
      </c>
      <c r="I52" s="5">
        <f t="shared" si="5"/>
        <v>115409.84</v>
      </c>
      <c r="J52" s="5">
        <f t="shared" si="6"/>
        <v>44</v>
      </c>
      <c r="K52" s="6">
        <f t="shared" si="7"/>
        <v>6.1111111111111109E-2</v>
      </c>
      <c r="L52" t="str">
        <f t="shared" si="8"/>
        <v>Over BOQ</v>
      </c>
      <c r="M52">
        <f t="shared" si="4"/>
        <v>6646.64</v>
      </c>
    </row>
    <row r="53" spans="1:13">
      <c r="A53" s="3" t="s">
        <v>317</v>
      </c>
      <c r="B53" s="3" t="s">
        <v>300</v>
      </c>
      <c r="C53" s="3" t="s">
        <v>304</v>
      </c>
      <c r="D53" s="3" t="s">
        <v>286</v>
      </c>
      <c r="E53" s="3">
        <v>4010</v>
      </c>
      <c r="F53" s="3">
        <v>4247</v>
      </c>
      <c r="G53" s="3">
        <v>166.02</v>
      </c>
      <c r="H53" s="21">
        <v>665740.19999999995</v>
      </c>
      <c r="I53" s="5">
        <f t="shared" si="5"/>
        <v>705086.94000000006</v>
      </c>
      <c r="J53" s="5">
        <f t="shared" si="6"/>
        <v>237</v>
      </c>
      <c r="K53" s="6">
        <f t="shared" si="7"/>
        <v>5.9102244389027433E-2</v>
      </c>
      <c r="L53" t="str">
        <f t="shared" si="8"/>
        <v>Over BOQ</v>
      </c>
      <c r="M53">
        <f t="shared" si="4"/>
        <v>39346.740000000005</v>
      </c>
    </row>
    <row r="54" spans="1:13">
      <c r="A54" s="3" t="s">
        <v>283</v>
      </c>
      <c r="B54" s="3" t="s">
        <v>284</v>
      </c>
      <c r="C54" s="3" t="s">
        <v>287</v>
      </c>
      <c r="D54" s="3" t="s">
        <v>286</v>
      </c>
      <c r="E54" s="3">
        <v>4185</v>
      </c>
      <c r="F54" s="3">
        <v>4360</v>
      </c>
      <c r="G54" s="3">
        <v>181.84</v>
      </c>
      <c r="H54" s="21">
        <v>761000.4</v>
      </c>
      <c r="I54" s="5">
        <f t="shared" si="5"/>
        <v>792822.4</v>
      </c>
      <c r="J54" s="5">
        <f t="shared" si="6"/>
        <v>175</v>
      </c>
      <c r="K54" s="6">
        <f t="shared" si="7"/>
        <v>4.1816009557945039E-2</v>
      </c>
      <c r="L54" t="str">
        <f t="shared" si="8"/>
        <v>Over BOQ</v>
      </c>
      <c r="M54">
        <f t="shared" si="4"/>
        <v>31822</v>
      </c>
    </row>
    <row r="55" spans="1:13">
      <c r="A55" s="3" t="s">
        <v>317</v>
      </c>
      <c r="B55" s="3" t="s">
        <v>284</v>
      </c>
      <c r="C55" s="3" t="s">
        <v>293</v>
      </c>
      <c r="D55" s="3" t="s">
        <v>286</v>
      </c>
      <c r="E55" s="3">
        <v>3124</v>
      </c>
      <c r="F55" s="3">
        <v>3213</v>
      </c>
      <c r="G55" s="3">
        <v>144.43</v>
      </c>
      <c r="H55" s="21">
        <v>451199.32</v>
      </c>
      <c r="I55" s="5">
        <f t="shared" si="5"/>
        <v>464053.59</v>
      </c>
      <c r="J55" s="5">
        <f t="shared" si="6"/>
        <v>89</v>
      </c>
      <c r="K55" s="6">
        <f t="shared" si="7"/>
        <v>2.8489116517285532E-2</v>
      </c>
      <c r="L55" t="str">
        <f t="shared" si="8"/>
        <v>Over BOQ</v>
      </c>
      <c r="M55">
        <f t="shared" si="4"/>
        <v>12854.27</v>
      </c>
    </row>
    <row r="56" spans="1:13">
      <c r="A56" s="3" t="s">
        <v>283</v>
      </c>
      <c r="B56" s="3" t="s">
        <v>294</v>
      </c>
      <c r="C56" s="3" t="s">
        <v>299</v>
      </c>
      <c r="D56" s="3" t="s">
        <v>228</v>
      </c>
      <c r="E56" s="3">
        <v>3491</v>
      </c>
      <c r="F56" s="3">
        <v>3579</v>
      </c>
      <c r="G56" s="3">
        <v>155.11000000000001</v>
      </c>
      <c r="H56" s="21">
        <v>541489.01</v>
      </c>
      <c r="I56" s="5">
        <f t="shared" si="5"/>
        <v>555138.69000000006</v>
      </c>
      <c r="J56" s="5">
        <f t="shared" si="6"/>
        <v>88</v>
      </c>
      <c r="K56" s="6">
        <f t="shared" si="7"/>
        <v>2.5207676883414496E-2</v>
      </c>
      <c r="L56" t="str">
        <f t="shared" si="8"/>
        <v>Over BOQ</v>
      </c>
      <c r="M56">
        <f t="shared" si="4"/>
        <v>13649.68</v>
      </c>
    </row>
    <row r="57" spans="1:13">
      <c r="A57" s="2" t="s">
        <v>283</v>
      </c>
      <c r="B57" s="2" t="s">
        <v>300</v>
      </c>
      <c r="C57" s="2" t="s">
        <v>305</v>
      </c>
      <c r="D57" s="2" t="s">
        <v>289</v>
      </c>
      <c r="E57" s="2">
        <v>287</v>
      </c>
      <c r="F57" s="2">
        <v>294</v>
      </c>
      <c r="G57" s="2">
        <v>135.43</v>
      </c>
      <c r="H57" s="20">
        <v>38868.410000000003</v>
      </c>
      <c r="I57" s="5">
        <f t="shared" si="5"/>
        <v>39816.420000000006</v>
      </c>
      <c r="J57" s="5">
        <f t="shared" si="6"/>
        <v>7</v>
      </c>
      <c r="K57" s="6">
        <f t="shared" si="7"/>
        <v>2.4390243902439025E-2</v>
      </c>
      <c r="L57" t="str">
        <f t="shared" si="8"/>
        <v>Over BOQ</v>
      </c>
      <c r="M57">
        <f t="shared" si="4"/>
        <v>948.01</v>
      </c>
    </row>
    <row r="58" spans="1:13">
      <c r="A58" s="3" t="s">
        <v>318</v>
      </c>
      <c r="B58" s="3" t="s">
        <v>284</v>
      </c>
      <c r="C58" s="3" t="s">
        <v>287</v>
      </c>
      <c r="D58" s="3" t="s">
        <v>289</v>
      </c>
      <c r="E58" s="3">
        <v>4558</v>
      </c>
      <c r="F58" s="3">
        <v>4552</v>
      </c>
      <c r="G58" s="3">
        <v>142.06</v>
      </c>
      <c r="H58" s="21">
        <v>647509.48</v>
      </c>
      <c r="I58" s="5">
        <f t="shared" si="5"/>
        <v>646657.12</v>
      </c>
      <c r="J58" s="5">
        <f t="shared" si="6"/>
        <v>-6</v>
      </c>
      <c r="K58" s="6">
        <f t="shared" si="7"/>
        <v>-1.3163668275559457E-3</v>
      </c>
      <c r="L58" t="str">
        <f t="shared" si="8"/>
        <v>Within BOQ</v>
      </c>
      <c r="M58">
        <f t="shared" si="4"/>
        <v>0</v>
      </c>
    </row>
    <row r="59" spans="1:13">
      <c r="A59" s="3" t="s">
        <v>283</v>
      </c>
      <c r="B59" s="3" t="s">
        <v>311</v>
      </c>
      <c r="C59" s="3" t="s">
        <v>312</v>
      </c>
      <c r="D59" s="3" t="s">
        <v>228</v>
      </c>
      <c r="E59" s="3">
        <v>3774</v>
      </c>
      <c r="F59" s="3">
        <v>3762</v>
      </c>
      <c r="G59" s="3">
        <v>153.44</v>
      </c>
      <c r="H59" s="21">
        <v>579082.56000000006</v>
      </c>
      <c r="I59" s="5">
        <f t="shared" si="5"/>
        <v>577241.28</v>
      </c>
      <c r="J59" s="5">
        <f t="shared" si="6"/>
        <v>-12</v>
      </c>
      <c r="K59" s="6">
        <f t="shared" si="7"/>
        <v>-3.1796502384737681E-3</v>
      </c>
      <c r="L59" t="str">
        <f t="shared" si="8"/>
        <v>Within BOQ</v>
      </c>
      <c r="M59">
        <f t="shared" si="4"/>
        <v>0</v>
      </c>
    </row>
    <row r="60" spans="1:13">
      <c r="A60" s="2" t="s">
        <v>317</v>
      </c>
      <c r="B60" s="2" t="s">
        <v>300</v>
      </c>
      <c r="C60" s="2" t="s">
        <v>305</v>
      </c>
      <c r="D60" s="2" t="s">
        <v>286</v>
      </c>
      <c r="E60" s="2">
        <v>2248</v>
      </c>
      <c r="F60" s="2">
        <v>2236</v>
      </c>
      <c r="G60" s="2">
        <v>52.87</v>
      </c>
      <c r="H60" s="20">
        <v>118851.76</v>
      </c>
      <c r="I60" s="5">
        <f t="shared" si="5"/>
        <v>118217.31999999999</v>
      </c>
      <c r="J60" s="5">
        <f t="shared" si="6"/>
        <v>-12</v>
      </c>
      <c r="K60" s="6">
        <f t="shared" si="7"/>
        <v>-5.3380782918149468E-3</v>
      </c>
      <c r="L60" t="str">
        <f t="shared" si="8"/>
        <v>Within BOQ</v>
      </c>
      <c r="M60">
        <f t="shared" si="4"/>
        <v>0</v>
      </c>
    </row>
    <row r="61" spans="1:13">
      <c r="A61" s="3" t="s">
        <v>318</v>
      </c>
      <c r="B61" s="3" t="s">
        <v>294</v>
      </c>
      <c r="C61" s="3" t="s">
        <v>296</v>
      </c>
      <c r="D61" s="3" t="s">
        <v>291</v>
      </c>
      <c r="E61" s="3">
        <v>1519</v>
      </c>
      <c r="F61" s="3">
        <v>1497</v>
      </c>
      <c r="G61" s="3">
        <v>143.06</v>
      </c>
      <c r="H61" s="21">
        <v>217308.14</v>
      </c>
      <c r="I61" s="5">
        <f t="shared" si="5"/>
        <v>214160.82</v>
      </c>
      <c r="J61" s="5">
        <f t="shared" si="6"/>
        <v>-22</v>
      </c>
      <c r="K61" s="6">
        <f t="shared" si="7"/>
        <v>-1.4483212639894667E-2</v>
      </c>
      <c r="L61" t="str">
        <f t="shared" si="8"/>
        <v>Within BOQ</v>
      </c>
      <c r="M61">
        <f t="shared" si="4"/>
        <v>0</v>
      </c>
    </row>
    <row r="62" spans="1:13">
      <c r="A62" s="2" t="s">
        <v>318</v>
      </c>
      <c r="B62" s="2" t="s">
        <v>284</v>
      </c>
      <c r="C62" s="2" t="s">
        <v>288</v>
      </c>
      <c r="D62" s="2" t="s">
        <v>291</v>
      </c>
      <c r="E62" s="2">
        <v>2561</v>
      </c>
      <c r="F62" s="2">
        <v>2466</v>
      </c>
      <c r="G62" s="2">
        <v>28.53</v>
      </c>
      <c r="H62" s="20">
        <v>73065.33</v>
      </c>
      <c r="I62" s="5">
        <f t="shared" si="5"/>
        <v>70354.98</v>
      </c>
      <c r="J62" s="5">
        <f t="shared" si="6"/>
        <v>-95</v>
      </c>
      <c r="K62" s="6">
        <f t="shared" si="7"/>
        <v>-3.709488481062085E-2</v>
      </c>
      <c r="L62" t="str">
        <f t="shared" si="8"/>
        <v>Within BOQ</v>
      </c>
      <c r="M62">
        <f t="shared" si="4"/>
        <v>0</v>
      </c>
    </row>
    <row r="63" spans="1:13">
      <c r="A63" s="2" t="s">
        <v>317</v>
      </c>
      <c r="B63" s="2" t="s">
        <v>311</v>
      </c>
      <c r="C63" s="2" t="s">
        <v>313</v>
      </c>
      <c r="D63" s="2" t="s">
        <v>228</v>
      </c>
      <c r="E63" s="2">
        <v>751</v>
      </c>
      <c r="F63" s="2">
        <v>719</v>
      </c>
      <c r="G63" s="2">
        <v>84.25</v>
      </c>
      <c r="H63" s="20">
        <v>63271.75</v>
      </c>
      <c r="I63" s="5">
        <f t="shared" si="5"/>
        <v>60575.75</v>
      </c>
      <c r="J63" s="5">
        <f t="shared" si="6"/>
        <v>-32</v>
      </c>
      <c r="K63" s="6">
        <f t="shared" si="7"/>
        <v>-4.2609853528628498E-2</v>
      </c>
      <c r="L63" t="str">
        <f t="shared" si="8"/>
        <v>Within BOQ</v>
      </c>
      <c r="M63">
        <f t="shared" si="4"/>
        <v>0</v>
      </c>
    </row>
    <row r="64" spans="1:13">
      <c r="A64" s="3" t="s">
        <v>283</v>
      </c>
      <c r="B64" s="3" t="s">
        <v>284</v>
      </c>
      <c r="C64" s="3" t="s">
        <v>293</v>
      </c>
      <c r="D64" s="3" t="s">
        <v>238</v>
      </c>
      <c r="E64" s="3">
        <v>2390</v>
      </c>
      <c r="F64" s="3">
        <v>2283</v>
      </c>
      <c r="G64" s="3">
        <v>70.489999999999995</v>
      </c>
      <c r="H64" s="21">
        <v>168471.1</v>
      </c>
      <c r="I64" s="5">
        <f t="shared" si="5"/>
        <v>160928.66999999998</v>
      </c>
      <c r="J64" s="5">
        <f t="shared" si="6"/>
        <v>-107</v>
      </c>
      <c r="K64" s="6">
        <f t="shared" si="7"/>
        <v>-4.4769874476987451E-2</v>
      </c>
      <c r="L64" t="str">
        <f t="shared" si="8"/>
        <v>Within BOQ</v>
      </c>
      <c r="M64">
        <f t="shared" si="4"/>
        <v>0</v>
      </c>
    </row>
    <row r="65" spans="1:13">
      <c r="A65" s="2" t="s">
        <v>283</v>
      </c>
      <c r="B65" s="2" t="s">
        <v>311</v>
      </c>
      <c r="C65" s="2" t="s">
        <v>315</v>
      </c>
      <c r="D65" s="2" t="s">
        <v>238</v>
      </c>
      <c r="E65" s="2">
        <v>2916</v>
      </c>
      <c r="F65" s="2">
        <v>2772</v>
      </c>
      <c r="G65" s="2">
        <v>18.38</v>
      </c>
      <c r="H65" s="20">
        <v>53596.08</v>
      </c>
      <c r="I65" s="5">
        <f t="shared" si="5"/>
        <v>50949.36</v>
      </c>
      <c r="J65" s="5">
        <f t="shared" si="6"/>
        <v>-144</v>
      </c>
      <c r="K65" s="6">
        <f t="shared" si="7"/>
        <v>-4.9382716049382713E-2</v>
      </c>
      <c r="L65" t="str">
        <f t="shared" si="8"/>
        <v>Within BOQ</v>
      </c>
      <c r="M65">
        <f t="shared" si="4"/>
        <v>0</v>
      </c>
    </row>
    <row r="66" spans="1:13">
      <c r="A66" s="2" t="s">
        <v>318</v>
      </c>
      <c r="B66" s="2" t="s">
        <v>284</v>
      </c>
      <c r="C66" s="2" t="s">
        <v>292</v>
      </c>
      <c r="D66" s="2" t="s">
        <v>297</v>
      </c>
      <c r="E66" s="2">
        <v>1566</v>
      </c>
      <c r="F66" s="2">
        <v>1466</v>
      </c>
      <c r="G66" s="2">
        <v>149.03</v>
      </c>
      <c r="H66" s="20">
        <v>233380.98</v>
      </c>
      <c r="I66" s="5">
        <f t="shared" si="5"/>
        <v>218477.98</v>
      </c>
      <c r="J66" s="5">
        <f t="shared" si="6"/>
        <v>-100</v>
      </c>
      <c r="K66" s="6">
        <f t="shared" si="7"/>
        <v>-6.3856960408684549E-2</v>
      </c>
      <c r="L66" t="str">
        <f t="shared" si="8"/>
        <v>Within BOQ</v>
      </c>
      <c r="M66">
        <f t="shared" si="4"/>
        <v>0</v>
      </c>
    </row>
    <row r="67" spans="1:13">
      <c r="A67" s="3" t="s">
        <v>318</v>
      </c>
      <c r="B67" s="3" t="s">
        <v>300</v>
      </c>
      <c r="C67" s="3" t="s">
        <v>302</v>
      </c>
      <c r="D67" s="3" t="s">
        <v>289</v>
      </c>
      <c r="E67" s="3">
        <v>2841</v>
      </c>
      <c r="F67" s="3">
        <v>2650</v>
      </c>
      <c r="G67" s="3">
        <v>15.02</v>
      </c>
      <c r="H67" s="21">
        <v>42671.82</v>
      </c>
      <c r="I67" s="5">
        <f t="shared" si="5"/>
        <v>39803</v>
      </c>
      <c r="J67" s="5">
        <f t="shared" si="6"/>
        <v>-191</v>
      </c>
      <c r="K67" s="6">
        <f t="shared" si="7"/>
        <v>-6.7229848644843368E-2</v>
      </c>
      <c r="L67" t="str">
        <f t="shared" si="8"/>
        <v>Within BOQ</v>
      </c>
      <c r="M67">
        <f t="shared" si="4"/>
        <v>0</v>
      </c>
    </row>
    <row r="68" spans="1:13">
      <c r="A68" s="2" t="s">
        <v>283</v>
      </c>
      <c r="B68" s="2" t="s">
        <v>294</v>
      </c>
      <c r="C68" s="2" t="s">
        <v>295</v>
      </c>
      <c r="D68" s="2" t="s">
        <v>286</v>
      </c>
      <c r="E68" s="2">
        <v>710</v>
      </c>
      <c r="F68" s="2">
        <v>647</v>
      </c>
      <c r="G68" s="2">
        <v>50.1</v>
      </c>
      <c r="H68" s="20">
        <v>35571</v>
      </c>
      <c r="I68" s="5">
        <f t="shared" si="5"/>
        <v>32414.7</v>
      </c>
      <c r="J68" s="5">
        <f t="shared" si="6"/>
        <v>-63</v>
      </c>
      <c r="K68" s="6">
        <f t="shared" si="7"/>
        <v>-8.873239436619719E-2</v>
      </c>
      <c r="L68" t="str">
        <f t="shared" si="8"/>
        <v>Within BOQ</v>
      </c>
      <c r="M68">
        <f t="shared" si="4"/>
        <v>0</v>
      </c>
    </row>
    <row r="69" spans="1:13">
      <c r="A69" s="3" t="s">
        <v>318</v>
      </c>
      <c r="B69" s="3" t="s">
        <v>284</v>
      </c>
      <c r="C69" s="3" t="s">
        <v>290</v>
      </c>
      <c r="D69" s="3" t="s">
        <v>228</v>
      </c>
      <c r="E69" s="3">
        <v>2634</v>
      </c>
      <c r="F69" s="3">
        <v>2380</v>
      </c>
      <c r="G69" s="3">
        <v>109.49</v>
      </c>
      <c r="H69" s="21">
        <v>288396.65999999997</v>
      </c>
      <c r="I69" s="5">
        <f t="shared" ref="I69:I76" si="9">F69*G69</f>
        <v>260586.19999999998</v>
      </c>
      <c r="J69" s="5">
        <f t="shared" ref="J69:J76" si="10">F69-E69</f>
        <v>-254</v>
      </c>
      <c r="K69" s="6">
        <f t="shared" ref="K69:K76" si="11">J69/E69</f>
        <v>-9.6431283219438113E-2</v>
      </c>
      <c r="L69" t="str">
        <f t="shared" ref="L69:L76" si="12">IF(F69&gt;E69,"Over BOQ","Within BOQ")</f>
        <v>Within BOQ</v>
      </c>
      <c r="M69">
        <f t="shared" si="4"/>
        <v>0</v>
      </c>
    </row>
    <row r="70" spans="1:13">
      <c r="A70" s="3" t="s">
        <v>283</v>
      </c>
      <c r="B70" s="3" t="s">
        <v>306</v>
      </c>
      <c r="C70" s="3" t="s">
        <v>309</v>
      </c>
      <c r="D70" s="3" t="s">
        <v>286</v>
      </c>
      <c r="E70" s="3">
        <v>272</v>
      </c>
      <c r="F70" s="3">
        <v>241</v>
      </c>
      <c r="G70" s="3">
        <v>88.58</v>
      </c>
      <c r="H70" s="21">
        <v>24093.759999999998</v>
      </c>
      <c r="I70" s="5">
        <f t="shared" si="9"/>
        <v>21347.78</v>
      </c>
      <c r="J70" s="5">
        <f t="shared" si="10"/>
        <v>-31</v>
      </c>
      <c r="K70" s="6">
        <f t="shared" si="11"/>
        <v>-0.11397058823529412</v>
      </c>
      <c r="L70" t="str">
        <f t="shared" si="12"/>
        <v>Within BOQ</v>
      </c>
      <c r="M70">
        <f t="shared" ref="M70:M76" si="13">IF(J70&gt;0,J70*G70,0)</f>
        <v>0</v>
      </c>
    </row>
    <row r="71" spans="1:13">
      <c r="A71" s="3" t="s">
        <v>318</v>
      </c>
      <c r="B71" s="3" t="s">
        <v>311</v>
      </c>
      <c r="C71" s="3" t="s">
        <v>314</v>
      </c>
      <c r="D71" s="3" t="s">
        <v>228</v>
      </c>
      <c r="E71" s="3">
        <v>4571</v>
      </c>
      <c r="F71" s="3">
        <v>4039</v>
      </c>
      <c r="G71" s="3">
        <v>5.52</v>
      </c>
      <c r="H71" s="21">
        <v>25231.919999999998</v>
      </c>
      <c r="I71" s="5">
        <f t="shared" si="9"/>
        <v>22295.279999999999</v>
      </c>
      <c r="J71" s="5">
        <f t="shared" si="10"/>
        <v>-532</v>
      </c>
      <c r="K71" s="6">
        <f t="shared" si="11"/>
        <v>-0.11638591117917305</v>
      </c>
      <c r="L71" t="str">
        <f t="shared" si="12"/>
        <v>Within BOQ</v>
      </c>
      <c r="M71">
        <f t="shared" si="13"/>
        <v>0</v>
      </c>
    </row>
    <row r="72" spans="1:13">
      <c r="A72" s="3" t="s">
        <v>317</v>
      </c>
      <c r="B72" s="3" t="s">
        <v>294</v>
      </c>
      <c r="C72" s="3" t="s">
        <v>299</v>
      </c>
      <c r="D72" s="3" t="s">
        <v>289</v>
      </c>
      <c r="E72" s="3">
        <v>3085</v>
      </c>
      <c r="F72" s="3">
        <v>2717</v>
      </c>
      <c r="G72" s="3">
        <v>131.27000000000001</v>
      </c>
      <c r="H72" s="21">
        <v>404967.95</v>
      </c>
      <c r="I72" s="5">
        <f t="shared" si="9"/>
        <v>356660.59</v>
      </c>
      <c r="J72" s="5">
        <f t="shared" si="10"/>
        <v>-368</v>
      </c>
      <c r="K72" s="6">
        <f t="shared" si="11"/>
        <v>-0.1192868719611021</v>
      </c>
      <c r="L72" t="str">
        <f t="shared" si="12"/>
        <v>Within BOQ</v>
      </c>
      <c r="M72">
        <f t="shared" si="13"/>
        <v>0</v>
      </c>
    </row>
    <row r="73" spans="1:13">
      <c r="A73" s="2" t="s">
        <v>283</v>
      </c>
      <c r="B73" s="2" t="s">
        <v>306</v>
      </c>
      <c r="C73" s="2" t="s">
        <v>310</v>
      </c>
      <c r="D73" s="2" t="s">
        <v>289</v>
      </c>
      <c r="E73" s="2">
        <v>1538</v>
      </c>
      <c r="F73" s="2">
        <v>1342</v>
      </c>
      <c r="G73" s="2">
        <v>78.930000000000007</v>
      </c>
      <c r="H73" s="20">
        <v>121394.34</v>
      </c>
      <c r="I73" s="5">
        <f t="shared" si="9"/>
        <v>105924.06000000001</v>
      </c>
      <c r="J73" s="5">
        <f t="shared" si="10"/>
        <v>-196</v>
      </c>
      <c r="K73" s="6">
        <f t="shared" si="11"/>
        <v>-0.12743823146944083</v>
      </c>
      <c r="L73" t="str">
        <f t="shared" si="12"/>
        <v>Within BOQ</v>
      </c>
      <c r="M73">
        <f t="shared" si="13"/>
        <v>0</v>
      </c>
    </row>
    <row r="74" spans="1:13">
      <c r="A74" s="2" t="s">
        <v>318</v>
      </c>
      <c r="B74" s="2" t="s">
        <v>294</v>
      </c>
      <c r="C74" s="2" t="s">
        <v>298</v>
      </c>
      <c r="D74" s="2" t="s">
        <v>228</v>
      </c>
      <c r="E74" s="2">
        <v>2297</v>
      </c>
      <c r="F74" s="2">
        <v>1999</v>
      </c>
      <c r="G74" s="2">
        <v>15.63</v>
      </c>
      <c r="H74" s="20">
        <v>35902.11</v>
      </c>
      <c r="I74" s="5">
        <f t="shared" si="9"/>
        <v>31244.370000000003</v>
      </c>
      <c r="J74" s="5">
        <f t="shared" si="10"/>
        <v>-298</v>
      </c>
      <c r="K74" s="6">
        <f t="shared" si="11"/>
        <v>-0.12973443622115804</v>
      </c>
      <c r="L74" t="str">
        <f t="shared" si="12"/>
        <v>Within BOQ</v>
      </c>
      <c r="M74">
        <f t="shared" si="13"/>
        <v>0</v>
      </c>
    </row>
    <row r="75" spans="1:13">
      <c r="A75" s="2" t="s">
        <v>283</v>
      </c>
      <c r="B75" s="2" t="s">
        <v>306</v>
      </c>
      <c r="C75" s="2" t="s">
        <v>308</v>
      </c>
      <c r="D75" s="2" t="s">
        <v>286</v>
      </c>
      <c r="E75" s="2">
        <v>4425</v>
      </c>
      <c r="F75" s="2">
        <v>3814</v>
      </c>
      <c r="G75" s="2">
        <v>81.83</v>
      </c>
      <c r="H75" s="20">
        <v>362097.75</v>
      </c>
      <c r="I75" s="5">
        <f t="shared" si="9"/>
        <v>312099.62</v>
      </c>
      <c r="J75" s="5">
        <f t="shared" si="10"/>
        <v>-611</v>
      </c>
      <c r="K75" s="6">
        <f t="shared" si="11"/>
        <v>-0.13807909604519775</v>
      </c>
      <c r="L75" t="str">
        <f t="shared" si="12"/>
        <v>Within BOQ</v>
      </c>
      <c r="M75">
        <f t="shared" si="13"/>
        <v>0</v>
      </c>
    </row>
    <row r="76" spans="1:13">
      <c r="A76" s="3" t="s">
        <v>283</v>
      </c>
      <c r="B76" s="3" t="s">
        <v>300</v>
      </c>
      <c r="C76" s="3" t="s">
        <v>302</v>
      </c>
      <c r="D76" s="3" t="s">
        <v>289</v>
      </c>
      <c r="E76" s="3">
        <v>3957</v>
      </c>
      <c r="F76" s="3">
        <v>3373</v>
      </c>
      <c r="G76" s="3">
        <v>73.59</v>
      </c>
      <c r="H76" s="21">
        <v>291195.63</v>
      </c>
      <c r="I76" s="5">
        <f t="shared" si="9"/>
        <v>248219.07</v>
      </c>
      <c r="J76" s="5">
        <f t="shared" si="10"/>
        <v>-584</v>
      </c>
      <c r="K76" s="6">
        <f t="shared" si="11"/>
        <v>-0.14758655547131666</v>
      </c>
      <c r="L76" t="str">
        <f t="shared" si="12"/>
        <v>Within BOQ</v>
      </c>
      <c r="M76">
        <f t="shared" si="13"/>
        <v>0</v>
      </c>
    </row>
    <row r="78" spans="1:13" ht="15.6">
      <c r="A78" s="7" t="s">
        <v>209</v>
      </c>
    </row>
    <row r="79" spans="1:13">
      <c r="A79" s="96" t="s">
        <v>319</v>
      </c>
      <c r="B79" s="96"/>
      <c r="C79" s="96"/>
      <c r="D79" s="96"/>
      <c r="E79" s="96"/>
      <c r="F79" s="96"/>
      <c r="G79" s="136" t="s">
        <v>1274</v>
      </c>
      <c r="H79" s="137"/>
      <c r="I79" s="137"/>
      <c r="J79" s="137"/>
      <c r="K79" s="137"/>
      <c r="L79" s="137"/>
      <c r="M79" s="137"/>
    </row>
    <row r="80" spans="1:13">
      <c r="A80" s="96" t="s">
        <v>320</v>
      </c>
      <c r="B80" s="96"/>
      <c r="C80" s="96"/>
      <c r="D80" s="96"/>
      <c r="E80" s="96"/>
      <c r="F80" s="96"/>
    </row>
    <row r="81" spans="1:6">
      <c r="A81" s="96" t="s">
        <v>321</v>
      </c>
      <c r="B81" s="96"/>
      <c r="C81" s="96"/>
      <c r="D81" s="96"/>
      <c r="E81" s="96"/>
      <c r="F81" s="96"/>
    </row>
    <row r="82" spans="1:6">
      <c r="A82" s="96" t="s">
        <v>322</v>
      </c>
      <c r="B82" s="96"/>
      <c r="C82" s="96"/>
      <c r="D82" s="96"/>
      <c r="E82" s="96"/>
      <c r="F82" s="96"/>
    </row>
    <row r="83" spans="1:6">
      <c r="A83" s="96" t="s">
        <v>323</v>
      </c>
      <c r="B83" s="96"/>
      <c r="C83" s="96"/>
      <c r="D83" s="96"/>
      <c r="E83" s="96"/>
      <c r="F83" s="96"/>
    </row>
    <row r="84" spans="1:6">
      <c r="A84" s="96" t="s">
        <v>324</v>
      </c>
      <c r="B84" s="96"/>
      <c r="C84" s="96"/>
      <c r="D84" s="96"/>
      <c r="E84" s="96"/>
      <c r="F84" s="96"/>
    </row>
    <row r="99" spans="4:4">
      <c r="D99">
        <f>'P03'!D61-'P03'!B62</f>
        <v>375655.02000000142</v>
      </c>
    </row>
  </sheetData>
  <sortState xmlns:xlrd2="http://schemas.microsoft.com/office/spreadsheetml/2017/richdata2" ref="A5:L76">
    <sortCondition descending="1" ref="K5:K76"/>
  </sortState>
  <mergeCells count="9">
    <mergeCell ref="A82:F82"/>
    <mergeCell ref="A83:F83"/>
    <mergeCell ref="A84:F84"/>
    <mergeCell ref="A1:H1"/>
    <mergeCell ref="A2:H2"/>
    <mergeCell ref="A79:F79"/>
    <mergeCell ref="A80:F80"/>
    <mergeCell ref="A81:F81"/>
    <mergeCell ref="G79:M79"/>
  </mergeCells>
  <conditionalFormatting sqref="H5:H76">
    <cfRule type="top10" dxfId="1" priority="1" rank="1"/>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ED75-7AEF-4FCC-A80D-1D622183609D}">
  <dimension ref="A1:G62"/>
  <sheetViews>
    <sheetView topLeftCell="B67" workbookViewId="0">
      <selection activeCell="J65" sqref="J64:J65"/>
    </sheetView>
  </sheetViews>
  <sheetFormatPr defaultRowHeight="14.4"/>
  <cols>
    <col min="1" max="1" width="14.88671875" bestFit="1" customWidth="1"/>
    <col min="2" max="2" width="27.21875" bestFit="1" customWidth="1"/>
    <col min="3" max="3" width="14.6640625" bestFit="1" customWidth="1"/>
    <col min="4" max="4" width="14.21875" bestFit="1" customWidth="1"/>
    <col min="5" max="5" width="10.77734375" bestFit="1" customWidth="1"/>
    <col min="6" max="6" width="14.109375" bestFit="1" customWidth="1"/>
    <col min="7" max="7" width="11" bestFit="1" customWidth="1"/>
  </cols>
  <sheetData>
    <row r="1" spans="1:4">
      <c r="A1" s="138" t="s">
        <v>13</v>
      </c>
      <c r="B1" s="138"/>
      <c r="C1" s="138"/>
    </row>
    <row r="2" spans="1:4">
      <c r="A2" s="138"/>
      <c r="B2" s="138"/>
      <c r="C2" s="138"/>
    </row>
    <row r="4" spans="1:4">
      <c r="A4" s="139" t="s">
        <v>1232</v>
      </c>
      <c r="B4" s="139"/>
    </row>
    <row r="5" spans="1:4">
      <c r="A5" s="139"/>
      <c r="B5" s="139"/>
    </row>
    <row r="7" spans="1:4">
      <c r="A7" s="11" t="s">
        <v>1277</v>
      </c>
      <c r="B7" t="s">
        <v>1275</v>
      </c>
      <c r="C7" t="s">
        <v>1276</v>
      </c>
      <c r="D7" s="24" t="s">
        <v>1278</v>
      </c>
    </row>
    <row r="8" spans="1:4">
      <c r="A8" s="12" t="s">
        <v>283</v>
      </c>
      <c r="B8" s="22">
        <v>5686239.7999999998</v>
      </c>
      <c r="C8">
        <v>6061894.8200000003</v>
      </c>
      <c r="D8" s="22">
        <f>C8-B8</f>
        <v>375655.02000000048</v>
      </c>
    </row>
    <row r="9" spans="1:4">
      <c r="A9" s="12" t="s">
        <v>318</v>
      </c>
      <c r="B9" s="22">
        <v>4619527.8899999997</v>
      </c>
      <c r="C9">
        <v>5117552.24</v>
      </c>
      <c r="D9" s="22">
        <f t="shared" ref="D9:D11" si="0">C9-B9</f>
        <v>498024.35000000056</v>
      </c>
    </row>
    <row r="10" spans="1:4">
      <c r="A10" s="12" t="s">
        <v>317</v>
      </c>
      <c r="B10" s="22">
        <v>5691799.8999999994</v>
      </c>
      <c r="C10">
        <v>6408709.8500000006</v>
      </c>
      <c r="D10" s="22">
        <f t="shared" si="0"/>
        <v>716909.95000000112</v>
      </c>
    </row>
    <row r="11" spans="1:4">
      <c r="A11" s="12" t="s">
        <v>1228</v>
      </c>
      <c r="B11" s="22">
        <v>15997567.59</v>
      </c>
      <c r="C11">
        <v>17588156.91</v>
      </c>
      <c r="D11" s="23">
        <f t="shared" si="0"/>
        <v>1590589.3200000003</v>
      </c>
    </row>
    <row r="13" spans="1:4">
      <c r="A13" s="141" t="s">
        <v>1279</v>
      </c>
      <c r="B13" s="141"/>
      <c r="C13" s="141"/>
    </row>
    <row r="14" spans="1:4">
      <c r="A14" s="141"/>
      <c r="B14" s="141"/>
      <c r="C14" s="141"/>
    </row>
    <row r="16" spans="1:4">
      <c r="A16" s="140" t="s">
        <v>1233</v>
      </c>
      <c r="B16" s="140"/>
    </row>
    <row r="17" spans="1:5">
      <c r="A17" s="140"/>
      <c r="B17" s="140"/>
    </row>
    <row r="19" spans="1:5">
      <c r="A19" s="11" t="s">
        <v>1281</v>
      </c>
      <c r="B19" s="11" t="s">
        <v>1277</v>
      </c>
    </row>
    <row r="20" spans="1:5">
      <c r="A20" s="11" t="s">
        <v>1227</v>
      </c>
      <c r="B20" t="s">
        <v>283</v>
      </c>
      <c r="C20" t="s">
        <v>318</v>
      </c>
      <c r="D20" t="s">
        <v>317</v>
      </c>
      <c r="E20" t="s">
        <v>1228</v>
      </c>
    </row>
    <row r="21" spans="1:5">
      <c r="A21" s="12" t="s">
        <v>284</v>
      </c>
      <c r="B21">
        <v>2054</v>
      </c>
      <c r="C21">
        <v>1150</v>
      </c>
      <c r="D21">
        <v>937</v>
      </c>
      <c r="E21">
        <v>4141</v>
      </c>
    </row>
    <row r="22" spans="1:5">
      <c r="A22" s="12" t="s">
        <v>311</v>
      </c>
      <c r="B22">
        <v>397</v>
      </c>
      <c r="C22">
        <v>727</v>
      </c>
      <c r="D22">
        <v>1834</v>
      </c>
      <c r="E22">
        <v>2958</v>
      </c>
    </row>
    <row r="23" spans="1:5">
      <c r="A23" s="12" t="s">
        <v>300</v>
      </c>
      <c r="B23">
        <v>-78</v>
      </c>
      <c r="C23">
        <v>1968</v>
      </c>
      <c r="D23">
        <v>2865</v>
      </c>
      <c r="E23">
        <v>4755</v>
      </c>
    </row>
    <row r="24" spans="1:5">
      <c r="A24" s="12" t="s">
        <v>294</v>
      </c>
      <c r="B24">
        <v>502</v>
      </c>
      <c r="C24">
        <v>24</v>
      </c>
      <c r="D24">
        <v>1952</v>
      </c>
      <c r="E24">
        <v>2478</v>
      </c>
    </row>
    <row r="25" spans="1:5">
      <c r="A25" s="12" t="s">
        <v>306</v>
      </c>
      <c r="B25">
        <v>-519</v>
      </c>
      <c r="C25">
        <v>1678</v>
      </c>
      <c r="D25">
        <v>2734</v>
      </c>
      <c r="E25">
        <v>3893</v>
      </c>
    </row>
    <row r="26" spans="1:5">
      <c r="A26" s="12" t="s">
        <v>1228</v>
      </c>
      <c r="B26">
        <v>2356</v>
      </c>
      <c r="C26">
        <v>5547</v>
      </c>
      <c r="D26">
        <v>10322</v>
      </c>
      <c r="E26">
        <v>18225</v>
      </c>
    </row>
    <row r="28" spans="1:5">
      <c r="A28" s="132" t="s">
        <v>1282</v>
      </c>
      <c r="B28" s="132"/>
      <c r="C28" s="132"/>
      <c r="D28" s="132"/>
      <c r="E28" s="132"/>
    </row>
    <row r="29" spans="1:5">
      <c r="A29" s="132"/>
      <c r="B29" s="132"/>
      <c r="C29" s="132"/>
      <c r="D29" s="132"/>
      <c r="E29" s="132"/>
    </row>
    <row r="30" spans="1:5">
      <c r="A30" s="132"/>
      <c r="B30" s="132"/>
      <c r="C30" s="132"/>
      <c r="D30" s="132"/>
      <c r="E30" s="132"/>
    </row>
    <row r="32" spans="1:5">
      <c r="A32" s="139" t="s">
        <v>1239</v>
      </c>
      <c r="B32" s="139"/>
    </row>
    <row r="33" spans="1:6">
      <c r="A33" s="139"/>
      <c r="B33" s="139"/>
    </row>
    <row r="35" spans="1:6">
      <c r="A35" s="25" t="s">
        <v>275</v>
      </c>
      <c r="B35" s="27" t="s">
        <v>282</v>
      </c>
    </row>
    <row r="36" spans="1:6" ht="14.4" customHeight="1">
      <c r="A36" s="3" t="s">
        <v>293</v>
      </c>
      <c r="B36" s="27">
        <v>0.28940356630457059</v>
      </c>
      <c r="C36" s="129" t="s">
        <v>1283</v>
      </c>
      <c r="D36" s="129"/>
      <c r="E36" s="129"/>
      <c r="F36" s="129"/>
    </row>
    <row r="37" spans="1:6">
      <c r="A37" s="2" t="s">
        <v>303</v>
      </c>
      <c r="B37" s="27">
        <v>0.28445883441258096</v>
      </c>
      <c r="C37" s="129"/>
      <c r="D37" s="129"/>
      <c r="E37" s="129"/>
      <c r="F37" s="129"/>
    </row>
    <row r="38" spans="1:6">
      <c r="A38" s="2" t="s">
        <v>285</v>
      </c>
      <c r="B38" s="27">
        <v>0.27746319365798416</v>
      </c>
      <c r="C38" s="129"/>
      <c r="D38" s="129"/>
      <c r="E38" s="129"/>
      <c r="F38" s="129"/>
    </row>
    <row r="39" spans="1:6">
      <c r="A39" s="2" t="s">
        <v>305</v>
      </c>
      <c r="B39" s="27">
        <v>0.27703862660944206</v>
      </c>
    </row>
    <row r="40" spans="1:6">
      <c r="A40" s="3" t="s">
        <v>312</v>
      </c>
      <c r="B40" s="27">
        <v>0.27610208816705334</v>
      </c>
    </row>
    <row r="42" spans="1:6">
      <c r="A42" s="140" t="s">
        <v>1242</v>
      </c>
      <c r="B42" s="140"/>
    </row>
    <row r="43" spans="1:6">
      <c r="A43" s="140"/>
      <c r="B43" s="140"/>
    </row>
    <row r="45" spans="1:6">
      <c r="A45" s="11" t="s">
        <v>1277</v>
      </c>
      <c r="B45" t="s">
        <v>1285</v>
      </c>
    </row>
    <row r="46" spans="1:6">
      <c r="A46" s="12" t="s">
        <v>283</v>
      </c>
      <c r="B46">
        <v>502032.7</v>
      </c>
      <c r="C46" s="129" t="s">
        <v>1286</v>
      </c>
      <c r="D46" s="129"/>
      <c r="E46" s="129"/>
      <c r="F46" s="129"/>
    </row>
    <row r="47" spans="1:6">
      <c r="A47" s="12" t="s">
        <v>318</v>
      </c>
      <c r="B47">
        <v>557911.04000000004</v>
      </c>
      <c r="C47" s="129"/>
      <c r="D47" s="129"/>
      <c r="E47" s="129"/>
      <c r="F47" s="129"/>
    </row>
    <row r="48" spans="1:6">
      <c r="A48" s="12" t="s">
        <v>317</v>
      </c>
      <c r="B48">
        <v>768547.75</v>
      </c>
      <c r="C48" s="129"/>
      <c r="D48" s="129"/>
      <c r="E48" s="129"/>
      <c r="F48" s="129"/>
    </row>
    <row r="49" spans="1:7">
      <c r="A49" s="12" t="s">
        <v>1228</v>
      </c>
      <c r="B49">
        <v>1828491.49</v>
      </c>
      <c r="C49" s="129"/>
      <c r="D49" s="129"/>
      <c r="E49" s="129"/>
      <c r="F49" s="129"/>
    </row>
    <row r="51" spans="1:7">
      <c r="A51" s="140" t="s">
        <v>1245</v>
      </c>
      <c r="B51" s="140"/>
    </row>
    <row r="52" spans="1:7">
      <c r="A52" s="140"/>
      <c r="B52" s="140"/>
    </row>
    <row r="55" spans="1:7">
      <c r="A55" s="34" t="s">
        <v>274</v>
      </c>
      <c r="B55" s="34" t="s">
        <v>1287</v>
      </c>
      <c r="C55" s="34" t="s">
        <v>1288</v>
      </c>
      <c r="D55" s="34" t="s">
        <v>1289</v>
      </c>
      <c r="F55" s="34" t="s">
        <v>1292</v>
      </c>
      <c r="G55" s="34" t="s">
        <v>1293</v>
      </c>
    </row>
    <row r="56" spans="1:7">
      <c r="A56" s="33" t="str" cm="1">
        <f t="array" ref="A56:A60">_xlfn.UNIQUE('P03-BOQVariance'!B5:B76)</f>
        <v>Civil &amp; Structure</v>
      </c>
      <c r="B56">
        <f>SUMIFS('P03-BOQVariance'!$H:$H,'P03-BOQVariance'!$A:$A,"WT-DC-MUM-01",'P03-BOQVariance'!$B:$B,A56)</f>
        <v>1893094.2999999998</v>
      </c>
      <c r="C56">
        <f>SUMIFS('P03-BOQVariance'!$I:$I,'P03-BOQVariance'!$A:$A,"WT-DC-MUM-01",'P03-BOQVariance'!$B:$B,A56)-B56</f>
        <v>238929.3200000003</v>
      </c>
      <c r="D56">
        <f>SUMIFS('P03-BOQVariance'!$I:$I,'P03-BOQVariance'!$A:$A,"WT-DC-MUM-01",'P03-BOQVariance'!$B:$B,A56)</f>
        <v>2132023.62</v>
      </c>
      <c r="F56" t="str">
        <f>A56</f>
        <v>Civil &amp; Structure</v>
      </c>
      <c r="G56">
        <f>C56</f>
        <v>238929.3200000003</v>
      </c>
    </row>
    <row r="57" spans="1:7">
      <c r="A57" s="33" t="str">
        <v>MEP - Electrical</v>
      </c>
      <c r="B57">
        <f>SUMIFS('P03-BOQVariance'!$H:$H,'P03-BOQVariance'!$A:$A,"WT-DC-MUM-01",'P03-BOQVariance'!$B:$B,A57)</f>
        <v>986727.76</v>
      </c>
      <c r="C57">
        <f>SUMIFS('P03-BOQVariance'!$I:$I,'P03-BOQVariance'!$A:$A,"WT-DC-MUM-01",'P03-BOQVariance'!$B:$B,A57)-B57</f>
        <v>20630.290000000037</v>
      </c>
      <c r="D57">
        <f>SUMIFS('P03-BOQVariance'!$I:$I,'P03-BOQVariance'!$A:$A,"WT-DC-MUM-01",'P03-BOQVariance'!$B:$B,A57)</f>
        <v>1007358.05</v>
      </c>
      <c r="F57" t="str">
        <f t="shared" ref="F57:F62" si="1">A57</f>
        <v>MEP - Electrical</v>
      </c>
      <c r="G57">
        <f t="shared" ref="G57:G60" si="2">C57</f>
        <v>20630.290000000037</v>
      </c>
    </row>
    <row r="58" spans="1:7">
      <c r="A58" s="33" t="str">
        <v>Interior Fit-out</v>
      </c>
      <c r="B58">
        <f>SUMIFS('P03-BOQVariance'!$H:$H,'P03-BOQVariance'!$A:$A,"WT-DC-MUM-01",'P03-BOQVariance'!$B:$B,A58)</f>
        <v>1202994.94</v>
      </c>
      <c r="C58">
        <f>SUMIFS('P03-BOQVariance'!$I:$I,'P03-BOQVariance'!$A:$A,"WT-DC-MUM-01",'P03-BOQVariance'!$B:$B,A58)-B58</f>
        <v>88907.449999999953</v>
      </c>
      <c r="D58">
        <f>SUMIFS('P03-BOQVariance'!$I:$I,'P03-BOQVariance'!$A:$A,"WT-DC-MUM-01",'P03-BOQVariance'!$B:$B,A58)</f>
        <v>1291902.3899999999</v>
      </c>
      <c r="F58" t="str">
        <f t="shared" si="1"/>
        <v>Interior Fit-out</v>
      </c>
      <c r="G58">
        <f t="shared" si="2"/>
        <v>88907.449999999953</v>
      </c>
    </row>
    <row r="59" spans="1:7">
      <c r="A59" s="33" t="str">
        <v>MEP - Plumbing</v>
      </c>
      <c r="B59">
        <f>SUMIFS('P03-BOQVariance'!$H:$H,'P03-BOQVariance'!$A:$A,"WT-DC-MUM-01",'P03-BOQVariance'!$B:$B,A59)</f>
        <v>765988.47</v>
      </c>
      <c r="C59">
        <f>SUMIFS('P03-BOQVariance'!$I:$I,'P03-BOQVariance'!$A:$A,"WT-DC-MUM-01",'P03-BOQVariance'!$B:$B,A59)-B59</f>
        <v>-9419.5</v>
      </c>
      <c r="D59">
        <f>SUMIFS('P03-BOQVariance'!$I:$I,'P03-BOQVariance'!$A:$A,"WT-DC-MUM-01",'P03-BOQVariance'!$B:$B,A59)</f>
        <v>756568.97</v>
      </c>
      <c r="F59" t="str">
        <f>A59</f>
        <v>MEP - Plumbing</v>
      </c>
      <c r="G59">
        <f t="shared" si="2"/>
        <v>-9419.5</v>
      </c>
    </row>
    <row r="60" spans="1:7">
      <c r="A60" s="33" t="str">
        <v>MEP - HVAC</v>
      </c>
      <c r="B60">
        <f>SUMIFS('P03-BOQVariance'!$H:$H,'P03-BOQVariance'!$A:$A,"WT-DC-MUM-01",'P03-BOQVariance'!$B:$B,A60)</f>
        <v>837434.33</v>
      </c>
      <c r="C60">
        <f>SUMIFS('P03-BOQVariance'!$I:$I,'P03-BOQVariance'!$A:$A,"WT-DC-MUM-01",'P03-BOQVariance'!$B:$B,A60)-B60</f>
        <v>36607.460000000079</v>
      </c>
      <c r="D60">
        <f>SUMIFS('P03-BOQVariance'!$I:$I,'P03-BOQVariance'!$A:$A,"WT-DC-MUM-01",'P03-BOQVariance'!$B:$B,A60)</f>
        <v>874041.79</v>
      </c>
      <c r="F60" t="str">
        <f t="shared" si="1"/>
        <v>MEP - HVAC</v>
      </c>
      <c r="G60">
        <f t="shared" si="2"/>
        <v>36607.460000000079</v>
      </c>
    </row>
    <row r="61" spans="1:7">
      <c r="A61" s="31" t="s">
        <v>1291</v>
      </c>
      <c r="B61" s="31"/>
      <c r="C61" s="31"/>
      <c r="D61" s="31">
        <f>SUMIFS('P03-BOQVariance'!$I:$I,'P03-BOQVariance'!$A:$A,"WT-DC-MUM-01")</f>
        <v>6061894.8200000012</v>
      </c>
      <c r="F61" t="str">
        <f>A61</f>
        <v>Actual Total</v>
      </c>
      <c r="G61">
        <f>D61</f>
        <v>6061894.8200000012</v>
      </c>
    </row>
    <row r="62" spans="1:7">
      <c r="A62" s="32" t="s">
        <v>1290</v>
      </c>
      <c r="B62" s="32">
        <f>SUMIFS('P03-BOQVariance'!$H:$H,'P03-BOQVariance'!$A:$A,"WT-DC-MUM-01")</f>
        <v>5686239.7999999998</v>
      </c>
      <c r="F62" t="str">
        <f t="shared" si="1"/>
        <v>BOQ baseline</v>
      </c>
      <c r="G62">
        <f>B62</f>
        <v>5686239.7999999998</v>
      </c>
    </row>
  </sheetData>
  <mergeCells count="10">
    <mergeCell ref="C36:F38"/>
    <mergeCell ref="A42:B43"/>
    <mergeCell ref="C46:F49"/>
    <mergeCell ref="A51:B52"/>
    <mergeCell ref="A13:C14"/>
    <mergeCell ref="A1:C2"/>
    <mergeCell ref="A4:B5"/>
    <mergeCell ref="A16:B17"/>
    <mergeCell ref="A28:E30"/>
    <mergeCell ref="A32:B33"/>
  </mergeCells>
  <conditionalFormatting sqref="D8:D10">
    <cfRule type="top10" dxfId="0" priority="1" rank="1"/>
  </conditionalFormatting>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7AE60"/>
  </sheetPr>
  <dimension ref="A1:I92"/>
  <sheetViews>
    <sheetView topLeftCell="A76" zoomScaleNormal="100" workbookViewId="0">
      <selection activeCell="A87" sqref="A87:F92"/>
    </sheetView>
  </sheetViews>
  <sheetFormatPr defaultColWidth="8.6640625" defaultRowHeight="14.4"/>
  <cols>
    <col min="1" max="1" width="12" customWidth="1"/>
    <col min="2" max="2" width="18" customWidth="1"/>
    <col min="3" max="3" width="22" customWidth="1"/>
    <col min="4" max="5" width="14" customWidth="1"/>
    <col min="6" max="7" width="12" customWidth="1"/>
    <col min="8" max="8" width="14" customWidth="1"/>
    <col min="9" max="9" width="22" customWidth="1"/>
  </cols>
  <sheetData>
    <row r="1" spans="1:9" ht="17.399999999999999">
      <c r="A1" s="134" t="s">
        <v>325</v>
      </c>
      <c r="B1" s="134"/>
      <c r="C1" s="134"/>
      <c r="D1" s="134"/>
      <c r="E1" s="134"/>
      <c r="F1" s="134"/>
      <c r="G1" s="134"/>
      <c r="H1" s="134"/>
    </row>
    <row r="2" spans="1:9">
      <c r="A2" s="119" t="s">
        <v>326</v>
      </c>
      <c r="B2" s="119"/>
      <c r="C2" s="119"/>
      <c r="D2" s="119"/>
      <c r="E2" s="119"/>
      <c r="F2" s="119"/>
      <c r="G2" s="119"/>
      <c r="H2" s="119"/>
    </row>
    <row r="4" spans="1:9" ht="26.4">
      <c r="A4" s="1" t="s">
        <v>327</v>
      </c>
      <c r="B4" s="1" t="s">
        <v>68</v>
      </c>
      <c r="C4" s="1" t="s">
        <v>274</v>
      </c>
      <c r="D4" s="1" t="s">
        <v>328</v>
      </c>
      <c r="E4" s="1" t="s">
        <v>329</v>
      </c>
      <c r="F4" s="1" t="s">
        <v>330</v>
      </c>
      <c r="G4" s="1" t="s">
        <v>331</v>
      </c>
      <c r="H4" s="1" t="s">
        <v>70</v>
      </c>
      <c r="I4" s="4" t="s">
        <v>332</v>
      </c>
    </row>
    <row r="5" spans="1:9">
      <c r="A5" s="2" t="s">
        <v>333</v>
      </c>
      <c r="B5" s="2" t="s">
        <v>318</v>
      </c>
      <c r="C5" s="2" t="s">
        <v>334</v>
      </c>
      <c r="D5" s="2">
        <v>17</v>
      </c>
      <c r="E5" s="2">
        <v>7.7</v>
      </c>
      <c r="F5" s="2">
        <v>470.6</v>
      </c>
      <c r="G5" s="2" t="s">
        <v>238</v>
      </c>
      <c r="H5" s="2" t="s">
        <v>149</v>
      </c>
      <c r="I5" s="8">
        <f t="shared" ref="I5:I36" si="0">F5/(D5*E5)</f>
        <v>3.5951107715813597</v>
      </c>
    </row>
    <row r="6" spans="1:9">
      <c r="A6" s="3" t="s">
        <v>335</v>
      </c>
      <c r="B6" s="3" t="s">
        <v>283</v>
      </c>
      <c r="C6" s="3" t="s">
        <v>284</v>
      </c>
      <c r="D6" s="3">
        <v>15</v>
      </c>
      <c r="E6" s="3">
        <v>9.1999999999999993</v>
      </c>
      <c r="F6" s="3">
        <v>452.4</v>
      </c>
      <c r="G6" s="3" t="s">
        <v>291</v>
      </c>
      <c r="H6" s="3" t="s">
        <v>116</v>
      </c>
      <c r="I6" s="8">
        <f t="shared" si="0"/>
        <v>3.2782608695652171</v>
      </c>
    </row>
    <row r="7" spans="1:9">
      <c r="A7" s="2" t="s">
        <v>336</v>
      </c>
      <c r="B7" s="2" t="s">
        <v>337</v>
      </c>
      <c r="C7" s="2" t="s">
        <v>334</v>
      </c>
      <c r="D7" s="2">
        <v>24</v>
      </c>
      <c r="E7" s="2">
        <v>8.8000000000000007</v>
      </c>
      <c r="F7" s="2">
        <v>1132.5999999999999</v>
      </c>
      <c r="G7" s="2" t="s">
        <v>289</v>
      </c>
      <c r="H7" s="2" t="s">
        <v>116</v>
      </c>
      <c r="I7" s="8">
        <f t="shared" si="0"/>
        <v>5.3626893939393927</v>
      </c>
    </row>
    <row r="8" spans="1:9">
      <c r="A8" s="3" t="s">
        <v>338</v>
      </c>
      <c r="B8" s="3" t="s">
        <v>283</v>
      </c>
      <c r="C8" s="3" t="s">
        <v>306</v>
      </c>
      <c r="D8" s="3">
        <v>25</v>
      </c>
      <c r="E8" s="3">
        <v>8.4</v>
      </c>
      <c r="F8" s="3">
        <v>56.7</v>
      </c>
      <c r="G8" s="3" t="s">
        <v>238</v>
      </c>
      <c r="H8" s="3" t="s">
        <v>88</v>
      </c>
      <c r="I8" s="8">
        <f t="shared" si="0"/>
        <v>0.27</v>
      </c>
    </row>
    <row r="9" spans="1:9">
      <c r="A9" s="2" t="s">
        <v>339</v>
      </c>
      <c r="B9" s="2" t="s">
        <v>283</v>
      </c>
      <c r="C9" s="2" t="s">
        <v>294</v>
      </c>
      <c r="D9" s="2">
        <v>35</v>
      </c>
      <c r="E9" s="2">
        <v>8.1</v>
      </c>
      <c r="F9" s="2">
        <v>793.4</v>
      </c>
      <c r="G9" s="2" t="s">
        <v>291</v>
      </c>
      <c r="H9" s="2" t="s">
        <v>126</v>
      </c>
      <c r="I9" s="8">
        <f t="shared" si="0"/>
        <v>2.7985890652557317</v>
      </c>
    </row>
    <row r="10" spans="1:9">
      <c r="A10" s="3" t="s">
        <v>340</v>
      </c>
      <c r="B10" s="3" t="s">
        <v>337</v>
      </c>
      <c r="C10" s="3" t="s">
        <v>334</v>
      </c>
      <c r="D10" s="3">
        <v>36</v>
      </c>
      <c r="E10" s="3">
        <v>9.9</v>
      </c>
      <c r="F10" s="3">
        <v>865.1</v>
      </c>
      <c r="G10" s="3" t="s">
        <v>289</v>
      </c>
      <c r="H10" s="3" t="s">
        <v>99</v>
      </c>
      <c r="I10" s="8">
        <f t="shared" si="0"/>
        <v>2.4273288439955105</v>
      </c>
    </row>
    <row r="11" spans="1:9">
      <c r="A11" s="2" t="s">
        <v>341</v>
      </c>
      <c r="B11" s="2" t="s">
        <v>283</v>
      </c>
      <c r="C11" s="2" t="s">
        <v>294</v>
      </c>
      <c r="D11" s="2">
        <v>26</v>
      </c>
      <c r="E11" s="2">
        <v>7.6</v>
      </c>
      <c r="F11" s="2">
        <v>657.2</v>
      </c>
      <c r="G11" s="2" t="s">
        <v>289</v>
      </c>
      <c r="H11" s="2" t="s">
        <v>88</v>
      </c>
      <c r="I11" s="8">
        <f t="shared" si="0"/>
        <v>3.3259109311740893</v>
      </c>
    </row>
    <row r="12" spans="1:9">
      <c r="A12" s="3" t="s">
        <v>342</v>
      </c>
      <c r="B12" s="3" t="s">
        <v>283</v>
      </c>
      <c r="C12" s="3" t="s">
        <v>300</v>
      </c>
      <c r="D12" s="3">
        <v>21</v>
      </c>
      <c r="E12" s="3">
        <v>7.3</v>
      </c>
      <c r="F12" s="3">
        <v>1019.3</v>
      </c>
      <c r="G12" s="3" t="s">
        <v>289</v>
      </c>
      <c r="H12" s="3" t="s">
        <v>88</v>
      </c>
      <c r="I12" s="8">
        <f t="shared" si="0"/>
        <v>6.6490541422048279</v>
      </c>
    </row>
    <row r="13" spans="1:9">
      <c r="A13" s="2" t="s">
        <v>343</v>
      </c>
      <c r="B13" s="2" t="s">
        <v>337</v>
      </c>
      <c r="C13" s="2" t="s">
        <v>306</v>
      </c>
      <c r="D13" s="2">
        <v>8</v>
      </c>
      <c r="E13" s="2">
        <v>6.8</v>
      </c>
      <c r="F13" s="2">
        <v>149.80000000000001</v>
      </c>
      <c r="G13" s="2" t="s">
        <v>289</v>
      </c>
      <c r="H13" s="2" t="s">
        <v>116</v>
      </c>
      <c r="I13" s="8">
        <f t="shared" si="0"/>
        <v>2.7536764705882355</v>
      </c>
    </row>
    <row r="14" spans="1:9">
      <c r="A14" s="3" t="s">
        <v>344</v>
      </c>
      <c r="B14" s="3" t="s">
        <v>317</v>
      </c>
      <c r="C14" s="3" t="s">
        <v>300</v>
      </c>
      <c r="D14" s="3">
        <v>40</v>
      </c>
      <c r="E14" s="3">
        <v>6.5</v>
      </c>
      <c r="F14" s="3">
        <v>604.5</v>
      </c>
      <c r="G14" s="3" t="s">
        <v>289</v>
      </c>
      <c r="H14" s="3" t="s">
        <v>184</v>
      </c>
      <c r="I14" s="8">
        <f t="shared" si="0"/>
        <v>2.3250000000000002</v>
      </c>
    </row>
    <row r="15" spans="1:9">
      <c r="A15" s="2" t="s">
        <v>345</v>
      </c>
      <c r="B15" s="2" t="s">
        <v>317</v>
      </c>
      <c r="C15" s="2" t="s">
        <v>334</v>
      </c>
      <c r="D15" s="2">
        <v>15</v>
      </c>
      <c r="E15" s="2">
        <v>7.2</v>
      </c>
      <c r="F15" s="2">
        <v>25.1</v>
      </c>
      <c r="G15" s="2" t="s">
        <v>289</v>
      </c>
      <c r="H15" s="2" t="s">
        <v>184</v>
      </c>
      <c r="I15" s="8">
        <f t="shared" si="0"/>
        <v>0.23240740740740742</v>
      </c>
    </row>
    <row r="16" spans="1:9">
      <c r="A16" s="3" t="s">
        <v>346</v>
      </c>
      <c r="B16" s="3" t="s">
        <v>283</v>
      </c>
      <c r="C16" s="3" t="s">
        <v>306</v>
      </c>
      <c r="D16" s="3">
        <v>12</v>
      </c>
      <c r="E16" s="3">
        <v>8.6</v>
      </c>
      <c r="F16" s="3">
        <v>102.5</v>
      </c>
      <c r="G16" s="3" t="s">
        <v>291</v>
      </c>
      <c r="H16" s="3" t="s">
        <v>149</v>
      </c>
      <c r="I16" s="8">
        <f t="shared" si="0"/>
        <v>0.99321705426356599</v>
      </c>
    </row>
    <row r="17" spans="1:9">
      <c r="A17" s="2" t="s">
        <v>347</v>
      </c>
      <c r="B17" s="2" t="s">
        <v>337</v>
      </c>
      <c r="C17" s="2" t="s">
        <v>306</v>
      </c>
      <c r="D17" s="2">
        <v>20</v>
      </c>
      <c r="E17" s="2">
        <v>7.8</v>
      </c>
      <c r="F17" s="2">
        <v>161.69999999999999</v>
      </c>
      <c r="G17" s="2" t="s">
        <v>238</v>
      </c>
      <c r="H17" s="2" t="s">
        <v>126</v>
      </c>
      <c r="I17" s="8">
        <f t="shared" si="0"/>
        <v>1.0365384615384614</v>
      </c>
    </row>
    <row r="18" spans="1:9">
      <c r="A18" s="3" t="s">
        <v>348</v>
      </c>
      <c r="B18" s="3" t="s">
        <v>318</v>
      </c>
      <c r="C18" s="3" t="s">
        <v>306</v>
      </c>
      <c r="D18" s="3">
        <v>26</v>
      </c>
      <c r="E18" s="3">
        <v>9.6999999999999993</v>
      </c>
      <c r="F18" s="3">
        <v>672.9</v>
      </c>
      <c r="G18" s="3" t="s">
        <v>228</v>
      </c>
      <c r="H18" s="3" t="s">
        <v>149</v>
      </c>
      <c r="I18" s="8">
        <f t="shared" si="0"/>
        <v>2.6681205392545597</v>
      </c>
    </row>
    <row r="19" spans="1:9">
      <c r="A19" s="2" t="s">
        <v>349</v>
      </c>
      <c r="B19" s="2" t="s">
        <v>337</v>
      </c>
      <c r="C19" s="2" t="s">
        <v>294</v>
      </c>
      <c r="D19" s="2">
        <v>33</v>
      </c>
      <c r="E19" s="2">
        <v>8.1999999999999993</v>
      </c>
      <c r="F19" s="2">
        <v>591.1</v>
      </c>
      <c r="G19" s="2" t="s">
        <v>289</v>
      </c>
      <c r="H19" s="2" t="s">
        <v>116</v>
      </c>
      <c r="I19" s="8">
        <f t="shared" si="0"/>
        <v>2.1844050258684407</v>
      </c>
    </row>
    <row r="20" spans="1:9">
      <c r="A20" s="3" t="s">
        <v>341</v>
      </c>
      <c r="B20" s="3" t="s">
        <v>317</v>
      </c>
      <c r="C20" s="3" t="s">
        <v>334</v>
      </c>
      <c r="D20" s="3">
        <v>20</v>
      </c>
      <c r="E20" s="3">
        <v>8.3000000000000007</v>
      </c>
      <c r="F20" s="3">
        <v>248.9</v>
      </c>
      <c r="G20" s="3" t="s">
        <v>289</v>
      </c>
      <c r="H20" s="3" t="s">
        <v>88</v>
      </c>
      <c r="I20" s="8">
        <f t="shared" si="0"/>
        <v>1.4993975903614458</v>
      </c>
    </row>
    <row r="21" spans="1:9">
      <c r="A21" s="2" t="s">
        <v>350</v>
      </c>
      <c r="B21" s="2" t="s">
        <v>337</v>
      </c>
      <c r="C21" s="2" t="s">
        <v>334</v>
      </c>
      <c r="D21" s="2">
        <v>29</v>
      </c>
      <c r="E21" s="2">
        <v>7.5</v>
      </c>
      <c r="F21" s="2">
        <v>972.1</v>
      </c>
      <c r="G21" s="2" t="s">
        <v>238</v>
      </c>
      <c r="H21" s="2" t="s">
        <v>116</v>
      </c>
      <c r="I21" s="8">
        <f t="shared" si="0"/>
        <v>4.4694252873563221</v>
      </c>
    </row>
    <row r="22" spans="1:9">
      <c r="A22" s="3" t="s">
        <v>351</v>
      </c>
      <c r="B22" s="3" t="s">
        <v>317</v>
      </c>
      <c r="C22" s="3" t="s">
        <v>311</v>
      </c>
      <c r="D22" s="3">
        <v>26</v>
      </c>
      <c r="E22" s="3">
        <v>9.5</v>
      </c>
      <c r="F22" s="3">
        <v>1139.7</v>
      </c>
      <c r="G22" s="3" t="s">
        <v>289</v>
      </c>
      <c r="H22" s="3" t="s">
        <v>184</v>
      </c>
      <c r="I22" s="8">
        <f t="shared" si="0"/>
        <v>4.6141700404858303</v>
      </c>
    </row>
    <row r="23" spans="1:9">
      <c r="A23" s="2" t="s">
        <v>352</v>
      </c>
      <c r="B23" s="2" t="s">
        <v>337</v>
      </c>
      <c r="C23" s="2" t="s">
        <v>284</v>
      </c>
      <c r="D23" s="2">
        <v>14</v>
      </c>
      <c r="E23" s="2">
        <v>7.6</v>
      </c>
      <c r="F23" s="2">
        <v>463.2</v>
      </c>
      <c r="G23" s="2" t="s">
        <v>238</v>
      </c>
      <c r="H23" s="2" t="s">
        <v>184</v>
      </c>
      <c r="I23" s="8">
        <f t="shared" si="0"/>
        <v>4.3533834586466167</v>
      </c>
    </row>
    <row r="24" spans="1:9">
      <c r="A24" s="3" t="s">
        <v>353</v>
      </c>
      <c r="B24" s="3" t="s">
        <v>318</v>
      </c>
      <c r="C24" s="3" t="s">
        <v>300</v>
      </c>
      <c r="D24" s="3">
        <v>30</v>
      </c>
      <c r="E24" s="3">
        <v>8.6</v>
      </c>
      <c r="F24" s="3">
        <v>1282.0999999999999</v>
      </c>
      <c r="G24" s="3" t="s">
        <v>289</v>
      </c>
      <c r="H24" s="3" t="s">
        <v>99</v>
      </c>
      <c r="I24" s="8">
        <f t="shared" si="0"/>
        <v>4.9693798449612396</v>
      </c>
    </row>
    <row r="25" spans="1:9">
      <c r="A25" s="2" t="s">
        <v>354</v>
      </c>
      <c r="B25" s="2" t="s">
        <v>283</v>
      </c>
      <c r="C25" s="2" t="s">
        <v>311</v>
      </c>
      <c r="D25" s="2">
        <v>9</v>
      </c>
      <c r="E25" s="2">
        <v>6.9</v>
      </c>
      <c r="F25" s="2">
        <v>310.8</v>
      </c>
      <c r="G25" s="2" t="s">
        <v>291</v>
      </c>
      <c r="H25" s="2" t="s">
        <v>80</v>
      </c>
      <c r="I25" s="8">
        <f t="shared" si="0"/>
        <v>5.0048309178743962</v>
      </c>
    </row>
    <row r="26" spans="1:9">
      <c r="A26" s="3" t="s">
        <v>355</v>
      </c>
      <c r="B26" s="3" t="s">
        <v>337</v>
      </c>
      <c r="C26" s="3" t="s">
        <v>284</v>
      </c>
      <c r="D26" s="3">
        <v>11</v>
      </c>
      <c r="E26" s="3">
        <v>7.8</v>
      </c>
      <c r="F26" s="3">
        <v>385.1</v>
      </c>
      <c r="G26" s="3" t="s">
        <v>228</v>
      </c>
      <c r="H26" s="3" t="s">
        <v>88</v>
      </c>
      <c r="I26" s="8">
        <f t="shared" si="0"/>
        <v>4.4883449883449886</v>
      </c>
    </row>
    <row r="27" spans="1:9">
      <c r="A27" s="2" t="s">
        <v>356</v>
      </c>
      <c r="B27" s="2" t="s">
        <v>283</v>
      </c>
      <c r="C27" s="2" t="s">
        <v>300</v>
      </c>
      <c r="D27" s="2">
        <v>27</v>
      </c>
      <c r="E27" s="2">
        <v>7.5</v>
      </c>
      <c r="F27" s="2">
        <v>219.6</v>
      </c>
      <c r="G27" s="2" t="s">
        <v>289</v>
      </c>
      <c r="H27" s="2" t="s">
        <v>126</v>
      </c>
      <c r="I27" s="8">
        <f t="shared" si="0"/>
        <v>1.0844444444444443</v>
      </c>
    </row>
    <row r="28" spans="1:9">
      <c r="A28" s="3" t="s">
        <v>357</v>
      </c>
      <c r="B28" s="3" t="s">
        <v>317</v>
      </c>
      <c r="C28" s="3" t="s">
        <v>284</v>
      </c>
      <c r="D28" s="3">
        <v>29</v>
      </c>
      <c r="E28" s="3">
        <v>8.5</v>
      </c>
      <c r="F28" s="3">
        <v>371.2</v>
      </c>
      <c r="G28" s="3" t="s">
        <v>238</v>
      </c>
      <c r="H28" s="3" t="s">
        <v>80</v>
      </c>
      <c r="I28" s="8">
        <f t="shared" si="0"/>
        <v>1.5058823529411764</v>
      </c>
    </row>
    <row r="29" spans="1:9">
      <c r="A29" s="2" t="s">
        <v>358</v>
      </c>
      <c r="B29" s="2" t="s">
        <v>318</v>
      </c>
      <c r="C29" s="2" t="s">
        <v>306</v>
      </c>
      <c r="D29" s="2">
        <v>21</v>
      </c>
      <c r="E29" s="2">
        <v>8.6999999999999993</v>
      </c>
      <c r="F29" s="2">
        <v>946</v>
      </c>
      <c r="G29" s="2" t="s">
        <v>289</v>
      </c>
      <c r="H29" s="2" t="s">
        <v>149</v>
      </c>
      <c r="I29" s="8">
        <f t="shared" si="0"/>
        <v>5.1778872468527641</v>
      </c>
    </row>
    <row r="30" spans="1:9">
      <c r="A30" s="3" t="s">
        <v>359</v>
      </c>
      <c r="B30" s="3" t="s">
        <v>317</v>
      </c>
      <c r="C30" s="3" t="s">
        <v>284</v>
      </c>
      <c r="D30" s="3">
        <v>33</v>
      </c>
      <c r="E30" s="3">
        <v>9.8000000000000007</v>
      </c>
      <c r="F30" s="3">
        <v>1630</v>
      </c>
      <c r="G30" s="3" t="s">
        <v>291</v>
      </c>
      <c r="H30" s="3" t="s">
        <v>136</v>
      </c>
      <c r="I30" s="8">
        <f t="shared" si="0"/>
        <v>5.0401978973407537</v>
      </c>
    </row>
    <row r="31" spans="1:9">
      <c r="A31" s="2" t="s">
        <v>360</v>
      </c>
      <c r="B31" s="2" t="s">
        <v>337</v>
      </c>
      <c r="C31" s="2" t="s">
        <v>300</v>
      </c>
      <c r="D31" s="2">
        <v>17</v>
      </c>
      <c r="E31" s="2">
        <v>10</v>
      </c>
      <c r="F31" s="2">
        <v>727.8</v>
      </c>
      <c r="G31" s="2" t="s">
        <v>228</v>
      </c>
      <c r="H31" s="2" t="s">
        <v>80</v>
      </c>
      <c r="I31" s="8">
        <f t="shared" si="0"/>
        <v>4.2811764705882354</v>
      </c>
    </row>
    <row r="32" spans="1:9">
      <c r="A32" s="3" t="s">
        <v>361</v>
      </c>
      <c r="B32" s="3" t="s">
        <v>318</v>
      </c>
      <c r="C32" s="3" t="s">
        <v>311</v>
      </c>
      <c r="D32" s="3">
        <v>23</v>
      </c>
      <c r="E32" s="3">
        <v>10</v>
      </c>
      <c r="F32" s="3">
        <v>355.7</v>
      </c>
      <c r="G32" s="3" t="s">
        <v>289</v>
      </c>
      <c r="H32" s="3" t="s">
        <v>149</v>
      </c>
      <c r="I32" s="8">
        <f t="shared" si="0"/>
        <v>1.5465217391304347</v>
      </c>
    </row>
    <row r="33" spans="1:9">
      <c r="A33" s="2" t="s">
        <v>362</v>
      </c>
      <c r="B33" s="2" t="s">
        <v>283</v>
      </c>
      <c r="C33" s="2" t="s">
        <v>311</v>
      </c>
      <c r="D33" s="2">
        <v>36</v>
      </c>
      <c r="E33" s="2">
        <v>9.3000000000000007</v>
      </c>
      <c r="F33" s="2">
        <v>1628.8</v>
      </c>
      <c r="G33" s="2" t="s">
        <v>238</v>
      </c>
      <c r="H33" s="2" t="s">
        <v>99</v>
      </c>
      <c r="I33" s="8">
        <f t="shared" si="0"/>
        <v>4.8649940262843483</v>
      </c>
    </row>
    <row r="34" spans="1:9">
      <c r="A34" s="3" t="s">
        <v>363</v>
      </c>
      <c r="B34" s="3" t="s">
        <v>317</v>
      </c>
      <c r="C34" s="3" t="s">
        <v>311</v>
      </c>
      <c r="D34" s="3">
        <v>21</v>
      </c>
      <c r="E34" s="3">
        <v>8.6999999999999993</v>
      </c>
      <c r="F34" s="3">
        <v>762.8</v>
      </c>
      <c r="G34" s="3" t="s">
        <v>238</v>
      </c>
      <c r="H34" s="3" t="s">
        <v>184</v>
      </c>
      <c r="I34" s="8">
        <f t="shared" si="0"/>
        <v>4.1751505199781063</v>
      </c>
    </row>
    <row r="35" spans="1:9">
      <c r="A35" s="2" t="s">
        <v>364</v>
      </c>
      <c r="B35" s="2" t="s">
        <v>318</v>
      </c>
      <c r="C35" s="2" t="s">
        <v>306</v>
      </c>
      <c r="D35" s="2">
        <v>7</v>
      </c>
      <c r="E35" s="2">
        <v>8.3000000000000007</v>
      </c>
      <c r="F35" s="2">
        <v>258.2</v>
      </c>
      <c r="G35" s="2" t="s">
        <v>228</v>
      </c>
      <c r="H35" s="2" t="s">
        <v>149</v>
      </c>
      <c r="I35" s="8">
        <f t="shared" si="0"/>
        <v>4.4440619621342501</v>
      </c>
    </row>
    <row r="36" spans="1:9">
      <c r="A36" s="3" t="s">
        <v>356</v>
      </c>
      <c r="B36" s="3" t="s">
        <v>337</v>
      </c>
      <c r="C36" s="3" t="s">
        <v>294</v>
      </c>
      <c r="D36" s="3">
        <v>17</v>
      </c>
      <c r="E36" s="3">
        <v>6.5</v>
      </c>
      <c r="F36" s="3">
        <v>466.3</v>
      </c>
      <c r="G36" s="3" t="s">
        <v>291</v>
      </c>
      <c r="H36" s="3" t="s">
        <v>149</v>
      </c>
      <c r="I36" s="8">
        <f t="shared" si="0"/>
        <v>4.2199095022624435</v>
      </c>
    </row>
    <row r="37" spans="1:9">
      <c r="A37" s="2" t="s">
        <v>365</v>
      </c>
      <c r="B37" s="2" t="s">
        <v>318</v>
      </c>
      <c r="C37" s="2" t="s">
        <v>306</v>
      </c>
      <c r="D37" s="2">
        <v>23</v>
      </c>
      <c r="E37" s="2">
        <v>9</v>
      </c>
      <c r="F37" s="2">
        <v>404.7</v>
      </c>
      <c r="G37" s="2" t="s">
        <v>228</v>
      </c>
      <c r="H37" s="2" t="s">
        <v>116</v>
      </c>
      <c r="I37" s="8">
        <f t="shared" ref="I37:I68" si="1">F37/(D37*E37)</f>
        <v>1.9550724637681158</v>
      </c>
    </row>
    <row r="38" spans="1:9">
      <c r="A38" s="3" t="s">
        <v>366</v>
      </c>
      <c r="B38" s="3" t="s">
        <v>317</v>
      </c>
      <c r="C38" s="3" t="s">
        <v>294</v>
      </c>
      <c r="D38" s="3">
        <v>30</v>
      </c>
      <c r="E38" s="3">
        <v>9.9</v>
      </c>
      <c r="F38" s="3">
        <v>1212.7</v>
      </c>
      <c r="G38" s="3" t="s">
        <v>291</v>
      </c>
      <c r="H38" s="3" t="s">
        <v>184</v>
      </c>
      <c r="I38" s="8">
        <f t="shared" si="1"/>
        <v>4.0831649831649832</v>
      </c>
    </row>
    <row r="39" spans="1:9">
      <c r="A39" s="2" t="s">
        <v>367</v>
      </c>
      <c r="B39" s="2" t="s">
        <v>283</v>
      </c>
      <c r="C39" s="2" t="s">
        <v>300</v>
      </c>
      <c r="D39" s="2">
        <v>39</v>
      </c>
      <c r="E39" s="2">
        <v>6.5</v>
      </c>
      <c r="F39" s="2">
        <v>743.4</v>
      </c>
      <c r="G39" s="2" t="s">
        <v>291</v>
      </c>
      <c r="H39" s="2" t="s">
        <v>136</v>
      </c>
      <c r="I39" s="8">
        <f t="shared" si="1"/>
        <v>2.9325443786982248</v>
      </c>
    </row>
    <row r="40" spans="1:9">
      <c r="A40" s="3" t="s">
        <v>368</v>
      </c>
      <c r="B40" s="3" t="s">
        <v>283</v>
      </c>
      <c r="C40" s="3" t="s">
        <v>334</v>
      </c>
      <c r="D40" s="3">
        <v>19</v>
      </c>
      <c r="E40" s="3">
        <v>7.9</v>
      </c>
      <c r="F40" s="3">
        <v>595.79999999999995</v>
      </c>
      <c r="G40" s="3" t="s">
        <v>291</v>
      </c>
      <c r="H40" s="3" t="s">
        <v>80</v>
      </c>
      <c r="I40" s="8">
        <f t="shared" si="1"/>
        <v>3.9693537641572285</v>
      </c>
    </row>
    <row r="41" spans="1:9">
      <c r="A41" s="2" t="s">
        <v>369</v>
      </c>
      <c r="B41" s="2" t="s">
        <v>337</v>
      </c>
      <c r="C41" s="2" t="s">
        <v>334</v>
      </c>
      <c r="D41" s="2">
        <v>24</v>
      </c>
      <c r="E41" s="2">
        <v>8.6</v>
      </c>
      <c r="F41" s="2">
        <v>161.19999999999999</v>
      </c>
      <c r="G41" s="2" t="s">
        <v>228</v>
      </c>
      <c r="H41" s="2" t="s">
        <v>88</v>
      </c>
      <c r="I41" s="8">
        <f t="shared" si="1"/>
        <v>0.78100775193798455</v>
      </c>
    </row>
    <row r="42" spans="1:9">
      <c r="A42" s="3" t="s">
        <v>370</v>
      </c>
      <c r="B42" s="3" t="s">
        <v>337</v>
      </c>
      <c r="C42" s="3" t="s">
        <v>284</v>
      </c>
      <c r="D42" s="3">
        <v>11</v>
      </c>
      <c r="E42" s="3">
        <v>6.9</v>
      </c>
      <c r="F42" s="3">
        <v>300.7</v>
      </c>
      <c r="G42" s="3" t="s">
        <v>289</v>
      </c>
      <c r="H42" s="3" t="s">
        <v>116</v>
      </c>
      <c r="I42" s="8">
        <f t="shared" si="1"/>
        <v>3.9617918313570484</v>
      </c>
    </row>
    <row r="43" spans="1:9">
      <c r="A43" s="2" t="s">
        <v>371</v>
      </c>
      <c r="B43" s="2" t="s">
        <v>337</v>
      </c>
      <c r="C43" s="2" t="s">
        <v>311</v>
      </c>
      <c r="D43" s="2">
        <v>14</v>
      </c>
      <c r="E43" s="2">
        <v>9.5</v>
      </c>
      <c r="F43" s="2">
        <v>463.3</v>
      </c>
      <c r="G43" s="2" t="s">
        <v>289</v>
      </c>
      <c r="H43" s="2" t="s">
        <v>136</v>
      </c>
      <c r="I43" s="8">
        <f t="shared" si="1"/>
        <v>3.4834586466165414</v>
      </c>
    </row>
    <row r="44" spans="1:9">
      <c r="A44" s="3" t="s">
        <v>372</v>
      </c>
      <c r="B44" s="3" t="s">
        <v>283</v>
      </c>
      <c r="C44" s="3" t="s">
        <v>334</v>
      </c>
      <c r="D44" s="3">
        <v>28</v>
      </c>
      <c r="E44" s="3">
        <v>6.9</v>
      </c>
      <c r="F44" s="3">
        <v>638.1</v>
      </c>
      <c r="G44" s="3" t="s">
        <v>238</v>
      </c>
      <c r="H44" s="3" t="s">
        <v>99</v>
      </c>
      <c r="I44" s="8">
        <f t="shared" si="1"/>
        <v>3.3027950310559007</v>
      </c>
    </row>
    <row r="45" spans="1:9">
      <c r="A45" s="2" t="s">
        <v>373</v>
      </c>
      <c r="B45" s="2" t="s">
        <v>318</v>
      </c>
      <c r="C45" s="2" t="s">
        <v>311</v>
      </c>
      <c r="D45" s="2">
        <v>27</v>
      </c>
      <c r="E45" s="2">
        <v>6.2</v>
      </c>
      <c r="F45" s="2">
        <v>392</v>
      </c>
      <c r="G45" s="2" t="s">
        <v>228</v>
      </c>
      <c r="H45" s="2" t="s">
        <v>116</v>
      </c>
      <c r="I45" s="8">
        <f t="shared" si="1"/>
        <v>2.3416965352449224</v>
      </c>
    </row>
    <row r="46" spans="1:9">
      <c r="A46" s="3" t="s">
        <v>355</v>
      </c>
      <c r="B46" s="3" t="s">
        <v>317</v>
      </c>
      <c r="C46" s="3" t="s">
        <v>334</v>
      </c>
      <c r="D46" s="3">
        <v>6</v>
      </c>
      <c r="E46" s="3">
        <v>6.2</v>
      </c>
      <c r="F46" s="3">
        <v>104.1</v>
      </c>
      <c r="G46" s="3" t="s">
        <v>238</v>
      </c>
      <c r="H46" s="3" t="s">
        <v>80</v>
      </c>
      <c r="I46" s="8">
        <f t="shared" si="1"/>
        <v>2.7983870967741931</v>
      </c>
    </row>
    <row r="47" spans="1:9">
      <c r="A47" s="2" t="s">
        <v>348</v>
      </c>
      <c r="B47" s="2" t="s">
        <v>317</v>
      </c>
      <c r="C47" s="2" t="s">
        <v>311</v>
      </c>
      <c r="D47" s="2">
        <v>18</v>
      </c>
      <c r="E47" s="2">
        <v>9.3000000000000007</v>
      </c>
      <c r="F47" s="2">
        <v>223.5</v>
      </c>
      <c r="G47" s="2" t="s">
        <v>238</v>
      </c>
      <c r="H47" s="2" t="s">
        <v>88</v>
      </c>
      <c r="I47" s="8">
        <f t="shared" si="1"/>
        <v>1.3351254480286738</v>
      </c>
    </row>
    <row r="48" spans="1:9">
      <c r="A48" s="3" t="s">
        <v>374</v>
      </c>
      <c r="B48" s="3" t="s">
        <v>317</v>
      </c>
      <c r="C48" s="3" t="s">
        <v>294</v>
      </c>
      <c r="D48" s="3">
        <v>39</v>
      </c>
      <c r="E48" s="3">
        <v>7</v>
      </c>
      <c r="F48" s="3">
        <v>372.5</v>
      </c>
      <c r="G48" s="3" t="s">
        <v>228</v>
      </c>
      <c r="H48" s="3" t="s">
        <v>126</v>
      </c>
      <c r="I48" s="8">
        <f t="shared" si="1"/>
        <v>1.3644688644688645</v>
      </c>
    </row>
    <row r="49" spans="1:9">
      <c r="A49" s="2" t="s">
        <v>375</v>
      </c>
      <c r="B49" s="2" t="s">
        <v>318</v>
      </c>
      <c r="C49" s="2" t="s">
        <v>294</v>
      </c>
      <c r="D49" s="2">
        <v>25</v>
      </c>
      <c r="E49" s="2">
        <v>6.1</v>
      </c>
      <c r="F49" s="2">
        <v>350.1</v>
      </c>
      <c r="G49" s="2" t="s">
        <v>238</v>
      </c>
      <c r="H49" s="2" t="s">
        <v>136</v>
      </c>
      <c r="I49" s="8">
        <f t="shared" si="1"/>
        <v>2.2957377049180328</v>
      </c>
    </row>
    <row r="50" spans="1:9">
      <c r="A50" s="3" t="s">
        <v>352</v>
      </c>
      <c r="B50" s="3" t="s">
        <v>283</v>
      </c>
      <c r="C50" s="3" t="s">
        <v>334</v>
      </c>
      <c r="D50" s="3">
        <v>9</v>
      </c>
      <c r="E50" s="3">
        <v>7.9</v>
      </c>
      <c r="F50" s="3">
        <v>352.1</v>
      </c>
      <c r="G50" s="3" t="s">
        <v>228</v>
      </c>
      <c r="H50" s="3" t="s">
        <v>116</v>
      </c>
      <c r="I50" s="8">
        <f t="shared" si="1"/>
        <v>4.9521800281293951</v>
      </c>
    </row>
    <row r="51" spans="1:9">
      <c r="A51" s="2" t="s">
        <v>376</v>
      </c>
      <c r="B51" s="2" t="s">
        <v>317</v>
      </c>
      <c r="C51" s="2" t="s">
        <v>311</v>
      </c>
      <c r="D51" s="2">
        <v>7</v>
      </c>
      <c r="E51" s="2">
        <v>8.9</v>
      </c>
      <c r="F51" s="2">
        <v>318.7</v>
      </c>
      <c r="G51" s="2" t="s">
        <v>291</v>
      </c>
      <c r="H51" s="2" t="s">
        <v>116</v>
      </c>
      <c r="I51" s="8">
        <f t="shared" si="1"/>
        <v>5.1155698234349911</v>
      </c>
    </row>
    <row r="52" spans="1:9">
      <c r="A52" s="3" t="s">
        <v>345</v>
      </c>
      <c r="B52" s="3" t="s">
        <v>283</v>
      </c>
      <c r="C52" s="3" t="s">
        <v>306</v>
      </c>
      <c r="D52" s="3">
        <v>30</v>
      </c>
      <c r="E52" s="3">
        <v>7.7</v>
      </c>
      <c r="F52" s="3">
        <v>188.7</v>
      </c>
      <c r="G52" s="3" t="s">
        <v>289</v>
      </c>
      <c r="H52" s="3" t="s">
        <v>184</v>
      </c>
      <c r="I52" s="8">
        <f t="shared" si="1"/>
        <v>0.81688311688311688</v>
      </c>
    </row>
    <row r="53" spans="1:9">
      <c r="A53" s="2" t="s">
        <v>338</v>
      </c>
      <c r="B53" s="2" t="s">
        <v>318</v>
      </c>
      <c r="C53" s="2" t="s">
        <v>311</v>
      </c>
      <c r="D53" s="2">
        <v>14</v>
      </c>
      <c r="E53" s="2">
        <v>6.3</v>
      </c>
      <c r="F53" s="2">
        <v>202.7</v>
      </c>
      <c r="G53" s="2" t="s">
        <v>291</v>
      </c>
      <c r="H53" s="2" t="s">
        <v>136</v>
      </c>
      <c r="I53" s="8">
        <f t="shared" si="1"/>
        <v>2.2981859410430836</v>
      </c>
    </row>
    <row r="54" spans="1:9">
      <c r="A54" s="3" t="s">
        <v>377</v>
      </c>
      <c r="B54" s="3" t="s">
        <v>318</v>
      </c>
      <c r="C54" s="3" t="s">
        <v>306</v>
      </c>
      <c r="D54" s="3">
        <v>37</v>
      </c>
      <c r="E54" s="3">
        <v>8.4</v>
      </c>
      <c r="F54" s="3">
        <v>216.8</v>
      </c>
      <c r="G54" s="3" t="s">
        <v>228</v>
      </c>
      <c r="H54" s="3" t="s">
        <v>80</v>
      </c>
      <c r="I54" s="8">
        <f t="shared" si="1"/>
        <v>0.69755469755469757</v>
      </c>
    </row>
    <row r="55" spans="1:9">
      <c r="A55" s="2" t="s">
        <v>378</v>
      </c>
      <c r="B55" s="2" t="s">
        <v>337</v>
      </c>
      <c r="C55" s="2" t="s">
        <v>294</v>
      </c>
      <c r="D55" s="2">
        <v>31</v>
      </c>
      <c r="E55" s="2">
        <v>7.4</v>
      </c>
      <c r="F55" s="2">
        <v>719.9</v>
      </c>
      <c r="G55" s="2" t="s">
        <v>289</v>
      </c>
      <c r="H55" s="2" t="s">
        <v>184</v>
      </c>
      <c r="I55" s="8">
        <f t="shared" si="1"/>
        <v>3.1381865736704446</v>
      </c>
    </row>
    <row r="56" spans="1:9">
      <c r="A56" s="3" t="s">
        <v>379</v>
      </c>
      <c r="B56" s="3" t="s">
        <v>337</v>
      </c>
      <c r="C56" s="3" t="s">
        <v>300</v>
      </c>
      <c r="D56" s="3">
        <v>21</v>
      </c>
      <c r="E56" s="3">
        <v>7.5</v>
      </c>
      <c r="F56" s="3">
        <v>178.1</v>
      </c>
      <c r="G56" s="3" t="s">
        <v>289</v>
      </c>
      <c r="H56" s="3" t="s">
        <v>184</v>
      </c>
      <c r="I56" s="8">
        <f t="shared" si="1"/>
        <v>1.1307936507936507</v>
      </c>
    </row>
    <row r="57" spans="1:9">
      <c r="A57" s="2" t="s">
        <v>355</v>
      </c>
      <c r="B57" s="2" t="s">
        <v>283</v>
      </c>
      <c r="C57" s="2" t="s">
        <v>284</v>
      </c>
      <c r="D57" s="2">
        <v>32</v>
      </c>
      <c r="E57" s="2">
        <v>6.4</v>
      </c>
      <c r="F57" s="2">
        <v>1190.4000000000001</v>
      </c>
      <c r="G57" s="2" t="s">
        <v>238</v>
      </c>
      <c r="H57" s="2" t="s">
        <v>88</v>
      </c>
      <c r="I57" s="8">
        <f t="shared" si="1"/>
        <v>5.8125</v>
      </c>
    </row>
    <row r="58" spans="1:9">
      <c r="A58" s="3" t="s">
        <v>380</v>
      </c>
      <c r="B58" s="3" t="s">
        <v>318</v>
      </c>
      <c r="C58" s="3" t="s">
        <v>334</v>
      </c>
      <c r="D58" s="3">
        <v>12</v>
      </c>
      <c r="E58" s="3">
        <v>7.6</v>
      </c>
      <c r="F58" s="3">
        <v>525.70000000000005</v>
      </c>
      <c r="G58" s="3" t="s">
        <v>289</v>
      </c>
      <c r="H58" s="3" t="s">
        <v>88</v>
      </c>
      <c r="I58" s="8">
        <f t="shared" si="1"/>
        <v>5.7642543859649136</v>
      </c>
    </row>
    <row r="59" spans="1:9">
      <c r="A59" s="2" t="s">
        <v>381</v>
      </c>
      <c r="B59" s="2" t="s">
        <v>318</v>
      </c>
      <c r="C59" s="2" t="s">
        <v>300</v>
      </c>
      <c r="D59" s="2">
        <v>11</v>
      </c>
      <c r="E59" s="2">
        <v>8.3000000000000007</v>
      </c>
      <c r="F59" s="2">
        <v>125.7</v>
      </c>
      <c r="G59" s="2" t="s">
        <v>289</v>
      </c>
      <c r="H59" s="2" t="s">
        <v>80</v>
      </c>
      <c r="I59" s="8">
        <f t="shared" si="1"/>
        <v>1.3767798466593646</v>
      </c>
    </row>
    <row r="60" spans="1:9">
      <c r="A60" s="3" t="s">
        <v>382</v>
      </c>
      <c r="B60" s="3" t="s">
        <v>318</v>
      </c>
      <c r="C60" s="3" t="s">
        <v>311</v>
      </c>
      <c r="D60" s="3">
        <v>28</v>
      </c>
      <c r="E60" s="3">
        <v>6.5</v>
      </c>
      <c r="F60" s="3">
        <v>410.2</v>
      </c>
      <c r="G60" s="3" t="s">
        <v>238</v>
      </c>
      <c r="H60" s="3" t="s">
        <v>136</v>
      </c>
      <c r="I60" s="8">
        <f t="shared" si="1"/>
        <v>2.2538461538461538</v>
      </c>
    </row>
    <row r="61" spans="1:9">
      <c r="A61" s="2" t="s">
        <v>383</v>
      </c>
      <c r="B61" s="2" t="s">
        <v>283</v>
      </c>
      <c r="C61" s="2" t="s">
        <v>311</v>
      </c>
      <c r="D61" s="2">
        <v>22</v>
      </c>
      <c r="E61" s="2">
        <v>6.1</v>
      </c>
      <c r="F61" s="2">
        <v>316.60000000000002</v>
      </c>
      <c r="G61" s="2" t="s">
        <v>291</v>
      </c>
      <c r="H61" s="2" t="s">
        <v>99</v>
      </c>
      <c r="I61" s="8">
        <f t="shared" si="1"/>
        <v>2.3591654247391958</v>
      </c>
    </row>
    <row r="62" spans="1:9">
      <c r="A62" s="3" t="s">
        <v>384</v>
      </c>
      <c r="B62" s="3" t="s">
        <v>283</v>
      </c>
      <c r="C62" s="3" t="s">
        <v>294</v>
      </c>
      <c r="D62" s="3">
        <v>14</v>
      </c>
      <c r="E62" s="3">
        <v>8.3000000000000007</v>
      </c>
      <c r="F62" s="3">
        <v>288.89999999999998</v>
      </c>
      <c r="G62" s="3" t="s">
        <v>238</v>
      </c>
      <c r="H62" s="3" t="s">
        <v>88</v>
      </c>
      <c r="I62" s="8">
        <f t="shared" si="1"/>
        <v>2.4862306368330458</v>
      </c>
    </row>
    <row r="63" spans="1:9">
      <c r="A63" s="2" t="s">
        <v>355</v>
      </c>
      <c r="B63" s="2" t="s">
        <v>317</v>
      </c>
      <c r="C63" s="2" t="s">
        <v>306</v>
      </c>
      <c r="D63" s="2">
        <v>31</v>
      </c>
      <c r="E63" s="2">
        <v>7.8</v>
      </c>
      <c r="F63" s="2">
        <v>270.10000000000002</v>
      </c>
      <c r="G63" s="2" t="s">
        <v>291</v>
      </c>
      <c r="H63" s="2" t="s">
        <v>99</v>
      </c>
      <c r="I63" s="8">
        <f t="shared" si="1"/>
        <v>1.1170388751033915</v>
      </c>
    </row>
    <row r="64" spans="1:9">
      <c r="A64" s="3" t="s">
        <v>385</v>
      </c>
      <c r="B64" s="3" t="s">
        <v>283</v>
      </c>
      <c r="C64" s="3" t="s">
        <v>284</v>
      </c>
      <c r="D64" s="3">
        <v>14</v>
      </c>
      <c r="E64" s="3">
        <v>6.6</v>
      </c>
      <c r="F64" s="3">
        <v>437.8</v>
      </c>
      <c r="G64" s="3" t="s">
        <v>228</v>
      </c>
      <c r="H64" s="3" t="s">
        <v>149</v>
      </c>
      <c r="I64" s="8">
        <f t="shared" si="1"/>
        <v>4.738095238095239</v>
      </c>
    </row>
    <row r="65" spans="1:9">
      <c r="A65" s="2" t="s">
        <v>386</v>
      </c>
      <c r="B65" s="2" t="s">
        <v>337</v>
      </c>
      <c r="C65" s="2" t="s">
        <v>306</v>
      </c>
      <c r="D65" s="2">
        <v>33</v>
      </c>
      <c r="E65" s="2">
        <v>7.7</v>
      </c>
      <c r="F65" s="2">
        <v>381.6</v>
      </c>
      <c r="G65" s="2" t="s">
        <v>228</v>
      </c>
      <c r="H65" s="2" t="s">
        <v>99</v>
      </c>
      <c r="I65" s="8">
        <f t="shared" si="1"/>
        <v>1.501770956316411</v>
      </c>
    </row>
    <row r="66" spans="1:9">
      <c r="A66" s="3" t="s">
        <v>378</v>
      </c>
      <c r="B66" s="3" t="s">
        <v>283</v>
      </c>
      <c r="C66" s="3" t="s">
        <v>300</v>
      </c>
      <c r="D66" s="3">
        <v>36</v>
      </c>
      <c r="E66" s="3">
        <v>8.1</v>
      </c>
      <c r="F66" s="3">
        <v>580.1</v>
      </c>
      <c r="G66" s="3" t="s">
        <v>238</v>
      </c>
      <c r="H66" s="3" t="s">
        <v>136</v>
      </c>
      <c r="I66" s="8">
        <f t="shared" si="1"/>
        <v>1.9893689986282581</v>
      </c>
    </row>
    <row r="67" spans="1:9">
      <c r="A67" s="2" t="s">
        <v>387</v>
      </c>
      <c r="B67" s="2" t="s">
        <v>283</v>
      </c>
      <c r="C67" s="2" t="s">
        <v>294</v>
      </c>
      <c r="D67" s="2">
        <v>24</v>
      </c>
      <c r="E67" s="2">
        <v>9.8000000000000007</v>
      </c>
      <c r="F67" s="2">
        <v>926.4</v>
      </c>
      <c r="G67" s="2" t="s">
        <v>291</v>
      </c>
      <c r="H67" s="2" t="s">
        <v>149</v>
      </c>
      <c r="I67" s="8">
        <f t="shared" si="1"/>
        <v>3.9387755102040813</v>
      </c>
    </row>
    <row r="68" spans="1:9">
      <c r="A68" s="3" t="s">
        <v>356</v>
      </c>
      <c r="B68" s="3" t="s">
        <v>283</v>
      </c>
      <c r="C68" s="3" t="s">
        <v>284</v>
      </c>
      <c r="D68" s="3">
        <v>36</v>
      </c>
      <c r="E68" s="3">
        <v>9</v>
      </c>
      <c r="F68" s="3">
        <v>345.9</v>
      </c>
      <c r="G68" s="3" t="s">
        <v>289</v>
      </c>
      <c r="H68" s="3" t="s">
        <v>80</v>
      </c>
      <c r="I68" s="8">
        <f t="shared" si="1"/>
        <v>1.0675925925925924</v>
      </c>
    </row>
    <row r="69" spans="1:9">
      <c r="A69" s="2" t="s">
        <v>376</v>
      </c>
      <c r="B69" s="2" t="s">
        <v>318</v>
      </c>
      <c r="C69" s="2" t="s">
        <v>284</v>
      </c>
      <c r="D69" s="2">
        <v>30</v>
      </c>
      <c r="E69" s="2">
        <v>9.4</v>
      </c>
      <c r="F69" s="2">
        <v>92.2</v>
      </c>
      <c r="G69" s="2" t="s">
        <v>228</v>
      </c>
      <c r="H69" s="2" t="s">
        <v>116</v>
      </c>
      <c r="I69" s="8">
        <f t="shared" ref="I69:I84" si="2">F69/(D69*E69)</f>
        <v>0.32695035460992911</v>
      </c>
    </row>
    <row r="70" spans="1:9">
      <c r="A70" s="3" t="s">
        <v>366</v>
      </c>
      <c r="B70" s="3" t="s">
        <v>318</v>
      </c>
      <c r="C70" s="3" t="s">
        <v>311</v>
      </c>
      <c r="D70" s="3">
        <v>32</v>
      </c>
      <c r="E70" s="3">
        <v>8.3000000000000007</v>
      </c>
      <c r="F70" s="3">
        <v>1144.5</v>
      </c>
      <c r="G70" s="3" t="s">
        <v>289</v>
      </c>
      <c r="H70" s="3" t="s">
        <v>149</v>
      </c>
      <c r="I70" s="8">
        <f t="shared" si="2"/>
        <v>4.3091114457831319</v>
      </c>
    </row>
    <row r="71" spans="1:9">
      <c r="A71" s="2" t="s">
        <v>388</v>
      </c>
      <c r="B71" s="2" t="s">
        <v>337</v>
      </c>
      <c r="C71" s="2" t="s">
        <v>284</v>
      </c>
      <c r="D71" s="2">
        <v>25</v>
      </c>
      <c r="E71" s="2">
        <v>6.7</v>
      </c>
      <c r="F71" s="2">
        <v>1185.8</v>
      </c>
      <c r="G71" s="2" t="s">
        <v>289</v>
      </c>
      <c r="H71" s="2" t="s">
        <v>99</v>
      </c>
      <c r="I71" s="8">
        <f t="shared" si="2"/>
        <v>7.0794029850746263</v>
      </c>
    </row>
    <row r="72" spans="1:9">
      <c r="A72" s="3" t="s">
        <v>389</v>
      </c>
      <c r="B72" s="3" t="s">
        <v>337</v>
      </c>
      <c r="C72" s="3" t="s">
        <v>284</v>
      </c>
      <c r="D72" s="3">
        <v>20</v>
      </c>
      <c r="E72" s="3">
        <v>7.7</v>
      </c>
      <c r="F72" s="3">
        <v>412.4</v>
      </c>
      <c r="G72" s="3" t="s">
        <v>228</v>
      </c>
      <c r="H72" s="3" t="s">
        <v>136</v>
      </c>
      <c r="I72" s="8">
        <f t="shared" si="2"/>
        <v>2.6779220779220778</v>
      </c>
    </row>
    <row r="73" spans="1:9">
      <c r="A73" s="2" t="s">
        <v>390</v>
      </c>
      <c r="B73" s="2" t="s">
        <v>318</v>
      </c>
      <c r="C73" s="2" t="s">
        <v>294</v>
      </c>
      <c r="D73" s="2">
        <v>26</v>
      </c>
      <c r="E73" s="2">
        <v>9.1</v>
      </c>
      <c r="F73" s="2">
        <v>123.3</v>
      </c>
      <c r="G73" s="2" t="s">
        <v>228</v>
      </c>
      <c r="H73" s="2" t="s">
        <v>80</v>
      </c>
      <c r="I73" s="8">
        <f t="shared" si="2"/>
        <v>0.52113271344040579</v>
      </c>
    </row>
    <row r="74" spans="1:9">
      <c r="A74" s="3" t="s">
        <v>384</v>
      </c>
      <c r="B74" s="3" t="s">
        <v>318</v>
      </c>
      <c r="C74" s="3" t="s">
        <v>334</v>
      </c>
      <c r="D74" s="3">
        <v>14</v>
      </c>
      <c r="E74" s="3">
        <v>6.9</v>
      </c>
      <c r="F74" s="3">
        <v>114.5</v>
      </c>
      <c r="G74" s="3" t="s">
        <v>238</v>
      </c>
      <c r="H74" s="3" t="s">
        <v>126</v>
      </c>
      <c r="I74" s="8">
        <f t="shared" si="2"/>
        <v>1.1853002070393375</v>
      </c>
    </row>
    <row r="75" spans="1:9">
      <c r="A75" s="2" t="s">
        <v>391</v>
      </c>
      <c r="B75" s="2" t="s">
        <v>283</v>
      </c>
      <c r="C75" s="2" t="s">
        <v>294</v>
      </c>
      <c r="D75" s="2">
        <v>36</v>
      </c>
      <c r="E75" s="2">
        <v>7.9</v>
      </c>
      <c r="F75" s="2">
        <v>1030.4000000000001</v>
      </c>
      <c r="G75" s="2" t="s">
        <v>289</v>
      </c>
      <c r="H75" s="2" t="s">
        <v>99</v>
      </c>
      <c r="I75" s="8">
        <f t="shared" si="2"/>
        <v>3.6230661040787622</v>
      </c>
    </row>
    <row r="76" spans="1:9">
      <c r="A76" s="3" t="s">
        <v>379</v>
      </c>
      <c r="B76" s="3" t="s">
        <v>317</v>
      </c>
      <c r="C76" s="3" t="s">
        <v>306</v>
      </c>
      <c r="D76" s="3">
        <v>9</v>
      </c>
      <c r="E76" s="3">
        <v>7.9</v>
      </c>
      <c r="F76" s="3">
        <v>287.39999999999998</v>
      </c>
      <c r="G76" s="3" t="s">
        <v>291</v>
      </c>
      <c r="H76" s="3" t="s">
        <v>88</v>
      </c>
      <c r="I76" s="8">
        <f t="shared" si="2"/>
        <v>4.0421940928270033</v>
      </c>
    </row>
    <row r="77" spans="1:9">
      <c r="A77" s="2" t="s">
        <v>392</v>
      </c>
      <c r="B77" s="2" t="s">
        <v>283</v>
      </c>
      <c r="C77" s="2" t="s">
        <v>300</v>
      </c>
      <c r="D77" s="2">
        <v>34</v>
      </c>
      <c r="E77" s="2">
        <v>7.8</v>
      </c>
      <c r="F77" s="2">
        <v>128.80000000000001</v>
      </c>
      <c r="G77" s="2" t="s">
        <v>291</v>
      </c>
      <c r="H77" s="2" t="s">
        <v>184</v>
      </c>
      <c r="I77" s="8">
        <f t="shared" si="2"/>
        <v>0.48567119155354455</v>
      </c>
    </row>
    <row r="78" spans="1:9">
      <c r="A78" s="3" t="s">
        <v>355</v>
      </c>
      <c r="B78" s="3" t="s">
        <v>337</v>
      </c>
      <c r="C78" s="3" t="s">
        <v>306</v>
      </c>
      <c r="D78" s="3">
        <v>40</v>
      </c>
      <c r="E78" s="3">
        <v>9.8000000000000007</v>
      </c>
      <c r="F78" s="3">
        <v>1488.3</v>
      </c>
      <c r="G78" s="3" t="s">
        <v>228</v>
      </c>
      <c r="H78" s="3" t="s">
        <v>116</v>
      </c>
      <c r="I78" s="8">
        <f t="shared" si="2"/>
        <v>3.7966836734693876</v>
      </c>
    </row>
    <row r="79" spans="1:9">
      <c r="A79" s="2" t="s">
        <v>393</v>
      </c>
      <c r="B79" s="2" t="s">
        <v>317</v>
      </c>
      <c r="C79" s="2" t="s">
        <v>300</v>
      </c>
      <c r="D79" s="2">
        <v>35</v>
      </c>
      <c r="E79" s="2">
        <v>8</v>
      </c>
      <c r="F79" s="2">
        <v>1677.5</v>
      </c>
      <c r="G79" s="2" t="s">
        <v>289</v>
      </c>
      <c r="H79" s="2" t="s">
        <v>184</v>
      </c>
      <c r="I79" s="8">
        <f t="shared" si="2"/>
        <v>5.9910714285714288</v>
      </c>
    </row>
    <row r="80" spans="1:9">
      <c r="A80" s="3" t="s">
        <v>394</v>
      </c>
      <c r="B80" s="3" t="s">
        <v>283</v>
      </c>
      <c r="C80" s="3" t="s">
        <v>311</v>
      </c>
      <c r="D80" s="3">
        <v>16</v>
      </c>
      <c r="E80" s="3">
        <v>6.2</v>
      </c>
      <c r="F80" s="3">
        <v>570.79999999999995</v>
      </c>
      <c r="G80" s="3" t="s">
        <v>289</v>
      </c>
      <c r="H80" s="3" t="s">
        <v>126</v>
      </c>
      <c r="I80" s="8">
        <f t="shared" si="2"/>
        <v>5.7540322580645151</v>
      </c>
    </row>
    <row r="81" spans="1:9">
      <c r="A81" s="2" t="s">
        <v>395</v>
      </c>
      <c r="B81" s="2" t="s">
        <v>318</v>
      </c>
      <c r="C81" s="2" t="s">
        <v>300</v>
      </c>
      <c r="D81" s="2">
        <v>29</v>
      </c>
      <c r="E81" s="2">
        <v>7.6</v>
      </c>
      <c r="F81" s="2">
        <v>509.8</v>
      </c>
      <c r="G81" s="2" t="s">
        <v>228</v>
      </c>
      <c r="H81" s="2" t="s">
        <v>99</v>
      </c>
      <c r="I81" s="8">
        <f t="shared" si="2"/>
        <v>2.313067150635209</v>
      </c>
    </row>
    <row r="82" spans="1:9">
      <c r="A82" s="3" t="s">
        <v>369</v>
      </c>
      <c r="B82" s="3" t="s">
        <v>318</v>
      </c>
      <c r="C82" s="3" t="s">
        <v>284</v>
      </c>
      <c r="D82" s="3">
        <v>40</v>
      </c>
      <c r="E82" s="3">
        <v>8.6999999999999993</v>
      </c>
      <c r="F82" s="3">
        <v>596.9</v>
      </c>
      <c r="G82" s="3" t="s">
        <v>238</v>
      </c>
      <c r="H82" s="3" t="s">
        <v>99</v>
      </c>
      <c r="I82" s="8">
        <f t="shared" si="2"/>
        <v>1.7152298850574712</v>
      </c>
    </row>
    <row r="83" spans="1:9">
      <c r="A83" s="2" t="s">
        <v>338</v>
      </c>
      <c r="B83" s="2" t="s">
        <v>317</v>
      </c>
      <c r="C83" s="2" t="s">
        <v>300</v>
      </c>
      <c r="D83" s="2">
        <v>24</v>
      </c>
      <c r="E83" s="2">
        <v>9.9</v>
      </c>
      <c r="F83" s="2">
        <v>845.4</v>
      </c>
      <c r="G83" s="2" t="s">
        <v>289</v>
      </c>
      <c r="H83" s="2" t="s">
        <v>126</v>
      </c>
      <c r="I83" s="8">
        <f t="shared" si="2"/>
        <v>3.5580808080808075</v>
      </c>
    </row>
    <row r="84" spans="1:9">
      <c r="A84" s="3" t="s">
        <v>396</v>
      </c>
      <c r="B84" s="3" t="s">
        <v>318</v>
      </c>
      <c r="C84" s="3" t="s">
        <v>311</v>
      </c>
      <c r="D84" s="3">
        <v>29</v>
      </c>
      <c r="E84" s="3">
        <v>8.6</v>
      </c>
      <c r="F84" s="3">
        <v>495.8</v>
      </c>
      <c r="G84" s="3" t="s">
        <v>238</v>
      </c>
      <c r="H84" s="3" t="s">
        <v>184</v>
      </c>
      <c r="I84" s="8">
        <f t="shared" si="2"/>
        <v>1.9879711307137131</v>
      </c>
    </row>
    <row r="86" spans="1:9" ht="15.6">
      <c r="A86" s="7" t="s">
        <v>209</v>
      </c>
    </row>
    <row r="87" spans="1:9">
      <c r="A87" s="96" t="s">
        <v>397</v>
      </c>
      <c r="B87" s="96"/>
      <c r="C87" s="96"/>
      <c r="D87" s="96"/>
      <c r="E87" s="96"/>
      <c r="F87" s="96"/>
    </row>
    <row r="88" spans="1:9">
      <c r="A88" s="96" t="s">
        <v>398</v>
      </c>
      <c r="B88" s="96"/>
      <c r="C88" s="96"/>
      <c r="D88" s="96"/>
      <c r="E88" s="96"/>
      <c r="F88" s="96"/>
    </row>
    <row r="89" spans="1:9">
      <c r="A89" s="96" t="s">
        <v>399</v>
      </c>
      <c r="B89" s="96"/>
      <c r="C89" s="96"/>
      <c r="D89" s="96"/>
      <c r="E89" s="96"/>
      <c r="F89" s="96"/>
    </row>
    <row r="90" spans="1:9">
      <c r="A90" s="96" t="s">
        <v>400</v>
      </c>
      <c r="B90" s="96"/>
      <c r="C90" s="96"/>
      <c r="D90" s="96"/>
      <c r="E90" s="96"/>
      <c r="F90" s="96"/>
    </row>
    <row r="91" spans="1:9">
      <c r="A91" s="96" t="s">
        <v>401</v>
      </c>
      <c r="B91" s="96"/>
      <c r="C91" s="96"/>
      <c r="D91" s="96"/>
      <c r="E91" s="96"/>
      <c r="F91" s="96"/>
    </row>
    <row r="92" spans="1:9">
      <c r="A92" s="96" t="s">
        <v>402</v>
      </c>
      <c r="B92" s="96"/>
      <c r="C92" s="96"/>
      <c r="D92" s="96"/>
      <c r="E92" s="96"/>
      <c r="F92" s="96"/>
    </row>
  </sheetData>
  <mergeCells count="8">
    <mergeCell ref="A90:F90"/>
    <mergeCell ref="A91:F91"/>
    <mergeCell ref="A92:F92"/>
    <mergeCell ref="A1:H1"/>
    <mergeCell ref="A2:H2"/>
    <mergeCell ref="A87:F87"/>
    <mergeCell ref="A88:F88"/>
    <mergeCell ref="A89:F89"/>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B1FA2"/>
  </sheetPr>
  <dimension ref="A1:H52"/>
  <sheetViews>
    <sheetView topLeftCell="A37" zoomScaleNormal="100" workbookViewId="0">
      <selection activeCell="A47" sqref="A47:F52"/>
    </sheetView>
  </sheetViews>
  <sheetFormatPr defaultColWidth="8.6640625" defaultRowHeight="14.4"/>
  <cols>
    <col min="1" max="1" width="20" customWidth="1"/>
    <col min="2" max="5" width="16" customWidth="1"/>
    <col min="6" max="6" width="14" customWidth="1"/>
    <col min="7" max="7" width="16" customWidth="1"/>
    <col min="8" max="8" width="14" customWidth="1"/>
  </cols>
  <sheetData>
    <row r="1" spans="1:8" ht="17.399999999999999">
      <c r="A1" s="134" t="s">
        <v>403</v>
      </c>
      <c r="B1" s="134"/>
      <c r="C1" s="134"/>
      <c r="D1" s="134"/>
      <c r="E1" s="134"/>
      <c r="F1" s="134"/>
      <c r="G1" s="134"/>
      <c r="H1" s="134"/>
    </row>
    <row r="2" spans="1:8">
      <c r="A2" s="119" t="s">
        <v>404</v>
      </c>
      <c r="B2" s="119"/>
      <c r="C2" s="119"/>
      <c r="D2" s="119"/>
      <c r="E2" s="119"/>
      <c r="F2" s="119"/>
      <c r="G2" s="119"/>
      <c r="H2" s="119"/>
    </row>
    <row r="4" spans="1:8" ht="26.4">
      <c r="A4" s="1" t="s">
        <v>405</v>
      </c>
      <c r="B4" s="1" t="s">
        <v>406</v>
      </c>
      <c r="C4" s="1" t="s">
        <v>407</v>
      </c>
      <c r="D4" s="1" t="s">
        <v>408</v>
      </c>
      <c r="E4" s="1" t="s">
        <v>409</v>
      </c>
      <c r="F4" s="1" t="s">
        <v>410</v>
      </c>
      <c r="G4" s="1" t="s">
        <v>411</v>
      </c>
      <c r="H4" s="1" t="s">
        <v>412</v>
      </c>
    </row>
    <row r="5" spans="1:8">
      <c r="A5" s="2" t="s">
        <v>413</v>
      </c>
      <c r="B5" s="2" t="s">
        <v>414</v>
      </c>
      <c r="C5" s="2">
        <v>6124192</v>
      </c>
      <c r="D5" s="2">
        <v>306</v>
      </c>
      <c r="E5" s="2">
        <v>18</v>
      </c>
      <c r="F5" s="2">
        <v>3.4</v>
      </c>
      <c r="G5" s="2">
        <v>4.7</v>
      </c>
      <c r="H5" s="2">
        <v>59</v>
      </c>
    </row>
    <row r="6" spans="1:8">
      <c r="A6" s="3" t="s">
        <v>413</v>
      </c>
      <c r="B6" s="3" t="s">
        <v>415</v>
      </c>
      <c r="C6" s="3">
        <v>3366658</v>
      </c>
      <c r="D6" s="3">
        <v>338</v>
      </c>
      <c r="E6" s="3">
        <v>8</v>
      </c>
      <c r="F6" s="3">
        <v>3.1</v>
      </c>
      <c r="G6" s="3">
        <v>2.1</v>
      </c>
      <c r="H6" s="3">
        <v>53.9</v>
      </c>
    </row>
    <row r="7" spans="1:8">
      <c r="A7" s="2" t="s">
        <v>413</v>
      </c>
      <c r="B7" s="2" t="s">
        <v>416</v>
      </c>
      <c r="C7" s="2">
        <v>7111231</v>
      </c>
      <c r="D7" s="2">
        <v>141</v>
      </c>
      <c r="E7" s="2">
        <v>18</v>
      </c>
      <c r="F7" s="2">
        <v>4.4000000000000004</v>
      </c>
      <c r="G7" s="2">
        <v>10.1</v>
      </c>
      <c r="H7" s="2">
        <v>94.2</v>
      </c>
    </row>
    <row r="8" spans="1:8">
      <c r="A8" s="3" t="s">
        <v>413</v>
      </c>
      <c r="B8" s="3" t="s">
        <v>417</v>
      </c>
      <c r="C8" s="3">
        <v>6052664</v>
      </c>
      <c r="D8" s="3">
        <v>262</v>
      </c>
      <c r="E8" s="3">
        <v>21</v>
      </c>
      <c r="F8" s="3">
        <v>2.8</v>
      </c>
      <c r="G8" s="3">
        <v>4.8</v>
      </c>
      <c r="H8" s="3">
        <v>58.1</v>
      </c>
    </row>
    <row r="9" spans="1:8">
      <c r="A9" s="2" t="s">
        <v>413</v>
      </c>
      <c r="B9" s="2" t="s">
        <v>416</v>
      </c>
      <c r="C9" s="2">
        <v>6312010</v>
      </c>
      <c r="D9" s="2">
        <v>174</v>
      </c>
      <c r="E9" s="2">
        <v>25</v>
      </c>
      <c r="F9" s="2">
        <v>3.6</v>
      </c>
      <c r="G9" s="2">
        <v>5.2</v>
      </c>
      <c r="H9" s="2">
        <v>83.8</v>
      </c>
    </row>
    <row r="10" spans="1:8">
      <c r="A10" s="3" t="s">
        <v>413</v>
      </c>
      <c r="B10" s="3" t="s">
        <v>415</v>
      </c>
      <c r="C10" s="3">
        <v>4226208</v>
      </c>
      <c r="D10" s="3">
        <v>235</v>
      </c>
      <c r="E10" s="3">
        <v>25</v>
      </c>
      <c r="F10" s="3">
        <v>4.5</v>
      </c>
      <c r="G10" s="3">
        <v>3.2</v>
      </c>
      <c r="H10" s="3">
        <v>62</v>
      </c>
    </row>
    <row r="11" spans="1:8">
      <c r="A11" s="2" t="s">
        <v>413</v>
      </c>
      <c r="B11" s="2" t="s">
        <v>418</v>
      </c>
      <c r="C11" s="2">
        <v>7079774</v>
      </c>
      <c r="D11" s="2">
        <v>330</v>
      </c>
      <c r="E11" s="2">
        <v>8</v>
      </c>
      <c r="F11" s="2">
        <v>3.4</v>
      </c>
      <c r="G11" s="2">
        <v>11.4</v>
      </c>
      <c r="H11" s="2">
        <v>99.2</v>
      </c>
    </row>
    <row r="12" spans="1:8">
      <c r="A12" s="3" t="s">
        <v>413</v>
      </c>
      <c r="B12" s="3" t="s">
        <v>419</v>
      </c>
      <c r="C12" s="3">
        <v>6954518</v>
      </c>
      <c r="D12" s="3">
        <v>234</v>
      </c>
      <c r="E12" s="3">
        <v>14</v>
      </c>
      <c r="F12" s="3">
        <v>3.8</v>
      </c>
      <c r="G12" s="3">
        <v>5.3</v>
      </c>
      <c r="H12" s="3">
        <v>58.1</v>
      </c>
    </row>
    <row r="13" spans="1:8">
      <c r="A13" s="2" t="s">
        <v>420</v>
      </c>
      <c r="B13" s="2" t="s">
        <v>415</v>
      </c>
      <c r="C13" s="2">
        <v>7221449</v>
      </c>
      <c r="D13" s="2">
        <v>160</v>
      </c>
      <c r="E13" s="2">
        <v>10</v>
      </c>
      <c r="F13" s="2">
        <v>2.6</v>
      </c>
      <c r="G13" s="2">
        <v>6</v>
      </c>
      <c r="H13" s="2">
        <v>68.599999999999994</v>
      </c>
    </row>
    <row r="14" spans="1:8">
      <c r="A14" s="3" t="s">
        <v>420</v>
      </c>
      <c r="B14" s="3" t="s">
        <v>421</v>
      </c>
      <c r="C14" s="3">
        <v>1360585</v>
      </c>
      <c r="D14" s="3">
        <v>354</v>
      </c>
      <c r="E14" s="3">
        <v>5</v>
      </c>
      <c r="F14" s="3">
        <v>3.2</v>
      </c>
      <c r="G14" s="3">
        <v>9.3000000000000007</v>
      </c>
      <c r="H14" s="3">
        <v>63.6</v>
      </c>
    </row>
    <row r="15" spans="1:8">
      <c r="A15" s="2" t="s">
        <v>420</v>
      </c>
      <c r="B15" s="2" t="s">
        <v>421</v>
      </c>
      <c r="C15" s="2">
        <v>4806314</v>
      </c>
      <c r="D15" s="2">
        <v>165</v>
      </c>
      <c r="E15" s="2">
        <v>15</v>
      </c>
      <c r="F15" s="2">
        <v>2.7</v>
      </c>
      <c r="G15" s="2">
        <v>11</v>
      </c>
      <c r="H15" s="2">
        <v>90.8</v>
      </c>
    </row>
    <row r="16" spans="1:8">
      <c r="A16" s="3" t="s">
        <v>420</v>
      </c>
      <c r="B16" s="3" t="s">
        <v>421</v>
      </c>
      <c r="C16" s="3">
        <v>3432532</v>
      </c>
      <c r="D16" s="3">
        <v>103</v>
      </c>
      <c r="E16" s="3">
        <v>15</v>
      </c>
      <c r="F16" s="3">
        <v>2.6</v>
      </c>
      <c r="G16" s="3">
        <v>6.3</v>
      </c>
      <c r="H16" s="3">
        <v>61.8</v>
      </c>
    </row>
    <row r="17" spans="1:8">
      <c r="A17" s="2" t="s">
        <v>420</v>
      </c>
      <c r="B17" s="2" t="s">
        <v>422</v>
      </c>
      <c r="C17" s="2">
        <v>3644995</v>
      </c>
      <c r="D17" s="2">
        <v>204</v>
      </c>
      <c r="E17" s="2">
        <v>2</v>
      </c>
      <c r="F17" s="2">
        <v>3.3</v>
      </c>
      <c r="G17" s="2">
        <v>1.6</v>
      </c>
      <c r="H17" s="2">
        <v>85.7</v>
      </c>
    </row>
    <row r="18" spans="1:8">
      <c r="A18" s="3" t="s">
        <v>420</v>
      </c>
      <c r="B18" s="3" t="s">
        <v>423</v>
      </c>
      <c r="C18" s="3">
        <v>7138581</v>
      </c>
      <c r="D18" s="3">
        <v>164</v>
      </c>
      <c r="E18" s="3">
        <v>6</v>
      </c>
      <c r="F18" s="3">
        <v>2.6</v>
      </c>
      <c r="G18" s="3">
        <v>11.1</v>
      </c>
      <c r="H18" s="3">
        <v>73.599999999999994</v>
      </c>
    </row>
    <row r="19" spans="1:8">
      <c r="A19" s="2" t="s">
        <v>420</v>
      </c>
      <c r="B19" s="2" t="s">
        <v>416</v>
      </c>
      <c r="C19" s="2">
        <v>1664277</v>
      </c>
      <c r="D19" s="2">
        <v>330</v>
      </c>
      <c r="E19" s="2">
        <v>16</v>
      </c>
      <c r="F19" s="2">
        <v>4</v>
      </c>
      <c r="G19" s="2">
        <v>10.9</v>
      </c>
      <c r="H19" s="2">
        <v>51</v>
      </c>
    </row>
    <row r="20" spans="1:8">
      <c r="A20" s="3" t="s">
        <v>420</v>
      </c>
      <c r="B20" s="3" t="s">
        <v>415</v>
      </c>
      <c r="C20" s="3">
        <v>7504178</v>
      </c>
      <c r="D20" s="3">
        <v>166</v>
      </c>
      <c r="E20" s="3">
        <v>19</v>
      </c>
      <c r="F20" s="3">
        <v>4.9000000000000004</v>
      </c>
      <c r="G20" s="3">
        <v>7.5</v>
      </c>
      <c r="H20" s="3">
        <v>71.2</v>
      </c>
    </row>
    <row r="21" spans="1:8">
      <c r="A21" s="2" t="s">
        <v>424</v>
      </c>
      <c r="B21" s="2" t="s">
        <v>418</v>
      </c>
      <c r="C21" s="2">
        <v>2916771</v>
      </c>
      <c r="D21" s="2">
        <v>211</v>
      </c>
      <c r="E21" s="2">
        <v>11</v>
      </c>
      <c r="F21" s="2">
        <v>2.8</v>
      </c>
      <c r="G21" s="2">
        <v>3.2</v>
      </c>
      <c r="H21" s="2">
        <v>81.900000000000006</v>
      </c>
    </row>
    <row r="22" spans="1:8">
      <c r="A22" s="3" t="s">
        <v>424</v>
      </c>
      <c r="B22" s="3" t="s">
        <v>425</v>
      </c>
      <c r="C22" s="3">
        <v>4334546</v>
      </c>
      <c r="D22" s="3">
        <v>122</v>
      </c>
      <c r="E22" s="3">
        <v>5</v>
      </c>
      <c r="F22" s="3">
        <v>4.5999999999999996</v>
      </c>
      <c r="G22" s="3">
        <v>6.2</v>
      </c>
      <c r="H22" s="3">
        <v>76.8</v>
      </c>
    </row>
    <row r="23" spans="1:8">
      <c r="A23" s="2" t="s">
        <v>424</v>
      </c>
      <c r="B23" s="2" t="s">
        <v>414</v>
      </c>
      <c r="C23" s="2">
        <v>4823284</v>
      </c>
      <c r="D23" s="2">
        <v>213</v>
      </c>
      <c r="E23" s="2">
        <v>24</v>
      </c>
      <c r="F23" s="2">
        <v>2.9</v>
      </c>
      <c r="G23" s="2">
        <v>5.4</v>
      </c>
      <c r="H23" s="2">
        <v>80.7</v>
      </c>
    </row>
    <row r="24" spans="1:8">
      <c r="A24" s="3" t="s">
        <v>424</v>
      </c>
      <c r="B24" s="3" t="s">
        <v>415</v>
      </c>
      <c r="C24" s="3">
        <v>5287074</v>
      </c>
      <c r="D24" s="3">
        <v>303</v>
      </c>
      <c r="E24" s="3">
        <v>7</v>
      </c>
      <c r="F24" s="3">
        <v>4.2</v>
      </c>
      <c r="G24" s="3">
        <v>1.5</v>
      </c>
      <c r="H24" s="3">
        <v>98.7</v>
      </c>
    </row>
    <row r="25" spans="1:8">
      <c r="A25" s="2" t="s">
        <v>424</v>
      </c>
      <c r="B25" s="2" t="s">
        <v>422</v>
      </c>
      <c r="C25" s="2">
        <v>4912906</v>
      </c>
      <c r="D25" s="2">
        <v>349</v>
      </c>
      <c r="E25" s="2">
        <v>18</v>
      </c>
      <c r="F25" s="2">
        <v>3.9</v>
      </c>
      <c r="G25" s="2">
        <v>5</v>
      </c>
      <c r="H25" s="2">
        <v>73.5</v>
      </c>
    </row>
    <row r="26" spans="1:8">
      <c r="A26" s="3" t="s">
        <v>424</v>
      </c>
      <c r="B26" s="3" t="s">
        <v>414</v>
      </c>
      <c r="C26" s="3">
        <v>3745395</v>
      </c>
      <c r="D26" s="3">
        <v>281</v>
      </c>
      <c r="E26" s="3">
        <v>10</v>
      </c>
      <c r="F26" s="3">
        <v>4.4000000000000004</v>
      </c>
      <c r="G26" s="3">
        <v>4.5999999999999996</v>
      </c>
      <c r="H26" s="3">
        <v>53.4</v>
      </c>
    </row>
    <row r="27" spans="1:8">
      <c r="A27" s="2" t="s">
        <v>424</v>
      </c>
      <c r="B27" s="2" t="s">
        <v>415</v>
      </c>
      <c r="C27" s="2">
        <v>6648354</v>
      </c>
      <c r="D27" s="2">
        <v>143</v>
      </c>
      <c r="E27" s="2">
        <v>20</v>
      </c>
      <c r="F27" s="2">
        <v>4.3</v>
      </c>
      <c r="G27" s="2">
        <v>4.3</v>
      </c>
      <c r="H27" s="2">
        <v>52.2</v>
      </c>
    </row>
    <row r="28" spans="1:8">
      <c r="A28" s="3" t="s">
        <v>424</v>
      </c>
      <c r="B28" s="3" t="s">
        <v>426</v>
      </c>
      <c r="C28" s="3">
        <v>3339940</v>
      </c>
      <c r="D28" s="3">
        <v>179</v>
      </c>
      <c r="E28" s="3">
        <v>23</v>
      </c>
      <c r="F28" s="3">
        <v>3.7</v>
      </c>
      <c r="G28" s="3">
        <v>8.5</v>
      </c>
      <c r="H28" s="3">
        <v>81.599999999999994</v>
      </c>
    </row>
    <row r="29" spans="1:8">
      <c r="A29" s="2" t="s">
        <v>311</v>
      </c>
      <c r="B29" s="2" t="s">
        <v>418</v>
      </c>
      <c r="C29" s="2">
        <v>1631225</v>
      </c>
      <c r="D29" s="2">
        <v>122</v>
      </c>
      <c r="E29" s="2">
        <v>24</v>
      </c>
      <c r="F29" s="2">
        <v>4.4000000000000004</v>
      </c>
      <c r="G29" s="2">
        <v>5.8</v>
      </c>
      <c r="H29" s="2">
        <v>64.7</v>
      </c>
    </row>
    <row r="30" spans="1:8">
      <c r="A30" s="3" t="s">
        <v>311</v>
      </c>
      <c r="B30" s="3" t="s">
        <v>417</v>
      </c>
      <c r="C30" s="3">
        <v>7136305</v>
      </c>
      <c r="D30" s="3">
        <v>192</v>
      </c>
      <c r="E30" s="3">
        <v>3</v>
      </c>
      <c r="F30" s="3">
        <v>3.3</v>
      </c>
      <c r="G30" s="3">
        <v>4.0999999999999996</v>
      </c>
      <c r="H30" s="3">
        <v>69.900000000000006</v>
      </c>
    </row>
    <row r="31" spans="1:8">
      <c r="A31" s="2" t="s">
        <v>311</v>
      </c>
      <c r="B31" s="2" t="s">
        <v>416</v>
      </c>
      <c r="C31" s="2">
        <v>5055271</v>
      </c>
      <c r="D31" s="2">
        <v>332</v>
      </c>
      <c r="E31" s="2">
        <v>10</v>
      </c>
      <c r="F31" s="2">
        <v>2.6</v>
      </c>
      <c r="G31" s="2">
        <v>7.9</v>
      </c>
      <c r="H31" s="2">
        <v>64.3</v>
      </c>
    </row>
    <row r="32" spans="1:8">
      <c r="A32" s="3" t="s">
        <v>311</v>
      </c>
      <c r="B32" s="3" t="s">
        <v>416</v>
      </c>
      <c r="C32" s="3">
        <v>7050173</v>
      </c>
      <c r="D32" s="3">
        <v>114</v>
      </c>
      <c r="E32" s="3">
        <v>22</v>
      </c>
      <c r="F32" s="3">
        <v>3.3</v>
      </c>
      <c r="G32" s="3">
        <v>1.9</v>
      </c>
      <c r="H32" s="3">
        <v>68.400000000000006</v>
      </c>
    </row>
    <row r="33" spans="1:8">
      <c r="A33" s="2" t="s">
        <v>311</v>
      </c>
      <c r="B33" s="2" t="s">
        <v>421</v>
      </c>
      <c r="C33" s="2">
        <v>3855625</v>
      </c>
      <c r="D33" s="2">
        <v>315</v>
      </c>
      <c r="E33" s="2">
        <v>14</v>
      </c>
      <c r="F33" s="2">
        <v>3.3</v>
      </c>
      <c r="G33" s="2">
        <v>2.6</v>
      </c>
      <c r="H33" s="2">
        <v>84.6</v>
      </c>
    </row>
    <row r="34" spans="1:8">
      <c r="A34" s="3" t="s">
        <v>311</v>
      </c>
      <c r="B34" s="3" t="s">
        <v>423</v>
      </c>
      <c r="C34" s="3">
        <v>7188160</v>
      </c>
      <c r="D34" s="3">
        <v>355</v>
      </c>
      <c r="E34" s="3">
        <v>10</v>
      </c>
      <c r="F34" s="3">
        <v>4.5</v>
      </c>
      <c r="G34" s="3">
        <v>8.9</v>
      </c>
      <c r="H34" s="3">
        <v>53.9</v>
      </c>
    </row>
    <row r="35" spans="1:8">
      <c r="A35" s="2" t="s">
        <v>311</v>
      </c>
      <c r="B35" s="2" t="s">
        <v>425</v>
      </c>
      <c r="C35" s="2">
        <v>7398298</v>
      </c>
      <c r="D35" s="2">
        <v>182</v>
      </c>
      <c r="E35" s="2">
        <v>19</v>
      </c>
      <c r="F35" s="2">
        <v>3.2</v>
      </c>
      <c r="G35" s="2">
        <v>1.7</v>
      </c>
      <c r="H35" s="2">
        <v>66.400000000000006</v>
      </c>
    </row>
    <row r="36" spans="1:8">
      <c r="A36" s="3" t="s">
        <v>311</v>
      </c>
      <c r="B36" s="3" t="s">
        <v>427</v>
      </c>
      <c r="C36" s="3">
        <v>3071073</v>
      </c>
      <c r="D36" s="3">
        <v>318</v>
      </c>
      <c r="E36" s="3">
        <v>21</v>
      </c>
      <c r="F36" s="3">
        <v>4.3</v>
      </c>
      <c r="G36" s="3">
        <v>2.4</v>
      </c>
      <c r="H36" s="3">
        <v>72.2</v>
      </c>
    </row>
    <row r="37" spans="1:8">
      <c r="A37" s="2" t="s">
        <v>428</v>
      </c>
      <c r="B37" s="2" t="s">
        <v>419</v>
      </c>
      <c r="C37" s="2">
        <v>855300</v>
      </c>
      <c r="D37" s="2">
        <v>270</v>
      </c>
      <c r="E37" s="2">
        <v>21</v>
      </c>
      <c r="F37" s="2">
        <v>5</v>
      </c>
      <c r="G37" s="2">
        <v>3.7</v>
      </c>
      <c r="H37" s="2">
        <v>99</v>
      </c>
    </row>
    <row r="38" spans="1:8">
      <c r="A38" s="3" t="s">
        <v>428</v>
      </c>
      <c r="B38" s="3" t="s">
        <v>417</v>
      </c>
      <c r="C38" s="3">
        <v>1129490</v>
      </c>
      <c r="D38" s="3">
        <v>297</v>
      </c>
      <c r="E38" s="3">
        <v>13</v>
      </c>
      <c r="F38" s="3">
        <v>3.8</v>
      </c>
      <c r="G38" s="3">
        <v>9.1</v>
      </c>
      <c r="H38" s="3">
        <v>58</v>
      </c>
    </row>
    <row r="39" spans="1:8">
      <c r="A39" s="2" t="s">
        <v>428</v>
      </c>
      <c r="B39" s="2" t="s">
        <v>417</v>
      </c>
      <c r="C39" s="2">
        <v>1697720</v>
      </c>
      <c r="D39" s="2">
        <v>314</v>
      </c>
      <c r="E39" s="2">
        <v>3</v>
      </c>
      <c r="F39" s="2">
        <v>2.8</v>
      </c>
      <c r="G39" s="2">
        <v>3.2</v>
      </c>
      <c r="H39" s="2">
        <v>82.3</v>
      </c>
    </row>
    <row r="40" spans="1:8">
      <c r="A40" s="3" t="s">
        <v>428</v>
      </c>
      <c r="B40" s="3" t="s">
        <v>423</v>
      </c>
      <c r="C40" s="3">
        <v>3711615</v>
      </c>
      <c r="D40" s="3">
        <v>106</v>
      </c>
      <c r="E40" s="3">
        <v>21</v>
      </c>
      <c r="F40" s="3">
        <v>2.9</v>
      </c>
      <c r="G40" s="3">
        <v>5.7</v>
      </c>
      <c r="H40" s="3">
        <v>68.5</v>
      </c>
    </row>
    <row r="41" spans="1:8">
      <c r="A41" s="2" t="s">
        <v>428</v>
      </c>
      <c r="B41" s="2" t="s">
        <v>419</v>
      </c>
      <c r="C41" s="2">
        <v>6901216</v>
      </c>
      <c r="D41" s="2">
        <v>129</v>
      </c>
      <c r="E41" s="2">
        <v>20</v>
      </c>
      <c r="F41" s="2">
        <v>2.8</v>
      </c>
      <c r="G41" s="2">
        <v>4.7</v>
      </c>
      <c r="H41" s="2">
        <v>65.7</v>
      </c>
    </row>
    <row r="42" spans="1:8">
      <c r="A42" s="3" t="s">
        <v>428</v>
      </c>
      <c r="B42" s="3" t="s">
        <v>427</v>
      </c>
      <c r="C42" s="3">
        <v>2593894</v>
      </c>
      <c r="D42" s="3">
        <v>148</v>
      </c>
      <c r="E42" s="3">
        <v>2</v>
      </c>
      <c r="F42" s="3">
        <v>4.3</v>
      </c>
      <c r="G42" s="3">
        <v>6.2</v>
      </c>
      <c r="H42" s="3">
        <v>69.3</v>
      </c>
    </row>
    <row r="43" spans="1:8">
      <c r="A43" s="2" t="s">
        <v>428</v>
      </c>
      <c r="B43" s="2" t="s">
        <v>426</v>
      </c>
      <c r="C43" s="2">
        <v>1487850</v>
      </c>
      <c r="D43" s="2">
        <v>224</v>
      </c>
      <c r="E43" s="2">
        <v>10</v>
      </c>
      <c r="F43" s="2">
        <v>4.3</v>
      </c>
      <c r="G43" s="2">
        <v>3</v>
      </c>
      <c r="H43" s="2">
        <v>80.599999999999994</v>
      </c>
    </row>
    <row r="44" spans="1:8">
      <c r="A44" s="3" t="s">
        <v>428</v>
      </c>
      <c r="B44" s="3" t="s">
        <v>429</v>
      </c>
      <c r="C44" s="3">
        <v>4620485</v>
      </c>
      <c r="D44" s="3">
        <v>192</v>
      </c>
      <c r="E44" s="3">
        <v>5</v>
      </c>
      <c r="F44" s="3">
        <v>2.8</v>
      </c>
      <c r="G44" s="3">
        <v>1.4</v>
      </c>
      <c r="H44" s="3">
        <v>58.6</v>
      </c>
    </row>
    <row r="46" spans="1:8" ht="15.6">
      <c r="A46" s="7" t="s">
        <v>209</v>
      </c>
    </row>
    <row r="47" spans="1:8">
      <c r="A47" s="96" t="s">
        <v>430</v>
      </c>
      <c r="B47" s="96"/>
      <c r="C47" s="96"/>
      <c r="D47" s="96"/>
      <c r="E47" s="96"/>
      <c r="F47" s="96"/>
    </row>
    <row r="48" spans="1:8">
      <c r="A48" s="96" t="s">
        <v>431</v>
      </c>
      <c r="B48" s="96"/>
      <c r="C48" s="96"/>
      <c r="D48" s="96"/>
      <c r="E48" s="96"/>
      <c r="F48" s="96"/>
    </row>
    <row r="49" spans="1:6">
      <c r="A49" s="96" t="s">
        <v>432</v>
      </c>
      <c r="B49" s="96"/>
      <c r="C49" s="96"/>
      <c r="D49" s="96"/>
      <c r="E49" s="96"/>
      <c r="F49" s="96"/>
    </row>
    <row r="50" spans="1:6">
      <c r="A50" s="96" t="s">
        <v>433</v>
      </c>
      <c r="B50" s="96"/>
      <c r="C50" s="96"/>
      <c r="D50" s="96"/>
      <c r="E50" s="96"/>
      <c r="F50" s="96"/>
    </row>
    <row r="51" spans="1:6">
      <c r="A51" s="96" t="s">
        <v>434</v>
      </c>
      <c r="B51" s="96"/>
      <c r="C51" s="96"/>
      <c r="D51" s="96"/>
      <c r="E51" s="96"/>
      <c r="F51" s="96"/>
    </row>
    <row r="52" spans="1:6">
      <c r="A52" s="96" t="s">
        <v>435</v>
      </c>
      <c r="B52" s="96"/>
      <c r="C52" s="96"/>
      <c r="D52" s="96"/>
      <c r="E52" s="96"/>
      <c r="F52" s="96"/>
    </row>
  </sheetData>
  <mergeCells count="8">
    <mergeCell ref="A50:F50"/>
    <mergeCell ref="A51:F51"/>
    <mergeCell ref="A52:F52"/>
    <mergeCell ref="A1:H1"/>
    <mergeCell ref="A2:H2"/>
    <mergeCell ref="A47:F47"/>
    <mergeCell ref="A48:F48"/>
    <mergeCell ref="A49:F49"/>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74C3C"/>
  </sheetPr>
  <dimension ref="A1:H72"/>
  <sheetViews>
    <sheetView topLeftCell="A52" zoomScaleNormal="100" workbookViewId="0">
      <selection activeCell="A67" sqref="A67:E72"/>
    </sheetView>
  </sheetViews>
  <sheetFormatPr defaultColWidth="8.6640625" defaultRowHeight="14.4"/>
  <cols>
    <col min="1" max="1" width="10" customWidth="1"/>
    <col min="2" max="2" width="18" customWidth="1"/>
    <col min="3" max="3" width="24" customWidth="1"/>
    <col min="4" max="5" width="14" customWidth="1"/>
    <col min="6" max="6" width="12" customWidth="1"/>
    <col min="7" max="7" width="22" customWidth="1"/>
    <col min="8" max="8" width="18" customWidth="1"/>
  </cols>
  <sheetData>
    <row r="1" spans="1:8" ht="17.399999999999999">
      <c r="A1" s="134" t="s">
        <v>436</v>
      </c>
      <c r="B1" s="134"/>
      <c r="C1" s="134"/>
      <c r="D1" s="134"/>
      <c r="E1" s="134"/>
      <c r="F1" s="134"/>
      <c r="G1" s="134"/>
      <c r="H1" s="134"/>
    </row>
    <row r="2" spans="1:8">
      <c r="A2" s="119" t="s">
        <v>437</v>
      </c>
      <c r="B2" s="119"/>
      <c r="C2" s="119"/>
      <c r="D2" s="119"/>
      <c r="E2" s="119"/>
      <c r="F2" s="119"/>
      <c r="G2" s="119"/>
      <c r="H2" s="119"/>
    </row>
    <row r="4" spans="1:8">
      <c r="A4" s="1" t="s">
        <v>438</v>
      </c>
      <c r="B4" s="1" t="s">
        <v>68</v>
      </c>
      <c r="C4" s="1" t="s">
        <v>439</v>
      </c>
      <c r="D4" s="1" t="s">
        <v>440</v>
      </c>
      <c r="E4" s="1" t="s">
        <v>441</v>
      </c>
      <c r="F4" s="1" t="s">
        <v>442</v>
      </c>
      <c r="G4" s="1" t="s">
        <v>443</v>
      </c>
      <c r="H4" s="1" t="s">
        <v>444</v>
      </c>
    </row>
    <row r="5" spans="1:8">
      <c r="A5" s="2" t="s">
        <v>445</v>
      </c>
      <c r="B5" s="2" t="s">
        <v>446</v>
      </c>
      <c r="C5" s="2" t="s">
        <v>447</v>
      </c>
      <c r="D5" s="2" t="s">
        <v>448</v>
      </c>
      <c r="E5" s="2" t="s">
        <v>449</v>
      </c>
      <c r="F5" s="2">
        <v>43</v>
      </c>
      <c r="G5" s="2" t="s">
        <v>450</v>
      </c>
      <c r="H5" s="2" t="s">
        <v>451</v>
      </c>
    </row>
    <row r="6" spans="1:8">
      <c r="A6" s="3" t="s">
        <v>452</v>
      </c>
      <c r="B6" s="3" t="s">
        <v>283</v>
      </c>
      <c r="C6" s="3" t="s">
        <v>453</v>
      </c>
      <c r="D6" s="3" t="s">
        <v>454</v>
      </c>
      <c r="E6" s="3" t="s">
        <v>455</v>
      </c>
      <c r="F6" s="3">
        <v>19</v>
      </c>
      <c r="G6" s="3" t="s">
        <v>456</v>
      </c>
      <c r="H6" s="3" t="s">
        <v>406</v>
      </c>
    </row>
    <row r="7" spans="1:8">
      <c r="A7" s="2" t="s">
        <v>457</v>
      </c>
      <c r="B7" s="2" t="s">
        <v>317</v>
      </c>
      <c r="C7" s="2" t="s">
        <v>458</v>
      </c>
      <c r="D7" s="2" t="s">
        <v>459</v>
      </c>
      <c r="E7" s="2" t="s">
        <v>460</v>
      </c>
      <c r="F7" s="2">
        <v>15</v>
      </c>
      <c r="G7" s="2" t="s">
        <v>461</v>
      </c>
      <c r="H7" s="2" t="s">
        <v>406</v>
      </c>
    </row>
    <row r="8" spans="1:8">
      <c r="A8" s="3" t="s">
        <v>462</v>
      </c>
      <c r="B8" s="3" t="s">
        <v>317</v>
      </c>
      <c r="C8" s="3" t="s">
        <v>463</v>
      </c>
      <c r="D8" s="3" t="s">
        <v>464</v>
      </c>
      <c r="E8" s="3" t="s">
        <v>465</v>
      </c>
      <c r="F8" s="3">
        <v>2</v>
      </c>
      <c r="G8" s="3" t="s">
        <v>450</v>
      </c>
      <c r="H8" s="3" t="s">
        <v>466</v>
      </c>
    </row>
    <row r="9" spans="1:8">
      <c r="A9" s="2" t="s">
        <v>467</v>
      </c>
      <c r="B9" s="2" t="s">
        <v>468</v>
      </c>
      <c r="C9" s="2" t="s">
        <v>458</v>
      </c>
      <c r="D9" s="2" t="s">
        <v>469</v>
      </c>
      <c r="E9" s="2" t="s">
        <v>460</v>
      </c>
      <c r="F9" s="2">
        <v>36</v>
      </c>
      <c r="G9" s="2" t="s">
        <v>470</v>
      </c>
      <c r="H9" s="2" t="s">
        <v>466</v>
      </c>
    </row>
    <row r="10" spans="1:8">
      <c r="A10" s="3" t="s">
        <v>471</v>
      </c>
      <c r="B10" s="3" t="s">
        <v>283</v>
      </c>
      <c r="C10" s="3" t="s">
        <v>447</v>
      </c>
      <c r="D10" s="3" t="s">
        <v>472</v>
      </c>
      <c r="E10" s="3" t="s">
        <v>473</v>
      </c>
      <c r="F10" s="3">
        <v>26</v>
      </c>
      <c r="G10" s="3" t="s">
        <v>474</v>
      </c>
      <c r="H10" s="3" t="s">
        <v>466</v>
      </c>
    </row>
    <row r="11" spans="1:8">
      <c r="A11" s="2" t="s">
        <v>475</v>
      </c>
      <c r="B11" s="2" t="s">
        <v>446</v>
      </c>
      <c r="C11" s="2" t="s">
        <v>476</v>
      </c>
      <c r="D11" s="2" t="s">
        <v>477</v>
      </c>
      <c r="E11" s="2" t="s">
        <v>478</v>
      </c>
      <c r="F11" s="2">
        <v>5</v>
      </c>
      <c r="G11" s="2" t="s">
        <v>470</v>
      </c>
      <c r="H11" s="2" t="s">
        <v>479</v>
      </c>
    </row>
    <row r="12" spans="1:8">
      <c r="A12" s="3" t="s">
        <v>480</v>
      </c>
      <c r="B12" s="3" t="s">
        <v>283</v>
      </c>
      <c r="C12" s="3" t="s">
        <v>481</v>
      </c>
      <c r="D12" s="3" t="s">
        <v>482</v>
      </c>
      <c r="E12" s="3" t="s">
        <v>483</v>
      </c>
      <c r="F12" s="3">
        <v>44</v>
      </c>
      <c r="G12" s="3" t="s">
        <v>484</v>
      </c>
      <c r="H12" s="3" t="s">
        <v>479</v>
      </c>
    </row>
    <row r="13" spans="1:8">
      <c r="A13" s="2" t="s">
        <v>485</v>
      </c>
      <c r="B13" s="2" t="s">
        <v>317</v>
      </c>
      <c r="C13" s="2" t="s">
        <v>453</v>
      </c>
      <c r="D13" s="2" t="s">
        <v>486</v>
      </c>
      <c r="E13" s="2" t="s">
        <v>487</v>
      </c>
      <c r="F13" s="2">
        <v>12</v>
      </c>
      <c r="G13" s="2" t="s">
        <v>470</v>
      </c>
      <c r="H13" s="2" t="s">
        <v>488</v>
      </c>
    </row>
    <row r="14" spans="1:8">
      <c r="A14" s="3" t="s">
        <v>489</v>
      </c>
      <c r="B14" s="3" t="s">
        <v>468</v>
      </c>
      <c r="C14" s="3" t="s">
        <v>490</v>
      </c>
      <c r="D14" s="3" t="s">
        <v>491</v>
      </c>
      <c r="E14" s="3" t="s">
        <v>492</v>
      </c>
      <c r="F14" s="3">
        <v>34</v>
      </c>
      <c r="G14" s="3" t="s">
        <v>470</v>
      </c>
      <c r="H14" s="3" t="s">
        <v>479</v>
      </c>
    </row>
    <row r="15" spans="1:8">
      <c r="A15" s="2" t="s">
        <v>493</v>
      </c>
      <c r="B15" s="2" t="s">
        <v>317</v>
      </c>
      <c r="C15" s="2" t="s">
        <v>494</v>
      </c>
      <c r="D15" s="2" t="s">
        <v>495</v>
      </c>
      <c r="E15" s="2" t="s">
        <v>496</v>
      </c>
      <c r="F15" s="2">
        <v>15</v>
      </c>
      <c r="G15" s="2" t="s">
        <v>450</v>
      </c>
      <c r="H15" s="2" t="s">
        <v>466</v>
      </c>
    </row>
    <row r="16" spans="1:8">
      <c r="A16" s="3" t="s">
        <v>497</v>
      </c>
      <c r="B16" s="3" t="s">
        <v>318</v>
      </c>
      <c r="C16" s="3" t="s">
        <v>447</v>
      </c>
      <c r="D16" s="3" t="s">
        <v>498</v>
      </c>
      <c r="E16" s="3" t="s">
        <v>499</v>
      </c>
      <c r="F16" s="3">
        <v>13</v>
      </c>
      <c r="G16" s="3" t="s">
        <v>484</v>
      </c>
      <c r="H16" s="3" t="s">
        <v>479</v>
      </c>
    </row>
    <row r="17" spans="1:8">
      <c r="A17" s="2" t="s">
        <v>500</v>
      </c>
      <c r="B17" s="2" t="s">
        <v>317</v>
      </c>
      <c r="C17" s="2" t="s">
        <v>501</v>
      </c>
      <c r="D17" s="2" t="s">
        <v>502</v>
      </c>
      <c r="E17" s="2" t="s">
        <v>503</v>
      </c>
      <c r="F17" s="2">
        <v>6</v>
      </c>
      <c r="G17" s="2" t="s">
        <v>484</v>
      </c>
      <c r="H17" s="2" t="s">
        <v>451</v>
      </c>
    </row>
    <row r="18" spans="1:8">
      <c r="A18" s="3" t="s">
        <v>504</v>
      </c>
      <c r="B18" s="3" t="s">
        <v>317</v>
      </c>
      <c r="C18" s="3" t="s">
        <v>494</v>
      </c>
      <c r="D18" s="3" t="s">
        <v>505</v>
      </c>
      <c r="E18" s="3" t="s">
        <v>506</v>
      </c>
      <c r="F18" s="3">
        <v>43</v>
      </c>
      <c r="G18" s="3" t="s">
        <v>507</v>
      </c>
      <c r="H18" s="3" t="s">
        <v>451</v>
      </c>
    </row>
    <row r="19" spans="1:8">
      <c r="A19" s="2" t="s">
        <v>508</v>
      </c>
      <c r="B19" s="2" t="s">
        <v>468</v>
      </c>
      <c r="C19" s="2" t="s">
        <v>458</v>
      </c>
      <c r="D19" s="2" t="s">
        <v>509</v>
      </c>
      <c r="E19" s="2" t="s">
        <v>510</v>
      </c>
      <c r="F19" s="2">
        <v>3</v>
      </c>
      <c r="G19" s="2" t="s">
        <v>511</v>
      </c>
      <c r="H19" s="2" t="s">
        <v>512</v>
      </c>
    </row>
    <row r="20" spans="1:8">
      <c r="A20" s="3" t="s">
        <v>513</v>
      </c>
      <c r="B20" s="3" t="s">
        <v>283</v>
      </c>
      <c r="C20" s="3" t="s">
        <v>501</v>
      </c>
      <c r="D20" s="3" t="s">
        <v>514</v>
      </c>
      <c r="E20" s="3" t="s">
        <v>515</v>
      </c>
      <c r="F20" s="3">
        <v>37</v>
      </c>
      <c r="G20" s="3" t="s">
        <v>516</v>
      </c>
      <c r="H20" s="3" t="s">
        <v>466</v>
      </c>
    </row>
    <row r="21" spans="1:8">
      <c r="A21" s="2" t="s">
        <v>517</v>
      </c>
      <c r="B21" s="2" t="s">
        <v>283</v>
      </c>
      <c r="C21" s="2" t="s">
        <v>481</v>
      </c>
      <c r="D21" s="2" t="s">
        <v>503</v>
      </c>
      <c r="E21" s="2" t="s">
        <v>518</v>
      </c>
      <c r="F21" s="2">
        <v>19</v>
      </c>
      <c r="G21" s="2" t="s">
        <v>456</v>
      </c>
      <c r="H21" s="2" t="s">
        <v>488</v>
      </c>
    </row>
    <row r="22" spans="1:8">
      <c r="A22" s="3" t="s">
        <v>519</v>
      </c>
      <c r="B22" s="3" t="s">
        <v>317</v>
      </c>
      <c r="C22" s="3" t="s">
        <v>476</v>
      </c>
      <c r="D22" s="3" t="s">
        <v>520</v>
      </c>
      <c r="E22" s="3" t="s">
        <v>521</v>
      </c>
      <c r="F22" s="3">
        <v>30</v>
      </c>
      <c r="G22" s="3" t="s">
        <v>461</v>
      </c>
      <c r="H22" s="3" t="s">
        <v>451</v>
      </c>
    </row>
    <row r="23" spans="1:8">
      <c r="A23" s="2" t="s">
        <v>522</v>
      </c>
      <c r="B23" s="2" t="s">
        <v>283</v>
      </c>
      <c r="C23" s="2" t="s">
        <v>494</v>
      </c>
      <c r="D23" s="2" t="s">
        <v>523</v>
      </c>
      <c r="E23" s="2" t="s">
        <v>464</v>
      </c>
      <c r="F23" s="2">
        <v>27</v>
      </c>
      <c r="G23" s="2" t="s">
        <v>474</v>
      </c>
      <c r="H23" s="2" t="s">
        <v>488</v>
      </c>
    </row>
    <row r="24" spans="1:8">
      <c r="A24" s="3" t="s">
        <v>524</v>
      </c>
      <c r="B24" s="3" t="s">
        <v>317</v>
      </c>
      <c r="C24" s="3" t="s">
        <v>458</v>
      </c>
      <c r="D24" s="3" t="s">
        <v>525</v>
      </c>
      <c r="E24" s="3" t="s">
        <v>526</v>
      </c>
      <c r="F24" s="3">
        <v>21</v>
      </c>
      <c r="G24" s="3" t="s">
        <v>450</v>
      </c>
      <c r="H24" s="3" t="s">
        <v>451</v>
      </c>
    </row>
    <row r="25" spans="1:8">
      <c r="A25" s="2" t="s">
        <v>527</v>
      </c>
      <c r="B25" s="2" t="s">
        <v>318</v>
      </c>
      <c r="C25" s="2" t="s">
        <v>476</v>
      </c>
      <c r="D25" s="2" t="s">
        <v>528</v>
      </c>
      <c r="E25" s="2" t="s">
        <v>529</v>
      </c>
      <c r="F25" s="2">
        <v>24</v>
      </c>
      <c r="G25" s="2" t="s">
        <v>484</v>
      </c>
      <c r="H25" s="2" t="s">
        <v>466</v>
      </c>
    </row>
    <row r="26" spans="1:8">
      <c r="A26" s="3" t="s">
        <v>530</v>
      </c>
      <c r="B26" s="3" t="s">
        <v>283</v>
      </c>
      <c r="C26" s="3" t="s">
        <v>458</v>
      </c>
      <c r="D26" s="3" t="s">
        <v>531</v>
      </c>
      <c r="E26" s="3" t="s">
        <v>532</v>
      </c>
      <c r="F26" s="3">
        <v>30</v>
      </c>
      <c r="G26" s="3" t="s">
        <v>461</v>
      </c>
      <c r="H26" s="3" t="s">
        <v>479</v>
      </c>
    </row>
    <row r="27" spans="1:8">
      <c r="A27" s="2" t="s">
        <v>533</v>
      </c>
      <c r="B27" s="2" t="s">
        <v>446</v>
      </c>
      <c r="C27" s="2" t="s">
        <v>463</v>
      </c>
      <c r="D27" s="2" t="s">
        <v>534</v>
      </c>
      <c r="E27" s="2" t="s">
        <v>535</v>
      </c>
      <c r="F27" s="2">
        <v>7</v>
      </c>
      <c r="G27" s="2" t="s">
        <v>511</v>
      </c>
      <c r="H27" s="2" t="s">
        <v>479</v>
      </c>
    </row>
    <row r="28" spans="1:8">
      <c r="A28" s="3" t="s">
        <v>536</v>
      </c>
      <c r="B28" s="3" t="s">
        <v>446</v>
      </c>
      <c r="C28" s="3" t="s">
        <v>476</v>
      </c>
      <c r="D28" s="3" t="s">
        <v>537</v>
      </c>
      <c r="E28" s="3" t="s">
        <v>538</v>
      </c>
      <c r="F28" s="3">
        <v>11</v>
      </c>
      <c r="G28" s="3" t="s">
        <v>450</v>
      </c>
      <c r="H28" s="3" t="s">
        <v>466</v>
      </c>
    </row>
    <row r="29" spans="1:8">
      <c r="A29" s="2" t="s">
        <v>539</v>
      </c>
      <c r="B29" s="2" t="s">
        <v>318</v>
      </c>
      <c r="C29" s="2" t="s">
        <v>463</v>
      </c>
      <c r="D29" s="2" t="s">
        <v>540</v>
      </c>
      <c r="E29" s="2" t="s">
        <v>541</v>
      </c>
      <c r="F29" s="2">
        <v>32</v>
      </c>
      <c r="G29" s="2" t="s">
        <v>484</v>
      </c>
      <c r="H29" s="2" t="s">
        <v>488</v>
      </c>
    </row>
    <row r="30" spans="1:8">
      <c r="A30" s="3" t="s">
        <v>542</v>
      </c>
      <c r="B30" s="3" t="s">
        <v>446</v>
      </c>
      <c r="C30" s="3" t="s">
        <v>501</v>
      </c>
      <c r="D30" s="3" t="s">
        <v>465</v>
      </c>
      <c r="E30" s="3" t="s">
        <v>543</v>
      </c>
      <c r="F30" s="3">
        <v>2</v>
      </c>
      <c r="G30" s="3" t="s">
        <v>461</v>
      </c>
      <c r="H30" s="3" t="s">
        <v>488</v>
      </c>
    </row>
    <row r="31" spans="1:8">
      <c r="A31" s="2" t="s">
        <v>544</v>
      </c>
      <c r="B31" s="2" t="s">
        <v>468</v>
      </c>
      <c r="C31" s="2" t="s">
        <v>481</v>
      </c>
      <c r="D31" s="2" t="s">
        <v>531</v>
      </c>
      <c r="E31" s="2" t="s">
        <v>545</v>
      </c>
      <c r="F31" s="2">
        <v>14</v>
      </c>
      <c r="G31" s="2" t="s">
        <v>507</v>
      </c>
      <c r="H31" s="2" t="s">
        <v>479</v>
      </c>
    </row>
    <row r="32" spans="1:8">
      <c r="A32" s="3" t="s">
        <v>546</v>
      </c>
      <c r="B32" s="3" t="s">
        <v>283</v>
      </c>
      <c r="C32" s="3" t="s">
        <v>490</v>
      </c>
      <c r="D32" s="3" t="s">
        <v>515</v>
      </c>
      <c r="E32" s="3" t="s">
        <v>547</v>
      </c>
      <c r="F32" s="3">
        <v>32</v>
      </c>
      <c r="G32" s="3" t="s">
        <v>507</v>
      </c>
      <c r="H32" s="3" t="s">
        <v>451</v>
      </c>
    </row>
    <row r="33" spans="1:8">
      <c r="A33" s="2" t="s">
        <v>548</v>
      </c>
      <c r="B33" s="2" t="s">
        <v>446</v>
      </c>
      <c r="C33" s="2" t="s">
        <v>501</v>
      </c>
      <c r="D33" s="2" t="s">
        <v>549</v>
      </c>
      <c r="E33" s="2" t="s">
        <v>460</v>
      </c>
      <c r="F33" s="2">
        <v>1</v>
      </c>
      <c r="G33" s="2" t="s">
        <v>461</v>
      </c>
      <c r="H33" s="2" t="s">
        <v>488</v>
      </c>
    </row>
    <row r="34" spans="1:8">
      <c r="A34" s="3" t="s">
        <v>550</v>
      </c>
      <c r="B34" s="3" t="s">
        <v>317</v>
      </c>
      <c r="C34" s="3" t="s">
        <v>501</v>
      </c>
      <c r="D34" s="3" t="s">
        <v>551</v>
      </c>
      <c r="E34" s="3" t="s">
        <v>552</v>
      </c>
      <c r="F34" s="3">
        <v>26</v>
      </c>
      <c r="G34" s="3" t="s">
        <v>450</v>
      </c>
      <c r="H34" s="3" t="s">
        <v>512</v>
      </c>
    </row>
    <row r="35" spans="1:8">
      <c r="A35" s="2" t="s">
        <v>553</v>
      </c>
      <c r="B35" s="2" t="s">
        <v>446</v>
      </c>
      <c r="C35" s="2" t="s">
        <v>490</v>
      </c>
      <c r="D35" s="2" t="s">
        <v>510</v>
      </c>
      <c r="E35" s="2" t="s">
        <v>396</v>
      </c>
      <c r="F35" s="2">
        <v>36</v>
      </c>
      <c r="G35" s="2" t="s">
        <v>554</v>
      </c>
      <c r="H35" s="2" t="s">
        <v>479</v>
      </c>
    </row>
    <row r="36" spans="1:8">
      <c r="A36" s="3" t="s">
        <v>555</v>
      </c>
      <c r="B36" s="3" t="s">
        <v>468</v>
      </c>
      <c r="C36" s="3" t="s">
        <v>501</v>
      </c>
      <c r="D36" s="3" t="s">
        <v>556</v>
      </c>
      <c r="E36" s="3" t="s">
        <v>557</v>
      </c>
      <c r="F36" s="3">
        <v>25</v>
      </c>
      <c r="G36" s="3" t="s">
        <v>484</v>
      </c>
      <c r="H36" s="3" t="s">
        <v>488</v>
      </c>
    </row>
    <row r="37" spans="1:8">
      <c r="A37" s="2" t="s">
        <v>558</v>
      </c>
      <c r="B37" s="2" t="s">
        <v>468</v>
      </c>
      <c r="C37" s="2" t="s">
        <v>501</v>
      </c>
      <c r="D37" s="2" t="s">
        <v>559</v>
      </c>
      <c r="E37" s="2" t="s">
        <v>560</v>
      </c>
      <c r="F37" s="2">
        <v>9</v>
      </c>
      <c r="G37" s="2" t="s">
        <v>461</v>
      </c>
      <c r="H37" s="2" t="s">
        <v>488</v>
      </c>
    </row>
    <row r="38" spans="1:8">
      <c r="A38" s="3" t="s">
        <v>561</v>
      </c>
      <c r="B38" s="3" t="s">
        <v>318</v>
      </c>
      <c r="C38" s="3" t="s">
        <v>458</v>
      </c>
      <c r="D38" s="3" t="s">
        <v>562</v>
      </c>
      <c r="E38" s="3" t="s">
        <v>375</v>
      </c>
      <c r="F38" s="3">
        <v>24</v>
      </c>
      <c r="G38" s="3" t="s">
        <v>470</v>
      </c>
      <c r="H38" s="3" t="s">
        <v>406</v>
      </c>
    </row>
    <row r="39" spans="1:8">
      <c r="A39" s="2" t="s">
        <v>563</v>
      </c>
      <c r="B39" s="2" t="s">
        <v>468</v>
      </c>
      <c r="C39" s="2" t="s">
        <v>453</v>
      </c>
      <c r="D39" s="2" t="s">
        <v>564</v>
      </c>
      <c r="E39" s="2" t="s">
        <v>482</v>
      </c>
      <c r="F39" s="2">
        <v>33</v>
      </c>
      <c r="G39" s="2" t="s">
        <v>511</v>
      </c>
      <c r="H39" s="2" t="s">
        <v>512</v>
      </c>
    </row>
    <row r="40" spans="1:8">
      <c r="A40" s="3" t="s">
        <v>565</v>
      </c>
      <c r="B40" s="3" t="s">
        <v>283</v>
      </c>
      <c r="C40" s="3" t="s">
        <v>494</v>
      </c>
      <c r="D40" s="3" t="s">
        <v>566</v>
      </c>
      <c r="E40" s="3" t="s">
        <v>567</v>
      </c>
      <c r="F40" s="3">
        <v>31</v>
      </c>
      <c r="G40" s="3" t="s">
        <v>484</v>
      </c>
      <c r="H40" s="3" t="s">
        <v>488</v>
      </c>
    </row>
    <row r="41" spans="1:8">
      <c r="A41" s="2" t="s">
        <v>568</v>
      </c>
      <c r="B41" s="2" t="s">
        <v>317</v>
      </c>
      <c r="C41" s="2" t="s">
        <v>453</v>
      </c>
      <c r="D41" s="2" t="s">
        <v>569</v>
      </c>
      <c r="E41" s="2" t="s">
        <v>570</v>
      </c>
      <c r="F41" s="2">
        <v>21</v>
      </c>
      <c r="G41" s="2" t="s">
        <v>507</v>
      </c>
      <c r="H41" s="2" t="s">
        <v>479</v>
      </c>
    </row>
    <row r="42" spans="1:8">
      <c r="A42" s="3" t="s">
        <v>571</v>
      </c>
      <c r="B42" s="3" t="s">
        <v>317</v>
      </c>
      <c r="C42" s="3" t="s">
        <v>476</v>
      </c>
      <c r="D42" s="3" t="s">
        <v>532</v>
      </c>
      <c r="E42" s="3" t="s">
        <v>572</v>
      </c>
      <c r="F42" s="3">
        <v>38</v>
      </c>
      <c r="G42" s="3" t="s">
        <v>450</v>
      </c>
      <c r="H42" s="3" t="s">
        <v>466</v>
      </c>
    </row>
    <row r="43" spans="1:8">
      <c r="A43" s="2" t="s">
        <v>573</v>
      </c>
      <c r="B43" s="2" t="s">
        <v>468</v>
      </c>
      <c r="C43" s="2" t="s">
        <v>453</v>
      </c>
      <c r="D43" s="2" t="s">
        <v>574</v>
      </c>
      <c r="E43" s="2" t="s">
        <v>575</v>
      </c>
      <c r="F43" s="2">
        <v>37</v>
      </c>
      <c r="G43" s="2" t="s">
        <v>456</v>
      </c>
      <c r="H43" s="2" t="s">
        <v>488</v>
      </c>
    </row>
    <row r="44" spans="1:8">
      <c r="A44" s="3" t="s">
        <v>576</v>
      </c>
      <c r="B44" s="3" t="s">
        <v>283</v>
      </c>
      <c r="C44" s="3" t="s">
        <v>458</v>
      </c>
      <c r="D44" s="3" t="s">
        <v>577</v>
      </c>
      <c r="E44" s="3" t="s">
        <v>552</v>
      </c>
      <c r="F44" s="3">
        <v>44</v>
      </c>
      <c r="G44" s="3" t="s">
        <v>461</v>
      </c>
      <c r="H44" s="3" t="s">
        <v>488</v>
      </c>
    </row>
    <row r="45" spans="1:8">
      <c r="A45" s="2" t="s">
        <v>578</v>
      </c>
      <c r="B45" s="2" t="s">
        <v>468</v>
      </c>
      <c r="C45" s="2" t="s">
        <v>501</v>
      </c>
      <c r="D45" s="2" t="s">
        <v>579</v>
      </c>
      <c r="E45" s="2" t="s">
        <v>580</v>
      </c>
      <c r="F45" s="2">
        <v>39</v>
      </c>
      <c r="G45" s="2" t="s">
        <v>474</v>
      </c>
      <c r="H45" s="2" t="s">
        <v>479</v>
      </c>
    </row>
    <row r="46" spans="1:8">
      <c r="A46" s="3" t="s">
        <v>581</v>
      </c>
      <c r="B46" s="3" t="s">
        <v>468</v>
      </c>
      <c r="C46" s="3" t="s">
        <v>463</v>
      </c>
      <c r="D46" s="3" t="s">
        <v>582</v>
      </c>
      <c r="E46" s="3" t="s">
        <v>583</v>
      </c>
      <c r="F46" s="3">
        <v>38</v>
      </c>
      <c r="G46" s="3" t="s">
        <v>474</v>
      </c>
      <c r="H46" s="3" t="s">
        <v>406</v>
      </c>
    </row>
    <row r="47" spans="1:8">
      <c r="A47" s="2" t="s">
        <v>584</v>
      </c>
      <c r="B47" s="2" t="s">
        <v>468</v>
      </c>
      <c r="C47" s="2" t="s">
        <v>476</v>
      </c>
      <c r="D47" s="2" t="s">
        <v>585</v>
      </c>
      <c r="E47" s="2" t="s">
        <v>586</v>
      </c>
      <c r="F47" s="2">
        <v>44</v>
      </c>
      <c r="G47" s="2" t="s">
        <v>554</v>
      </c>
      <c r="H47" s="2" t="s">
        <v>512</v>
      </c>
    </row>
    <row r="48" spans="1:8">
      <c r="A48" s="3" t="s">
        <v>587</v>
      </c>
      <c r="B48" s="3" t="s">
        <v>468</v>
      </c>
      <c r="C48" s="3" t="s">
        <v>447</v>
      </c>
      <c r="D48" s="3" t="s">
        <v>492</v>
      </c>
      <c r="E48" s="3" t="s">
        <v>588</v>
      </c>
      <c r="F48" s="3">
        <v>2</v>
      </c>
      <c r="G48" s="3" t="s">
        <v>474</v>
      </c>
      <c r="H48" s="3" t="s">
        <v>479</v>
      </c>
    </row>
    <row r="49" spans="1:8">
      <c r="A49" s="2" t="s">
        <v>589</v>
      </c>
      <c r="B49" s="2" t="s">
        <v>446</v>
      </c>
      <c r="C49" s="2" t="s">
        <v>494</v>
      </c>
      <c r="D49" s="2" t="s">
        <v>590</v>
      </c>
      <c r="E49" s="2" t="s">
        <v>543</v>
      </c>
      <c r="F49" s="2">
        <v>45</v>
      </c>
      <c r="G49" s="2" t="s">
        <v>554</v>
      </c>
      <c r="H49" s="2" t="s">
        <v>488</v>
      </c>
    </row>
    <row r="50" spans="1:8">
      <c r="A50" s="3" t="s">
        <v>591</v>
      </c>
      <c r="B50" s="3" t="s">
        <v>468</v>
      </c>
      <c r="C50" s="3" t="s">
        <v>481</v>
      </c>
      <c r="D50" s="3" t="s">
        <v>592</v>
      </c>
      <c r="E50" s="3" t="s">
        <v>593</v>
      </c>
      <c r="F50" s="3">
        <v>9</v>
      </c>
      <c r="G50" s="3" t="s">
        <v>484</v>
      </c>
      <c r="H50" s="3" t="s">
        <v>406</v>
      </c>
    </row>
    <row r="51" spans="1:8">
      <c r="A51" s="2" t="s">
        <v>594</v>
      </c>
      <c r="B51" s="2" t="s">
        <v>468</v>
      </c>
      <c r="C51" s="2" t="s">
        <v>458</v>
      </c>
      <c r="D51" s="2" t="s">
        <v>595</v>
      </c>
      <c r="E51" s="2" t="s">
        <v>596</v>
      </c>
      <c r="F51" s="2">
        <v>34</v>
      </c>
      <c r="G51" s="2" t="s">
        <v>516</v>
      </c>
      <c r="H51" s="2" t="s">
        <v>479</v>
      </c>
    </row>
    <row r="52" spans="1:8">
      <c r="A52" s="3" t="s">
        <v>597</v>
      </c>
      <c r="B52" s="3" t="s">
        <v>317</v>
      </c>
      <c r="C52" s="3" t="s">
        <v>481</v>
      </c>
      <c r="D52" s="3" t="s">
        <v>598</v>
      </c>
      <c r="E52" s="3" t="s">
        <v>477</v>
      </c>
      <c r="F52" s="3">
        <v>22</v>
      </c>
      <c r="G52" s="3" t="s">
        <v>484</v>
      </c>
      <c r="H52" s="3" t="s">
        <v>479</v>
      </c>
    </row>
    <row r="53" spans="1:8">
      <c r="A53" s="2" t="s">
        <v>599</v>
      </c>
      <c r="B53" s="2" t="s">
        <v>318</v>
      </c>
      <c r="C53" s="2" t="s">
        <v>481</v>
      </c>
      <c r="D53" s="2" t="s">
        <v>600</v>
      </c>
      <c r="E53" s="2" t="s">
        <v>601</v>
      </c>
      <c r="F53" s="2">
        <v>16</v>
      </c>
      <c r="G53" s="2" t="s">
        <v>456</v>
      </c>
      <c r="H53" s="2" t="s">
        <v>466</v>
      </c>
    </row>
    <row r="54" spans="1:8">
      <c r="A54" s="3" t="s">
        <v>602</v>
      </c>
      <c r="B54" s="3" t="s">
        <v>318</v>
      </c>
      <c r="C54" s="3" t="s">
        <v>463</v>
      </c>
      <c r="D54" s="3" t="s">
        <v>520</v>
      </c>
      <c r="E54" s="3" t="s">
        <v>603</v>
      </c>
      <c r="F54" s="3">
        <v>19</v>
      </c>
      <c r="G54" s="3" t="s">
        <v>554</v>
      </c>
      <c r="H54" s="3" t="s">
        <v>451</v>
      </c>
    </row>
    <row r="55" spans="1:8">
      <c r="A55" s="2" t="s">
        <v>604</v>
      </c>
      <c r="B55" s="2" t="s">
        <v>446</v>
      </c>
      <c r="C55" s="2" t="s">
        <v>458</v>
      </c>
      <c r="D55" s="2" t="s">
        <v>605</v>
      </c>
      <c r="E55" s="2" t="s">
        <v>606</v>
      </c>
      <c r="F55" s="2">
        <v>23</v>
      </c>
      <c r="G55" s="2" t="s">
        <v>484</v>
      </c>
      <c r="H55" s="2" t="s">
        <v>451</v>
      </c>
    </row>
    <row r="56" spans="1:8">
      <c r="A56" s="3" t="s">
        <v>607</v>
      </c>
      <c r="B56" s="3" t="s">
        <v>318</v>
      </c>
      <c r="C56" s="3" t="s">
        <v>501</v>
      </c>
      <c r="D56" s="3" t="s">
        <v>557</v>
      </c>
      <c r="E56" s="3" t="s">
        <v>588</v>
      </c>
      <c r="F56" s="3">
        <v>37</v>
      </c>
      <c r="G56" s="3" t="s">
        <v>484</v>
      </c>
      <c r="H56" s="3" t="s">
        <v>488</v>
      </c>
    </row>
    <row r="57" spans="1:8">
      <c r="A57" s="2" t="s">
        <v>608</v>
      </c>
      <c r="B57" s="2" t="s">
        <v>446</v>
      </c>
      <c r="C57" s="2" t="s">
        <v>458</v>
      </c>
      <c r="D57" s="2" t="s">
        <v>609</v>
      </c>
      <c r="E57" s="2" t="s">
        <v>610</v>
      </c>
      <c r="F57" s="2">
        <v>19</v>
      </c>
      <c r="G57" s="2" t="s">
        <v>511</v>
      </c>
      <c r="H57" s="2" t="s">
        <v>479</v>
      </c>
    </row>
    <row r="58" spans="1:8">
      <c r="A58" s="3" t="s">
        <v>611</v>
      </c>
      <c r="B58" s="3" t="s">
        <v>283</v>
      </c>
      <c r="C58" s="3" t="s">
        <v>458</v>
      </c>
      <c r="D58" s="3" t="s">
        <v>612</v>
      </c>
      <c r="E58" s="3" t="s">
        <v>606</v>
      </c>
      <c r="F58" s="3">
        <v>42</v>
      </c>
      <c r="G58" s="3" t="s">
        <v>456</v>
      </c>
      <c r="H58" s="3" t="s">
        <v>451</v>
      </c>
    </row>
    <row r="59" spans="1:8">
      <c r="A59" s="2" t="s">
        <v>613</v>
      </c>
      <c r="B59" s="2" t="s">
        <v>446</v>
      </c>
      <c r="C59" s="2" t="s">
        <v>463</v>
      </c>
      <c r="D59" s="2" t="s">
        <v>614</v>
      </c>
      <c r="E59" s="2" t="s">
        <v>538</v>
      </c>
      <c r="F59" s="2">
        <v>35</v>
      </c>
      <c r="G59" s="2" t="s">
        <v>456</v>
      </c>
      <c r="H59" s="2" t="s">
        <v>466</v>
      </c>
    </row>
    <row r="60" spans="1:8">
      <c r="A60" s="3" t="s">
        <v>615</v>
      </c>
      <c r="B60" s="3" t="s">
        <v>318</v>
      </c>
      <c r="C60" s="3" t="s">
        <v>494</v>
      </c>
      <c r="D60" s="3" t="s">
        <v>616</v>
      </c>
      <c r="E60" s="3" t="s">
        <v>617</v>
      </c>
      <c r="F60" s="3">
        <v>40</v>
      </c>
      <c r="G60" s="3" t="s">
        <v>507</v>
      </c>
      <c r="H60" s="3" t="s">
        <v>406</v>
      </c>
    </row>
    <row r="61" spans="1:8">
      <c r="A61" s="2" t="s">
        <v>618</v>
      </c>
      <c r="B61" s="2" t="s">
        <v>317</v>
      </c>
      <c r="C61" s="2" t="s">
        <v>490</v>
      </c>
      <c r="D61" s="2" t="s">
        <v>619</v>
      </c>
      <c r="E61" s="2" t="s">
        <v>620</v>
      </c>
      <c r="F61" s="2">
        <v>15</v>
      </c>
      <c r="G61" s="2" t="s">
        <v>554</v>
      </c>
      <c r="H61" s="2" t="s">
        <v>512</v>
      </c>
    </row>
    <row r="62" spans="1:8">
      <c r="A62" s="3" t="s">
        <v>621</v>
      </c>
      <c r="B62" s="3" t="s">
        <v>283</v>
      </c>
      <c r="C62" s="3" t="s">
        <v>476</v>
      </c>
      <c r="D62" s="3" t="s">
        <v>577</v>
      </c>
      <c r="E62" s="3" t="s">
        <v>622</v>
      </c>
      <c r="F62" s="3">
        <v>31</v>
      </c>
      <c r="G62" s="3" t="s">
        <v>461</v>
      </c>
      <c r="H62" s="3" t="s">
        <v>451</v>
      </c>
    </row>
    <row r="63" spans="1:8">
      <c r="A63" s="2" t="s">
        <v>623</v>
      </c>
      <c r="B63" s="2" t="s">
        <v>317</v>
      </c>
      <c r="C63" s="2" t="s">
        <v>490</v>
      </c>
      <c r="D63" s="2" t="s">
        <v>624</v>
      </c>
      <c r="E63" s="2" t="s">
        <v>625</v>
      </c>
      <c r="F63" s="2">
        <v>11</v>
      </c>
      <c r="G63" s="2" t="s">
        <v>516</v>
      </c>
      <c r="H63" s="2" t="s">
        <v>451</v>
      </c>
    </row>
    <row r="64" spans="1:8">
      <c r="A64" s="3" t="s">
        <v>626</v>
      </c>
      <c r="B64" s="3" t="s">
        <v>446</v>
      </c>
      <c r="C64" s="3" t="s">
        <v>481</v>
      </c>
      <c r="D64" s="3" t="s">
        <v>627</v>
      </c>
      <c r="E64" s="3" t="s">
        <v>628</v>
      </c>
      <c r="F64" s="3">
        <v>19</v>
      </c>
      <c r="G64" s="3" t="s">
        <v>450</v>
      </c>
      <c r="H64" s="3" t="s">
        <v>479</v>
      </c>
    </row>
    <row r="66" spans="1:6" ht="15.6">
      <c r="A66" s="7" t="s">
        <v>209</v>
      </c>
    </row>
    <row r="67" spans="1:6">
      <c r="A67" s="35" t="s">
        <v>629</v>
      </c>
      <c r="B67" s="35"/>
      <c r="C67" s="35"/>
      <c r="D67" s="35"/>
      <c r="E67" s="35"/>
      <c r="F67" s="35"/>
    </row>
    <row r="68" spans="1:6">
      <c r="A68" s="35" t="s">
        <v>630</v>
      </c>
      <c r="B68" s="35"/>
      <c r="C68" s="35"/>
      <c r="D68" s="35"/>
      <c r="E68" s="35"/>
      <c r="F68" s="35"/>
    </row>
    <row r="69" spans="1:6">
      <c r="A69" s="35" t="s">
        <v>631</v>
      </c>
      <c r="B69" s="35"/>
      <c r="C69" s="35"/>
      <c r="D69" s="35"/>
      <c r="E69" s="35"/>
      <c r="F69" s="35"/>
    </row>
    <row r="70" spans="1:6">
      <c r="A70" s="35" t="s">
        <v>632</v>
      </c>
      <c r="B70" s="35"/>
      <c r="C70" s="35"/>
      <c r="D70" s="35"/>
      <c r="E70" s="35"/>
      <c r="F70" s="35"/>
    </row>
    <row r="71" spans="1:6">
      <c r="A71" s="35" t="s">
        <v>633</v>
      </c>
      <c r="B71" s="35"/>
      <c r="C71" s="35"/>
      <c r="D71" s="35"/>
      <c r="E71" s="35"/>
      <c r="F71" s="35"/>
    </row>
    <row r="72" spans="1:6">
      <c r="A72" s="35" t="s">
        <v>634</v>
      </c>
      <c r="B72" s="35"/>
      <c r="C72" s="35"/>
      <c r="D72" s="35"/>
      <c r="E72" s="35"/>
      <c r="F72" s="35"/>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7AE60"/>
  </sheetPr>
  <dimension ref="A1:G60"/>
  <sheetViews>
    <sheetView topLeftCell="A40" zoomScaleNormal="100" workbookViewId="0">
      <selection activeCell="A55" sqref="A55:F60"/>
    </sheetView>
  </sheetViews>
  <sheetFormatPr defaultColWidth="8.6640625" defaultRowHeight="14.4"/>
  <cols>
    <col min="1" max="1" width="12" customWidth="1"/>
    <col min="2" max="7" width="18" customWidth="1"/>
  </cols>
  <sheetData>
    <row r="1" spans="1:7" ht="17.399999999999999">
      <c r="A1" s="134" t="s">
        <v>635</v>
      </c>
      <c r="B1" s="134"/>
      <c r="C1" s="134"/>
      <c r="D1" s="134"/>
      <c r="E1" s="134"/>
      <c r="F1" s="134"/>
      <c r="G1" s="134"/>
    </row>
    <row r="2" spans="1:7">
      <c r="A2" s="119" t="s">
        <v>636</v>
      </c>
      <c r="B2" s="119"/>
      <c r="C2" s="119"/>
      <c r="D2" s="119"/>
      <c r="E2" s="119"/>
      <c r="F2" s="119"/>
      <c r="G2" s="119"/>
    </row>
    <row r="4" spans="1:7" ht="26.4">
      <c r="A4" s="1" t="s">
        <v>219</v>
      </c>
      <c r="B4" s="1" t="s">
        <v>68</v>
      </c>
      <c r="C4" s="1" t="s">
        <v>637</v>
      </c>
      <c r="D4" s="1" t="s">
        <v>638</v>
      </c>
      <c r="E4" s="1" t="s">
        <v>639</v>
      </c>
      <c r="F4" s="1" t="s">
        <v>640</v>
      </c>
      <c r="G4" s="4" t="s">
        <v>641</v>
      </c>
    </row>
    <row r="5" spans="1:7">
      <c r="A5" s="2" t="s">
        <v>226</v>
      </c>
      <c r="B5" s="2" t="s">
        <v>283</v>
      </c>
      <c r="C5" s="2">
        <v>1554546</v>
      </c>
      <c r="D5" s="2">
        <v>978713</v>
      </c>
      <c r="E5" s="2">
        <v>1762133</v>
      </c>
      <c r="F5" s="2">
        <v>1552987</v>
      </c>
      <c r="G5" s="9">
        <f t="shared" ref="G5:G52" si="0">D5-F5</f>
        <v>-574274</v>
      </c>
    </row>
    <row r="6" spans="1:7">
      <c r="A6" s="3" t="s">
        <v>236</v>
      </c>
      <c r="B6" s="3" t="s">
        <v>283</v>
      </c>
      <c r="C6" s="3">
        <v>1404044</v>
      </c>
      <c r="D6" s="3">
        <v>1005450</v>
      </c>
      <c r="E6" s="3">
        <v>1699137</v>
      </c>
      <c r="F6" s="3">
        <v>1874303</v>
      </c>
      <c r="G6" s="9">
        <f t="shared" si="0"/>
        <v>-868853</v>
      </c>
    </row>
    <row r="7" spans="1:7">
      <c r="A7" s="2" t="s">
        <v>242</v>
      </c>
      <c r="B7" s="2" t="s">
        <v>283</v>
      </c>
      <c r="C7" s="2">
        <v>278220</v>
      </c>
      <c r="D7" s="2">
        <v>293971</v>
      </c>
      <c r="E7" s="2">
        <v>517137</v>
      </c>
      <c r="F7" s="2">
        <v>515202</v>
      </c>
      <c r="G7" s="9">
        <f t="shared" si="0"/>
        <v>-221231</v>
      </c>
    </row>
    <row r="8" spans="1:7">
      <c r="A8" s="3" t="s">
        <v>247</v>
      </c>
      <c r="B8" s="3" t="s">
        <v>283</v>
      </c>
      <c r="C8" s="3">
        <v>1956584</v>
      </c>
      <c r="D8" s="3">
        <v>1345923</v>
      </c>
      <c r="E8" s="3">
        <v>226210</v>
      </c>
      <c r="F8" s="3">
        <v>271228</v>
      </c>
      <c r="G8" s="9">
        <f t="shared" si="0"/>
        <v>1074695</v>
      </c>
    </row>
    <row r="9" spans="1:7">
      <c r="A9" s="2" t="s">
        <v>248</v>
      </c>
      <c r="B9" s="2" t="s">
        <v>283</v>
      </c>
      <c r="C9" s="2">
        <v>1032557</v>
      </c>
      <c r="D9" s="2">
        <v>1026341</v>
      </c>
      <c r="E9" s="2">
        <v>540723</v>
      </c>
      <c r="F9" s="2">
        <v>636870</v>
      </c>
      <c r="G9" s="9">
        <f t="shared" si="0"/>
        <v>389471</v>
      </c>
    </row>
    <row r="10" spans="1:7">
      <c r="A10" s="3" t="s">
        <v>251</v>
      </c>
      <c r="B10" s="3" t="s">
        <v>283</v>
      </c>
      <c r="C10" s="3">
        <v>807056</v>
      </c>
      <c r="D10" s="3">
        <v>838024</v>
      </c>
      <c r="E10" s="3">
        <v>169434</v>
      </c>
      <c r="F10" s="3">
        <v>161714</v>
      </c>
      <c r="G10" s="9">
        <f t="shared" si="0"/>
        <v>676310</v>
      </c>
    </row>
    <row r="11" spans="1:7">
      <c r="A11" s="2" t="s">
        <v>252</v>
      </c>
      <c r="B11" s="2" t="s">
        <v>283</v>
      </c>
      <c r="C11" s="2">
        <v>1464127</v>
      </c>
      <c r="D11" s="2">
        <v>957027</v>
      </c>
      <c r="E11" s="2">
        <v>852634</v>
      </c>
      <c r="F11" s="2">
        <v>809658</v>
      </c>
      <c r="G11" s="9">
        <f t="shared" si="0"/>
        <v>147369</v>
      </c>
    </row>
    <row r="12" spans="1:7">
      <c r="A12" s="3" t="s">
        <v>253</v>
      </c>
      <c r="B12" s="3" t="s">
        <v>283</v>
      </c>
      <c r="C12" s="3">
        <v>1544929</v>
      </c>
      <c r="D12" s="3">
        <v>1346637</v>
      </c>
      <c r="E12" s="3">
        <v>1185809</v>
      </c>
      <c r="F12" s="3">
        <v>1377010</v>
      </c>
      <c r="G12" s="9">
        <f t="shared" si="0"/>
        <v>-30373</v>
      </c>
    </row>
    <row r="13" spans="1:7">
      <c r="A13" s="2" t="s">
        <v>254</v>
      </c>
      <c r="B13" s="2" t="s">
        <v>283</v>
      </c>
      <c r="C13" s="2">
        <v>481437</v>
      </c>
      <c r="D13" s="2">
        <v>493728</v>
      </c>
      <c r="E13" s="2">
        <v>1131510</v>
      </c>
      <c r="F13" s="2">
        <v>1069834</v>
      </c>
      <c r="G13" s="9">
        <f t="shared" si="0"/>
        <v>-576106</v>
      </c>
    </row>
    <row r="14" spans="1:7">
      <c r="A14" s="3" t="s">
        <v>256</v>
      </c>
      <c r="B14" s="3" t="s">
        <v>283</v>
      </c>
      <c r="C14" s="3">
        <v>1896205</v>
      </c>
      <c r="D14" s="3">
        <v>1244523</v>
      </c>
      <c r="E14" s="3">
        <v>490775</v>
      </c>
      <c r="F14" s="3">
        <v>542744</v>
      </c>
      <c r="G14" s="9">
        <f t="shared" si="0"/>
        <v>701779</v>
      </c>
    </row>
    <row r="15" spans="1:7">
      <c r="A15" s="2" t="s">
        <v>257</v>
      </c>
      <c r="B15" s="2" t="s">
        <v>283</v>
      </c>
      <c r="C15" s="2">
        <v>1559552</v>
      </c>
      <c r="D15" s="2">
        <v>1136340</v>
      </c>
      <c r="E15" s="2">
        <v>540487</v>
      </c>
      <c r="F15" s="2">
        <v>462078</v>
      </c>
      <c r="G15" s="9">
        <f t="shared" si="0"/>
        <v>674262</v>
      </c>
    </row>
    <row r="16" spans="1:7">
      <c r="A16" s="3" t="s">
        <v>258</v>
      </c>
      <c r="B16" s="3" t="s">
        <v>283</v>
      </c>
      <c r="C16" s="3">
        <v>906975</v>
      </c>
      <c r="D16" s="3">
        <v>902788</v>
      </c>
      <c r="E16" s="3">
        <v>1340723</v>
      </c>
      <c r="F16" s="3">
        <v>1456079</v>
      </c>
      <c r="G16" s="9">
        <f t="shared" si="0"/>
        <v>-553291</v>
      </c>
    </row>
    <row r="17" spans="1:7">
      <c r="A17" s="2" t="s">
        <v>226</v>
      </c>
      <c r="B17" s="2" t="s">
        <v>317</v>
      </c>
      <c r="C17" s="2">
        <v>605088</v>
      </c>
      <c r="D17" s="2">
        <v>416147</v>
      </c>
      <c r="E17" s="2">
        <v>1489505</v>
      </c>
      <c r="F17" s="2">
        <v>1733731</v>
      </c>
      <c r="G17" s="9">
        <f t="shared" si="0"/>
        <v>-1317584</v>
      </c>
    </row>
    <row r="18" spans="1:7">
      <c r="A18" s="3" t="s">
        <v>236</v>
      </c>
      <c r="B18" s="3" t="s">
        <v>317</v>
      </c>
      <c r="C18" s="3">
        <v>1934323</v>
      </c>
      <c r="D18" s="3">
        <v>1574251</v>
      </c>
      <c r="E18" s="3">
        <v>837712</v>
      </c>
      <c r="F18" s="3">
        <v>737486</v>
      </c>
      <c r="G18" s="9">
        <f t="shared" si="0"/>
        <v>836765</v>
      </c>
    </row>
    <row r="19" spans="1:7">
      <c r="A19" s="2" t="s">
        <v>242</v>
      </c>
      <c r="B19" s="2" t="s">
        <v>317</v>
      </c>
      <c r="C19" s="2">
        <v>1603531</v>
      </c>
      <c r="D19" s="2">
        <v>1038595</v>
      </c>
      <c r="E19" s="2">
        <v>444884</v>
      </c>
      <c r="F19" s="2">
        <v>452495</v>
      </c>
      <c r="G19" s="9">
        <f t="shared" si="0"/>
        <v>586100</v>
      </c>
    </row>
    <row r="20" spans="1:7">
      <c r="A20" s="3" t="s">
        <v>247</v>
      </c>
      <c r="B20" s="3" t="s">
        <v>317</v>
      </c>
      <c r="C20" s="3">
        <v>720192</v>
      </c>
      <c r="D20" s="3">
        <v>434574</v>
      </c>
      <c r="E20" s="3">
        <v>954413</v>
      </c>
      <c r="F20" s="3">
        <v>889925</v>
      </c>
      <c r="G20" s="9">
        <f t="shared" si="0"/>
        <v>-455351</v>
      </c>
    </row>
    <row r="21" spans="1:7">
      <c r="A21" s="2" t="s">
        <v>248</v>
      </c>
      <c r="B21" s="2" t="s">
        <v>317</v>
      </c>
      <c r="C21" s="2">
        <v>1780742</v>
      </c>
      <c r="D21" s="2">
        <v>1306169</v>
      </c>
      <c r="E21" s="2">
        <v>841274</v>
      </c>
      <c r="F21" s="2">
        <v>803989</v>
      </c>
      <c r="G21" s="9">
        <f t="shared" si="0"/>
        <v>502180</v>
      </c>
    </row>
    <row r="22" spans="1:7">
      <c r="A22" s="3" t="s">
        <v>251</v>
      </c>
      <c r="B22" s="3" t="s">
        <v>317</v>
      </c>
      <c r="C22" s="3">
        <v>1715994</v>
      </c>
      <c r="D22" s="3">
        <v>1521123</v>
      </c>
      <c r="E22" s="3">
        <v>698516</v>
      </c>
      <c r="F22" s="3">
        <v>753551</v>
      </c>
      <c r="G22" s="9">
        <f t="shared" si="0"/>
        <v>767572</v>
      </c>
    </row>
    <row r="23" spans="1:7">
      <c r="A23" s="2" t="s">
        <v>252</v>
      </c>
      <c r="B23" s="2" t="s">
        <v>317</v>
      </c>
      <c r="C23" s="2">
        <v>1652841</v>
      </c>
      <c r="D23" s="2">
        <v>1186989</v>
      </c>
      <c r="E23" s="2">
        <v>1550448</v>
      </c>
      <c r="F23" s="2">
        <v>1382036</v>
      </c>
      <c r="G23" s="9">
        <f t="shared" si="0"/>
        <v>-195047</v>
      </c>
    </row>
    <row r="24" spans="1:7">
      <c r="A24" s="3" t="s">
        <v>253</v>
      </c>
      <c r="B24" s="3" t="s">
        <v>317</v>
      </c>
      <c r="C24" s="3">
        <v>843419</v>
      </c>
      <c r="D24" s="3">
        <v>573405</v>
      </c>
      <c r="E24" s="3">
        <v>1588800</v>
      </c>
      <c r="F24" s="3">
        <v>1629921</v>
      </c>
      <c r="G24" s="9">
        <f t="shared" si="0"/>
        <v>-1056516</v>
      </c>
    </row>
    <row r="25" spans="1:7">
      <c r="A25" s="2" t="s">
        <v>254</v>
      </c>
      <c r="B25" s="2" t="s">
        <v>317</v>
      </c>
      <c r="C25" s="2">
        <v>1675466</v>
      </c>
      <c r="D25" s="2">
        <v>1650200</v>
      </c>
      <c r="E25" s="2">
        <v>1597643</v>
      </c>
      <c r="F25" s="2">
        <v>1423652</v>
      </c>
      <c r="G25" s="9">
        <f t="shared" si="0"/>
        <v>226548</v>
      </c>
    </row>
    <row r="26" spans="1:7">
      <c r="A26" s="3" t="s">
        <v>256</v>
      </c>
      <c r="B26" s="3" t="s">
        <v>317</v>
      </c>
      <c r="C26" s="3">
        <v>818738</v>
      </c>
      <c r="D26" s="3">
        <v>641703</v>
      </c>
      <c r="E26" s="3">
        <v>613154</v>
      </c>
      <c r="F26" s="3">
        <v>568206</v>
      </c>
      <c r="G26" s="9">
        <f t="shared" si="0"/>
        <v>73497</v>
      </c>
    </row>
    <row r="27" spans="1:7">
      <c r="A27" s="2" t="s">
        <v>257</v>
      </c>
      <c r="B27" s="2" t="s">
        <v>317</v>
      </c>
      <c r="C27" s="2">
        <v>480114</v>
      </c>
      <c r="D27" s="2">
        <v>402859</v>
      </c>
      <c r="E27" s="2">
        <v>1104159</v>
      </c>
      <c r="F27" s="2">
        <v>1227501</v>
      </c>
      <c r="G27" s="9">
        <f t="shared" si="0"/>
        <v>-824642</v>
      </c>
    </row>
    <row r="28" spans="1:7">
      <c r="A28" s="3" t="s">
        <v>258</v>
      </c>
      <c r="B28" s="3" t="s">
        <v>317</v>
      </c>
      <c r="C28" s="3">
        <v>1470326</v>
      </c>
      <c r="D28" s="3">
        <v>1156870</v>
      </c>
      <c r="E28" s="3">
        <v>1622076</v>
      </c>
      <c r="F28" s="3">
        <v>1690579</v>
      </c>
      <c r="G28" s="9">
        <f t="shared" si="0"/>
        <v>-533709</v>
      </c>
    </row>
    <row r="29" spans="1:7">
      <c r="A29" s="2" t="s">
        <v>226</v>
      </c>
      <c r="B29" s="2" t="s">
        <v>318</v>
      </c>
      <c r="C29" s="2">
        <v>1187398</v>
      </c>
      <c r="D29" s="2">
        <v>1162077</v>
      </c>
      <c r="E29" s="2">
        <v>1542706</v>
      </c>
      <c r="F29" s="2">
        <v>1757082</v>
      </c>
      <c r="G29" s="9">
        <f t="shared" si="0"/>
        <v>-595005</v>
      </c>
    </row>
    <row r="30" spans="1:7">
      <c r="A30" s="3" t="s">
        <v>236</v>
      </c>
      <c r="B30" s="3" t="s">
        <v>318</v>
      </c>
      <c r="C30" s="3">
        <v>1797735</v>
      </c>
      <c r="D30" s="3">
        <v>1301079</v>
      </c>
      <c r="E30" s="3">
        <v>1732803</v>
      </c>
      <c r="F30" s="3">
        <v>1834232</v>
      </c>
      <c r="G30" s="9">
        <f t="shared" si="0"/>
        <v>-533153</v>
      </c>
    </row>
    <row r="31" spans="1:7">
      <c r="A31" s="2" t="s">
        <v>242</v>
      </c>
      <c r="B31" s="2" t="s">
        <v>318</v>
      </c>
      <c r="C31" s="2">
        <v>1851236</v>
      </c>
      <c r="D31" s="2">
        <v>1186522</v>
      </c>
      <c r="E31" s="2">
        <v>1086898</v>
      </c>
      <c r="F31" s="2">
        <v>1124787</v>
      </c>
      <c r="G31" s="9">
        <f t="shared" si="0"/>
        <v>61735</v>
      </c>
    </row>
    <row r="32" spans="1:7">
      <c r="A32" s="3" t="s">
        <v>247</v>
      </c>
      <c r="B32" s="3" t="s">
        <v>318</v>
      </c>
      <c r="C32" s="3">
        <v>958717</v>
      </c>
      <c r="D32" s="3">
        <v>612669</v>
      </c>
      <c r="E32" s="3">
        <v>1333147</v>
      </c>
      <c r="F32" s="3">
        <v>1185531</v>
      </c>
      <c r="G32" s="9">
        <f t="shared" si="0"/>
        <v>-572862</v>
      </c>
    </row>
    <row r="33" spans="1:7">
      <c r="A33" s="2" t="s">
        <v>248</v>
      </c>
      <c r="B33" s="2" t="s">
        <v>318</v>
      </c>
      <c r="C33" s="2">
        <v>1938065</v>
      </c>
      <c r="D33" s="2">
        <v>1693528</v>
      </c>
      <c r="E33" s="2">
        <v>1210083</v>
      </c>
      <c r="F33" s="2">
        <v>1114189</v>
      </c>
      <c r="G33" s="9">
        <f t="shared" si="0"/>
        <v>579339</v>
      </c>
    </row>
    <row r="34" spans="1:7">
      <c r="A34" s="3" t="s">
        <v>251</v>
      </c>
      <c r="B34" s="3" t="s">
        <v>318</v>
      </c>
      <c r="C34" s="3">
        <v>1325457</v>
      </c>
      <c r="D34" s="3">
        <v>894585</v>
      </c>
      <c r="E34" s="3">
        <v>838112</v>
      </c>
      <c r="F34" s="3">
        <v>963049</v>
      </c>
      <c r="G34" s="9">
        <f t="shared" si="0"/>
        <v>-68464</v>
      </c>
    </row>
    <row r="35" spans="1:7">
      <c r="A35" s="2" t="s">
        <v>252</v>
      </c>
      <c r="B35" s="2" t="s">
        <v>318</v>
      </c>
      <c r="C35" s="2">
        <v>1126606</v>
      </c>
      <c r="D35" s="2">
        <v>741441</v>
      </c>
      <c r="E35" s="2">
        <v>580758</v>
      </c>
      <c r="F35" s="2">
        <v>639368</v>
      </c>
      <c r="G35" s="9">
        <f t="shared" si="0"/>
        <v>102073</v>
      </c>
    </row>
    <row r="36" spans="1:7">
      <c r="A36" s="3" t="s">
        <v>253</v>
      </c>
      <c r="B36" s="3" t="s">
        <v>318</v>
      </c>
      <c r="C36" s="3">
        <v>1225146</v>
      </c>
      <c r="D36" s="3">
        <v>790795</v>
      </c>
      <c r="E36" s="3">
        <v>1220334</v>
      </c>
      <c r="F36" s="3">
        <v>1227557</v>
      </c>
      <c r="G36" s="9">
        <f t="shared" si="0"/>
        <v>-436762</v>
      </c>
    </row>
    <row r="37" spans="1:7">
      <c r="A37" s="2" t="s">
        <v>254</v>
      </c>
      <c r="B37" s="2" t="s">
        <v>318</v>
      </c>
      <c r="C37" s="2">
        <v>316676</v>
      </c>
      <c r="D37" s="2">
        <v>261801</v>
      </c>
      <c r="E37" s="2">
        <v>1226358</v>
      </c>
      <c r="F37" s="2">
        <v>1220715</v>
      </c>
      <c r="G37" s="9">
        <f t="shared" si="0"/>
        <v>-958914</v>
      </c>
    </row>
    <row r="38" spans="1:7">
      <c r="A38" s="3" t="s">
        <v>256</v>
      </c>
      <c r="B38" s="3" t="s">
        <v>318</v>
      </c>
      <c r="C38" s="3">
        <v>1382607</v>
      </c>
      <c r="D38" s="3">
        <v>869477</v>
      </c>
      <c r="E38" s="3">
        <v>1119677</v>
      </c>
      <c r="F38" s="3">
        <v>1215374</v>
      </c>
      <c r="G38" s="9">
        <f t="shared" si="0"/>
        <v>-345897</v>
      </c>
    </row>
    <row r="39" spans="1:7">
      <c r="A39" s="2" t="s">
        <v>257</v>
      </c>
      <c r="B39" s="2" t="s">
        <v>318</v>
      </c>
      <c r="C39" s="2">
        <v>846278</v>
      </c>
      <c r="D39" s="2">
        <v>813814</v>
      </c>
      <c r="E39" s="2">
        <v>980364</v>
      </c>
      <c r="F39" s="2">
        <v>920620</v>
      </c>
      <c r="G39" s="9">
        <f t="shared" si="0"/>
        <v>-106806</v>
      </c>
    </row>
    <row r="40" spans="1:7">
      <c r="A40" s="3" t="s">
        <v>258</v>
      </c>
      <c r="B40" s="3" t="s">
        <v>318</v>
      </c>
      <c r="C40" s="3">
        <v>206323</v>
      </c>
      <c r="D40" s="3">
        <v>200732</v>
      </c>
      <c r="E40" s="3">
        <v>1362806</v>
      </c>
      <c r="F40" s="3">
        <v>1193218</v>
      </c>
      <c r="G40" s="9">
        <f t="shared" si="0"/>
        <v>-992486</v>
      </c>
    </row>
    <row r="41" spans="1:7">
      <c r="A41" s="2" t="s">
        <v>226</v>
      </c>
      <c r="B41" s="2" t="s">
        <v>337</v>
      </c>
      <c r="C41" s="2">
        <v>1088557</v>
      </c>
      <c r="D41" s="2">
        <v>840653</v>
      </c>
      <c r="E41" s="2">
        <v>283714</v>
      </c>
      <c r="F41" s="2">
        <v>294894</v>
      </c>
      <c r="G41" s="9">
        <f t="shared" si="0"/>
        <v>545759</v>
      </c>
    </row>
    <row r="42" spans="1:7">
      <c r="A42" s="3" t="s">
        <v>236</v>
      </c>
      <c r="B42" s="3" t="s">
        <v>337</v>
      </c>
      <c r="C42" s="3">
        <v>326365</v>
      </c>
      <c r="D42" s="3">
        <v>348326</v>
      </c>
      <c r="E42" s="3">
        <v>294743</v>
      </c>
      <c r="F42" s="3">
        <v>352261</v>
      </c>
      <c r="G42" s="9">
        <f t="shared" si="0"/>
        <v>-3935</v>
      </c>
    </row>
    <row r="43" spans="1:7">
      <c r="A43" s="2" t="s">
        <v>242</v>
      </c>
      <c r="B43" s="2" t="s">
        <v>337</v>
      </c>
      <c r="C43" s="2">
        <v>1190005</v>
      </c>
      <c r="D43" s="2">
        <v>732885</v>
      </c>
      <c r="E43" s="2">
        <v>1007456</v>
      </c>
      <c r="F43" s="2">
        <v>919800</v>
      </c>
      <c r="G43" s="9">
        <f t="shared" si="0"/>
        <v>-186915</v>
      </c>
    </row>
    <row r="44" spans="1:7">
      <c r="A44" s="3" t="s">
        <v>247</v>
      </c>
      <c r="B44" s="3" t="s">
        <v>337</v>
      </c>
      <c r="C44" s="3">
        <v>484014</v>
      </c>
      <c r="D44" s="3">
        <v>475744</v>
      </c>
      <c r="E44" s="3">
        <v>1679430</v>
      </c>
      <c r="F44" s="3">
        <v>1807164</v>
      </c>
      <c r="G44" s="9">
        <f t="shared" si="0"/>
        <v>-1331420</v>
      </c>
    </row>
    <row r="45" spans="1:7">
      <c r="A45" s="2" t="s">
        <v>248</v>
      </c>
      <c r="B45" s="2" t="s">
        <v>337</v>
      </c>
      <c r="C45" s="2">
        <v>1081562</v>
      </c>
      <c r="D45" s="2">
        <v>851438</v>
      </c>
      <c r="E45" s="2">
        <v>952117</v>
      </c>
      <c r="F45" s="2">
        <v>958770</v>
      </c>
      <c r="G45" s="9">
        <f t="shared" si="0"/>
        <v>-107332</v>
      </c>
    </row>
    <row r="46" spans="1:7">
      <c r="A46" s="3" t="s">
        <v>251</v>
      </c>
      <c r="B46" s="3" t="s">
        <v>337</v>
      </c>
      <c r="C46" s="3">
        <v>991667</v>
      </c>
      <c r="D46" s="3">
        <v>781257</v>
      </c>
      <c r="E46" s="3">
        <v>1581789</v>
      </c>
      <c r="F46" s="3">
        <v>1878296</v>
      </c>
      <c r="G46" s="9">
        <f t="shared" si="0"/>
        <v>-1097039</v>
      </c>
    </row>
    <row r="47" spans="1:7">
      <c r="A47" s="2" t="s">
        <v>252</v>
      </c>
      <c r="B47" s="2" t="s">
        <v>337</v>
      </c>
      <c r="C47" s="2">
        <v>1330994</v>
      </c>
      <c r="D47" s="2">
        <v>887100</v>
      </c>
      <c r="E47" s="2">
        <v>879326</v>
      </c>
      <c r="F47" s="2">
        <v>783938</v>
      </c>
      <c r="G47" s="9">
        <f t="shared" si="0"/>
        <v>103162</v>
      </c>
    </row>
    <row r="48" spans="1:7">
      <c r="A48" s="3" t="s">
        <v>253</v>
      </c>
      <c r="B48" s="3" t="s">
        <v>337</v>
      </c>
      <c r="C48" s="3">
        <v>1326712</v>
      </c>
      <c r="D48" s="3">
        <v>1056765</v>
      </c>
      <c r="E48" s="3">
        <v>417066</v>
      </c>
      <c r="F48" s="3">
        <v>460753</v>
      </c>
      <c r="G48" s="9">
        <f t="shared" si="0"/>
        <v>596012</v>
      </c>
    </row>
    <row r="49" spans="1:7">
      <c r="A49" s="2" t="s">
        <v>254</v>
      </c>
      <c r="B49" s="2" t="s">
        <v>337</v>
      </c>
      <c r="C49" s="2">
        <v>667015</v>
      </c>
      <c r="D49" s="2">
        <v>678628</v>
      </c>
      <c r="E49" s="2">
        <v>1735823</v>
      </c>
      <c r="F49" s="2">
        <v>1489262</v>
      </c>
      <c r="G49" s="9">
        <f t="shared" si="0"/>
        <v>-810634</v>
      </c>
    </row>
    <row r="50" spans="1:7">
      <c r="A50" s="3" t="s">
        <v>256</v>
      </c>
      <c r="B50" s="3" t="s">
        <v>337</v>
      </c>
      <c r="C50" s="3">
        <v>825712</v>
      </c>
      <c r="D50" s="3">
        <v>686581</v>
      </c>
      <c r="E50" s="3">
        <v>1658049</v>
      </c>
      <c r="F50" s="3">
        <v>1725292</v>
      </c>
      <c r="G50" s="9">
        <f t="shared" si="0"/>
        <v>-1038711</v>
      </c>
    </row>
    <row r="51" spans="1:7">
      <c r="A51" s="2" t="s">
        <v>257</v>
      </c>
      <c r="B51" s="2" t="s">
        <v>337</v>
      </c>
      <c r="C51" s="2">
        <v>1315545</v>
      </c>
      <c r="D51" s="2">
        <v>1038804</v>
      </c>
      <c r="E51" s="2">
        <v>631640</v>
      </c>
      <c r="F51" s="2">
        <v>591612</v>
      </c>
      <c r="G51" s="9">
        <f t="shared" si="0"/>
        <v>447192</v>
      </c>
    </row>
    <row r="52" spans="1:7">
      <c r="A52" s="3" t="s">
        <v>258</v>
      </c>
      <c r="B52" s="3" t="s">
        <v>337</v>
      </c>
      <c r="C52" s="3">
        <v>925949</v>
      </c>
      <c r="D52" s="3">
        <v>627386</v>
      </c>
      <c r="E52" s="3">
        <v>545272</v>
      </c>
      <c r="F52" s="3">
        <v>642381</v>
      </c>
      <c r="G52" s="9">
        <f t="shared" si="0"/>
        <v>-14995</v>
      </c>
    </row>
    <row r="54" spans="1:7" ht="15.6">
      <c r="A54" s="7" t="s">
        <v>209</v>
      </c>
    </row>
    <row r="55" spans="1:7">
      <c r="A55" s="96" t="s">
        <v>642</v>
      </c>
      <c r="B55" s="96"/>
      <c r="C55" s="96"/>
      <c r="D55" s="96"/>
      <c r="E55" s="96"/>
      <c r="F55" s="96"/>
    </row>
    <row r="56" spans="1:7">
      <c r="A56" s="96" t="s">
        <v>643</v>
      </c>
      <c r="B56" s="96"/>
      <c r="C56" s="96"/>
      <c r="D56" s="96"/>
      <c r="E56" s="96"/>
      <c r="F56" s="96"/>
    </row>
    <row r="57" spans="1:7">
      <c r="A57" s="96" t="s">
        <v>644</v>
      </c>
      <c r="B57" s="96"/>
      <c r="C57" s="96"/>
      <c r="D57" s="96"/>
      <c r="E57" s="96"/>
      <c r="F57" s="96"/>
    </row>
    <row r="58" spans="1:7">
      <c r="A58" s="96" t="s">
        <v>645</v>
      </c>
      <c r="B58" s="96"/>
      <c r="C58" s="96"/>
      <c r="D58" s="96"/>
      <c r="E58" s="96"/>
      <c r="F58" s="96"/>
    </row>
    <row r="59" spans="1:7">
      <c r="A59" s="96" t="s">
        <v>646</v>
      </c>
      <c r="B59" s="96"/>
      <c r="C59" s="96"/>
      <c r="D59" s="96"/>
      <c r="E59" s="96"/>
      <c r="F59" s="96"/>
    </row>
    <row r="60" spans="1:7">
      <c r="A60" s="96" t="s">
        <v>647</v>
      </c>
      <c r="B60" s="96"/>
      <c r="C60" s="96"/>
      <c r="D60" s="96"/>
      <c r="E60" s="96"/>
      <c r="F60" s="96"/>
    </row>
  </sheetData>
  <mergeCells count="8">
    <mergeCell ref="A58:F58"/>
    <mergeCell ref="A59:F59"/>
    <mergeCell ref="A60:F60"/>
    <mergeCell ref="A1:G1"/>
    <mergeCell ref="A2:G2"/>
    <mergeCell ref="A55:F55"/>
    <mergeCell ref="A56:F56"/>
    <mergeCell ref="A57:F57"/>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5A623"/>
  </sheetPr>
  <dimension ref="A1:H57"/>
  <sheetViews>
    <sheetView topLeftCell="A37" zoomScaleNormal="100" workbookViewId="0">
      <selection activeCell="A52" sqref="A52:F57"/>
    </sheetView>
  </sheetViews>
  <sheetFormatPr defaultColWidth="8.6640625" defaultRowHeight="14.4"/>
  <cols>
    <col min="1" max="1" width="12" customWidth="1"/>
    <col min="2" max="2" width="18" customWidth="1"/>
    <col min="3" max="3" width="34" customWidth="1"/>
    <col min="4" max="4" width="14" customWidth="1"/>
    <col min="5" max="6" width="16" customWidth="1"/>
    <col min="7" max="8" width="14" customWidth="1"/>
  </cols>
  <sheetData>
    <row r="1" spans="1:8" ht="17.399999999999999">
      <c r="A1" s="134" t="s">
        <v>648</v>
      </c>
      <c r="B1" s="134"/>
      <c r="C1" s="134"/>
      <c r="D1" s="134"/>
      <c r="E1" s="134"/>
      <c r="F1" s="134"/>
      <c r="G1" s="134"/>
      <c r="H1" s="134"/>
    </row>
    <row r="2" spans="1:8">
      <c r="A2" s="119" t="s">
        <v>649</v>
      </c>
      <c r="B2" s="119"/>
      <c r="C2" s="119"/>
      <c r="D2" s="119"/>
      <c r="E2" s="119"/>
      <c r="F2" s="119"/>
      <c r="G2" s="119"/>
      <c r="H2" s="119"/>
    </row>
    <row r="4" spans="1:8" ht="26.4">
      <c r="A4" s="1" t="s">
        <v>650</v>
      </c>
      <c r="B4" s="1" t="s">
        <v>68</v>
      </c>
      <c r="C4" s="1" t="s">
        <v>651</v>
      </c>
      <c r="D4" s="1" t="s">
        <v>652</v>
      </c>
      <c r="E4" s="1" t="s">
        <v>653</v>
      </c>
      <c r="F4" s="1" t="s">
        <v>654</v>
      </c>
      <c r="G4" s="1" t="s">
        <v>655</v>
      </c>
      <c r="H4" s="1" t="s">
        <v>656</v>
      </c>
    </row>
    <row r="5" spans="1:8">
      <c r="A5" s="2" t="s">
        <v>657</v>
      </c>
      <c r="B5" s="2" t="s">
        <v>283</v>
      </c>
      <c r="C5" s="2" t="s">
        <v>658</v>
      </c>
      <c r="D5" s="2" t="s">
        <v>659</v>
      </c>
      <c r="E5" s="2">
        <v>444793</v>
      </c>
      <c r="F5" s="2">
        <v>-4</v>
      </c>
      <c r="G5" s="2" t="s">
        <v>660</v>
      </c>
      <c r="H5" s="2" t="s">
        <v>661</v>
      </c>
    </row>
    <row r="6" spans="1:8">
      <c r="A6" s="3" t="s">
        <v>662</v>
      </c>
      <c r="B6" s="3" t="s">
        <v>283</v>
      </c>
      <c r="C6" s="3" t="s">
        <v>663</v>
      </c>
      <c r="D6" s="3" t="s">
        <v>512</v>
      </c>
      <c r="E6" s="3">
        <v>268127</v>
      </c>
      <c r="F6" s="3">
        <v>-2</v>
      </c>
      <c r="G6" s="3" t="s">
        <v>660</v>
      </c>
      <c r="H6" s="3" t="s">
        <v>344</v>
      </c>
    </row>
    <row r="7" spans="1:8">
      <c r="A7" s="2" t="s">
        <v>664</v>
      </c>
      <c r="B7" s="2" t="s">
        <v>283</v>
      </c>
      <c r="C7" s="2" t="s">
        <v>665</v>
      </c>
      <c r="D7" s="2" t="s">
        <v>659</v>
      </c>
      <c r="E7" s="2">
        <v>45722</v>
      </c>
      <c r="F7" s="2">
        <v>29</v>
      </c>
      <c r="G7" s="2" t="s">
        <v>660</v>
      </c>
      <c r="H7" s="2" t="s">
        <v>338</v>
      </c>
    </row>
    <row r="8" spans="1:8">
      <c r="A8" s="3" t="s">
        <v>666</v>
      </c>
      <c r="B8" s="3" t="s">
        <v>283</v>
      </c>
      <c r="C8" s="3" t="s">
        <v>667</v>
      </c>
      <c r="D8" s="3" t="s">
        <v>406</v>
      </c>
      <c r="E8" s="3">
        <v>45536</v>
      </c>
      <c r="F8" s="3">
        <v>15</v>
      </c>
      <c r="G8" s="3" t="s">
        <v>668</v>
      </c>
      <c r="H8" s="3" t="s">
        <v>669</v>
      </c>
    </row>
    <row r="9" spans="1:8">
      <c r="A9" s="2" t="s">
        <v>670</v>
      </c>
      <c r="B9" s="2" t="s">
        <v>318</v>
      </c>
      <c r="C9" s="2" t="s">
        <v>671</v>
      </c>
      <c r="D9" s="2" t="s">
        <v>479</v>
      </c>
      <c r="E9" s="2">
        <v>492282</v>
      </c>
      <c r="F9" s="2">
        <v>28</v>
      </c>
      <c r="G9" s="2" t="s">
        <v>660</v>
      </c>
      <c r="H9" s="2" t="s">
        <v>672</v>
      </c>
    </row>
    <row r="10" spans="1:8">
      <c r="A10" s="3" t="s">
        <v>673</v>
      </c>
      <c r="B10" s="3" t="s">
        <v>318</v>
      </c>
      <c r="C10" s="3" t="s">
        <v>674</v>
      </c>
      <c r="D10" s="3" t="s">
        <v>512</v>
      </c>
      <c r="E10" s="3">
        <v>383761</v>
      </c>
      <c r="F10" s="3">
        <v>6</v>
      </c>
      <c r="G10" s="3" t="s">
        <v>675</v>
      </c>
      <c r="H10" s="3" t="s">
        <v>676</v>
      </c>
    </row>
    <row r="11" spans="1:8">
      <c r="A11" s="2" t="s">
        <v>677</v>
      </c>
      <c r="B11" s="2" t="s">
        <v>446</v>
      </c>
      <c r="C11" s="2" t="s">
        <v>658</v>
      </c>
      <c r="D11" s="2" t="s">
        <v>406</v>
      </c>
      <c r="E11" s="2">
        <v>787324</v>
      </c>
      <c r="F11" s="2">
        <v>19</v>
      </c>
      <c r="G11" s="2" t="s">
        <v>668</v>
      </c>
      <c r="H11" s="2" t="s">
        <v>455</v>
      </c>
    </row>
    <row r="12" spans="1:8">
      <c r="A12" s="3" t="s">
        <v>678</v>
      </c>
      <c r="B12" s="3" t="s">
        <v>446</v>
      </c>
      <c r="C12" s="3" t="s">
        <v>665</v>
      </c>
      <c r="D12" s="3" t="s">
        <v>479</v>
      </c>
      <c r="E12" s="3">
        <v>114455</v>
      </c>
      <c r="F12" s="3">
        <v>19</v>
      </c>
      <c r="G12" s="3" t="s">
        <v>660</v>
      </c>
      <c r="H12" s="3" t="s">
        <v>338</v>
      </c>
    </row>
    <row r="13" spans="1:8">
      <c r="A13" s="2" t="s">
        <v>679</v>
      </c>
      <c r="B13" s="2" t="s">
        <v>446</v>
      </c>
      <c r="C13" s="2" t="s">
        <v>680</v>
      </c>
      <c r="D13" s="2" t="s">
        <v>479</v>
      </c>
      <c r="E13" s="2">
        <v>115344</v>
      </c>
      <c r="F13" s="2">
        <v>4</v>
      </c>
      <c r="G13" s="2" t="s">
        <v>675</v>
      </c>
      <c r="H13" s="2" t="s">
        <v>681</v>
      </c>
    </row>
    <row r="14" spans="1:8">
      <c r="A14" s="3" t="s">
        <v>682</v>
      </c>
      <c r="B14" s="3" t="s">
        <v>446</v>
      </c>
      <c r="C14" s="3" t="s">
        <v>665</v>
      </c>
      <c r="D14" s="3" t="s">
        <v>479</v>
      </c>
      <c r="E14" s="3">
        <v>207286</v>
      </c>
      <c r="F14" s="3">
        <v>10</v>
      </c>
      <c r="G14" s="3" t="s">
        <v>668</v>
      </c>
      <c r="H14" s="3" t="s">
        <v>683</v>
      </c>
    </row>
    <row r="15" spans="1:8">
      <c r="A15" s="2" t="s">
        <v>684</v>
      </c>
      <c r="B15" s="2" t="s">
        <v>318</v>
      </c>
      <c r="C15" s="2" t="s">
        <v>685</v>
      </c>
      <c r="D15" s="2" t="s">
        <v>512</v>
      </c>
      <c r="E15" s="2">
        <v>767024</v>
      </c>
      <c r="F15" s="2">
        <v>23</v>
      </c>
      <c r="G15" s="2" t="s">
        <v>668</v>
      </c>
      <c r="H15" s="2" t="s">
        <v>686</v>
      </c>
    </row>
    <row r="16" spans="1:8">
      <c r="A16" s="3" t="s">
        <v>687</v>
      </c>
      <c r="B16" s="3" t="s">
        <v>317</v>
      </c>
      <c r="C16" s="3" t="s">
        <v>658</v>
      </c>
      <c r="D16" s="3" t="s">
        <v>406</v>
      </c>
      <c r="E16" s="3">
        <v>195489</v>
      </c>
      <c r="F16" s="3">
        <v>-3</v>
      </c>
      <c r="G16" s="3" t="s">
        <v>688</v>
      </c>
      <c r="H16" s="3" t="s">
        <v>689</v>
      </c>
    </row>
    <row r="17" spans="1:8">
      <c r="A17" s="2" t="s">
        <v>690</v>
      </c>
      <c r="B17" s="2" t="s">
        <v>317</v>
      </c>
      <c r="C17" s="2" t="s">
        <v>691</v>
      </c>
      <c r="D17" s="2" t="s">
        <v>479</v>
      </c>
      <c r="E17" s="2">
        <v>711709</v>
      </c>
      <c r="F17" s="2">
        <v>16</v>
      </c>
      <c r="G17" s="2" t="s">
        <v>668</v>
      </c>
      <c r="H17" s="2" t="s">
        <v>692</v>
      </c>
    </row>
    <row r="18" spans="1:8">
      <c r="A18" s="3" t="s">
        <v>693</v>
      </c>
      <c r="B18" s="3" t="s">
        <v>317</v>
      </c>
      <c r="C18" s="3" t="s">
        <v>671</v>
      </c>
      <c r="D18" s="3" t="s">
        <v>479</v>
      </c>
      <c r="E18" s="3">
        <v>577493</v>
      </c>
      <c r="F18" s="3">
        <v>2</v>
      </c>
      <c r="G18" s="3" t="s">
        <v>675</v>
      </c>
      <c r="H18" s="3" t="s">
        <v>583</v>
      </c>
    </row>
    <row r="19" spans="1:8">
      <c r="A19" s="2" t="s">
        <v>694</v>
      </c>
      <c r="B19" s="2" t="s">
        <v>317</v>
      </c>
      <c r="C19" s="2" t="s">
        <v>665</v>
      </c>
      <c r="D19" s="2" t="s">
        <v>479</v>
      </c>
      <c r="E19" s="2">
        <v>378897</v>
      </c>
      <c r="F19" s="2">
        <v>15</v>
      </c>
      <c r="G19" s="2" t="s">
        <v>668</v>
      </c>
      <c r="H19" s="2" t="s">
        <v>695</v>
      </c>
    </row>
    <row r="20" spans="1:8">
      <c r="A20" s="3" t="s">
        <v>696</v>
      </c>
      <c r="B20" s="3" t="s">
        <v>446</v>
      </c>
      <c r="C20" s="3" t="s">
        <v>697</v>
      </c>
      <c r="D20" s="3" t="s">
        <v>406</v>
      </c>
      <c r="E20" s="3">
        <v>123404</v>
      </c>
      <c r="F20" s="3">
        <v>11</v>
      </c>
      <c r="G20" s="3" t="s">
        <v>668</v>
      </c>
      <c r="H20" s="3" t="s">
        <v>698</v>
      </c>
    </row>
    <row r="21" spans="1:8">
      <c r="A21" s="2" t="s">
        <v>699</v>
      </c>
      <c r="B21" s="2" t="s">
        <v>446</v>
      </c>
      <c r="C21" s="2" t="s">
        <v>691</v>
      </c>
      <c r="D21" s="2" t="s">
        <v>512</v>
      </c>
      <c r="E21" s="2">
        <v>641814</v>
      </c>
      <c r="F21" s="2">
        <v>25</v>
      </c>
      <c r="G21" s="2" t="s">
        <v>668</v>
      </c>
      <c r="H21" s="2" t="s">
        <v>683</v>
      </c>
    </row>
    <row r="22" spans="1:8">
      <c r="A22" s="3" t="s">
        <v>700</v>
      </c>
      <c r="B22" s="3" t="s">
        <v>318</v>
      </c>
      <c r="C22" s="3" t="s">
        <v>701</v>
      </c>
      <c r="D22" s="3" t="s">
        <v>659</v>
      </c>
      <c r="E22" s="3">
        <v>-152064</v>
      </c>
      <c r="F22" s="3">
        <v>9</v>
      </c>
      <c r="G22" s="3" t="s">
        <v>660</v>
      </c>
      <c r="H22" s="3" t="s">
        <v>702</v>
      </c>
    </row>
    <row r="23" spans="1:8">
      <c r="A23" s="2" t="s">
        <v>703</v>
      </c>
      <c r="B23" s="2" t="s">
        <v>318</v>
      </c>
      <c r="C23" s="2" t="s">
        <v>697</v>
      </c>
      <c r="D23" s="2" t="s">
        <v>659</v>
      </c>
      <c r="E23" s="2">
        <v>109531</v>
      </c>
      <c r="F23" s="2">
        <v>4</v>
      </c>
      <c r="G23" s="2" t="s">
        <v>660</v>
      </c>
      <c r="H23" s="2" t="s">
        <v>704</v>
      </c>
    </row>
    <row r="24" spans="1:8">
      <c r="A24" s="3" t="s">
        <v>705</v>
      </c>
      <c r="B24" s="3" t="s">
        <v>317</v>
      </c>
      <c r="C24" s="3" t="s">
        <v>665</v>
      </c>
      <c r="D24" s="3" t="s">
        <v>479</v>
      </c>
      <c r="E24" s="3">
        <v>323555</v>
      </c>
      <c r="F24" s="3">
        <v>30</v>
      </c>
      <c r="G24" s="3" t="s">
        <v>668</v>
      </c>
      <c r="H24" s="3" t="s">
        <v>569</v>
      </c>
    </row>
    <row r="25" spans="1:8">
      <c r="A25" s="2" t="s">
        <v>706</v>
      </c>
      <c r="B25" s="2" t="s">
        <v>446</v>
      </c>
      <c r="C25" s="2" t="s">
        <v>707</v>
      </c>
      <c r="D25" s="2" t="s">
        <v>659</v>
      </c>
      <c r="E25" s="2">
        <v>283214</v>
      </c>
      <c r="F25" s="2">
        <v>5</v>
      </c>
      <c r="G25" s="2" t="s">
        <v>668</v>
      </c>
      <c r="H25" s="2" t="s">
        <v>582</v>
      </c>
    </row>
    <row r="26" spans="1:8">
      <c r="A26" s="3" t="s">
        <v>708</v>
      </c>
      <c r="B26" s="3" t="s">
        <v>317</v>
      </c>
      <c r="C26" s="3" t="s">
        <v>707</v>
      </c>
      <c r="D26" s="3" t="s">
        <v>659</v>
      </c>
      <c r="E26" s="3">
        <v>-7012</v>
      </c>
      <c r="F26" s="3">
        <v>29</v>
      </c>
      <c r="G26" s="3" t="s">
        <v>688</v>
      </c>
      <c r="H26" s="3" t="s">
        <v>709</v>
      </c>
    </row>
    <row r="27" spans="1:8">
      <c r="A27" s="2" t="s">
        <v>710</v>
      </c>
      <c r="B27" s="2" t="s">
        <v>283</v>
      </c>
      <c r="C27" s="2" t="s">
        <v>711</v>
      </c>
      <c r="D27" s="2" t="s">
        <v>512</v>
      </c>
      <c r="E27" s="2">
        <v>791101</v>
      </c>
      <c r="F27" s="2">
        <v>-2</v>
      </c>
      <c r="G27" s="2" t="s">
        <v>688</v>
      </c>
      <c r="H27" s="2" t="s">
        <v>672</v>
      </c>
    </row>
    <row r="28" spans="1:8">
      <c r="A28" s="3" t="s">
        <v>712</v>
      </c>
      <c r="B28" s="3" t="s">
        <v>317</v>
      </c>
      <c r="C28" s="3" t="s">
        <v>711</v>
      </c>
      <c r="D28" s="3" t="s">
        <v>479</v>
      </c>
      <c r="E28" s="3">
        <v>-128731</v>
      </c>
      <c r="F28" s="3">
        <v>4</v>
      </c>
      <c r="G28" s="3" t="s">
        <v>688</v>
      </c>
      <c r="H28" s="3" t="s">
        <v>713</v>
      </c>
    </row>
    <row r="29" spans="1:8">
      <c r="A29" s="2" t="s">
        <v>714</v>
      </c>
      <c r="B29" s="2" t="s">
        <v>446</v>
      </c>
      <c r="C29" s="2" t="s">
        <v>701</v>
      </c>
      <c r="D29" s="2" t="s">
        <v>512</v>
      </c>
      <c r="E29" s="2">
        <v>447847</v>
      </c>
      <c r="F29" s="2">
        <v>25</v>
      </c>
      <c r="G29" s="2" t="s">
        <v>675</v>
      </c>
      <c r="H29" s="2" t="s">
        <v>702</v>
      </c>
    </row>
    <row r="30" spans="1:8">
      <c r="A30" s="3" t="s">
        <v>715</v>
      </c>
      <c r="B30" s="3" t="s">
        <v>283</v>
      </c>
      <c r="C30" s="3" t="s">
        <v>697</v>
      </c>
      <c r="D30" s="3" t="s">
        <v>659</v>
      </c>
      <c r="E30" s="3">
        <v>-187574</v>
      </c>
      <c r="F30" s="3">
        <v>-4</v>
      </c>
      <c r="G30" s="3" t="s">
        <v>668</v>
      </c>
      <c r="H30" s="3" t="s">
        <v>716</v>
      </c>
    </row>
    <row r="31" spans="1:8">
      <c r="A31" s="2" t="s">
        <v>717</v>
      </c>
      <c r="B31" s="2" t="s">
        <v>318</v>
      </c>
      <c r="C31" s="2" t="s">
        <v>658</v>
      </c>
      <c r="D31" s="2" t="s">
        <v>659</v>
      </c>
      <c r="E31" s="2">
        <v>645328</v>
      </c>
      <c r="F31" s="2">
        <v>6</v>
      </c>
      <c r="G31" s="2" t="s">
        <v>688</v>
      </c>
      <c r="H31" s="2" t="s">
        <v>718</v>
      </c>
    </row>
    <row r="32" spans="1:8">
      <c r="A32" s="3" t="s">
        <v>719</v>
      </c>
      <c r="B32" s="3" t="s">
        <v>317</v>
      </c>
      <c r="C32" s="3" t="s">
        <v>680</v>
      </c>
      <c r="D32" s="3" t="s">
        <v>479</v>
      </c>
      <c r="E32" s="3">
        <v>449887</v>
      </c>
      <c r="F32" s="3">
        <v>28</v>
      </c>
      <c r="G32" s="3" t="s">
        <v>668</v>
      </c>
      <c r="H32" s="3" t="s">
        <v>628</v>
      </c>
    </row>
    <row r="33" spans="1:8">
      <c r="A33" s="2" t="s">
        <v>720</v>
      </c>
      <c r="B33" s="2" t="s">
        <v>318</v>
      </c>
      <c r="C33" s="2" t="s">
        <v>721</v>
      </c>
      <c r="D33" s="2" t="s">
        <v>659</v>
      </c>
      <c r="E33" s="2">
        <v>-117143</v>
      </c>
      <c r="F33" s="2">
        <v>18</v>
      </c>
      <c r="G33" s="2" t="s">
        <v>675</v>
      </c>
      <c r="H33" s="2" t="s">
        <v>722</v>
      </c>
    </row>
    <row r="34" spans="1:8">
      <c r="A34" s="3" t="s">
        <v>723</v>
      </c>
      <c r="B34" s="3" t="s">
        <v>317</v>
      </c>
      <c r="C34" s="3" t="s">
        <v>707</v>
      </c>
      <c r="D34" s="3" t="s">
        <v>479</v>
      </c>
      <c r="E34" s="3">
        <v>114546</v>
      </c>
      <c r="F34" s="3">
        <v>0</v>
      </c>
      <c r="G34" s="3" t="s">
        <v>688</v>
      </c>
      <c r="H34" s="3" t="s">
        <v>686</v>
      </c>
    </row>
    <row r="35" spans="1:8">
      <c r="A35" s="2" t="s">
        <v>724</v>
      </c>
      <c r="B35" s="2" t="s">
        <v>446</v>
      </c>
      <c r="C35" s="2" t="s">
        <v>665</v>
      </c>
      <c r="D35" s="2" t="s">
        <v>659</v>
      </c>
      <c r="E35" s="2">
        <v>379549</v>
      </c>
      <c r="F35" s="2">
        <v>25</v>
      </c>
      <c r="G35" s="2" t="s">
        <v>688</v>
      </c>
      <c r="H35" s="2" t="s">
        <v>725</v>
      </c>
    </row>
    <row r="36" spans="1:8">
      <c r="A36" s="3" t="s">
        <v>726</v>
      </c>
      <c r="B36" s="3" t="s">
        <v>283</v>
      </c>
      <c r="C36" s="3" t="s">
        <v>707</v>
      </c>
      <c r="D36" s="3" t="s">
        <v>479</v>
      </c>
      <c r="E36" s="3">
        <v>-113298</v>
      </c>
      <c r="F36" s="3">
        <v>26</v>
      </c>
      <c r="G36" s="3" t="s">
        <v>675</v>
      </c>
      <c r="H36" s="3" t="s">
        <v>727</v>
      </c>
    </row>
    <row r="37" spans="1:8">
      <c r="A37" s="2" t="s">
        <v>728</v>
      </c>
      <c r="B37" s="2" t="s">
        <v>318</v>
      </c>
      <c r="C37" s="2" t="s">
        <v>729</v>
      </c>
      <c r="D37" s="2" t="s">
        <v>512</v>
      </c>
      <c r="E37" s="2">
        <v>738256</v>
      </c>
      <c r="F37" s="2">
        <v>28</v>
      </c>
      <c r="G37" s="2" t="s">
        <v>688</v>
      </c>
      <c r="H37" s="2" t="s">
        <v>730</v>
      </c>
    </row>
    <row r="38" spans="1:8">
      <c r="A38" s="3" t="s">
        <v>731</v>
      </c>
      <c r="B38" s="3" t="s">
        <v>317</v>
      </c>
      <c r="C38" s="3" t="s">
        <v>671</v>
      </c>
      <c r="D38" s="3" t="s">
        <v>659</v>
      </c>
      <c r="E38" s="3">
        <v>84263</v>
      </c>
      <c r="F38" s="3">
        <v>-3</v>
      </c>
      <c r="G38" s="3" t="s">
        <v>688</v>
      </c>
      <c r="H38" s="3" t="s">
        <v>732</v>
      </c>
    </row>
    <row r="39" spans="1:8">
      <c r="A39" s="2" t="s">
        <v>733</v>
      </c>
      <c r="B39" s="2" t="s">
        <v>318</v>
      </c>
      <c r="C39" s="2" t="s">
        <v>671</v>
      </c>
      <c r="D39" s="2" t="s">
        <v>512</v>
      </c>
      <c r="E39" s="2">
        <v>-11934</v>
      </c>
      <c r="F39" s="2">
        <v>15</v>
      </c>
      <c r="G39" s="2" t="s">
        <v>688</v>
      </c>
      <c r="H39" s="2" t="s">
        <v>734</v>
      </c>
    </row>
    <row r="40" spans="1:8">
      <c r="A40" s="3" t="s">
        <v>735</v>
      </c>
      <c r="B40" s="3" t="s">
        <v>317</v>
      </c>
      <c r="C40" s="3" t="s">
        <v>721</v>
      </c>
      <c r="D40" s="3" t="s">
        <v>659</v>
      </c>
      <c r="E40" s="3">
        <v>773995</v>
      </c>
      <c r="F40" s="3">
        <v>-1</v>
      </c>
      <c r="G40" s="3" t="s">
        <v>668</v>
      </c>
      <c r="H40" s="3" t="s">
        <v>736</v>
      </c>
    </row>
    <row r="41" spans="1:8">
      <c r="A41" s="2" t="s">
        <v>737</v>
      </c>
      <c r="B41" s="2" t="s">
        <v>317</v>
      </c>
      <c r="C41" s="2" t="s">
        <v>729</v>
      </c>
      <c r="D41" s="2" t="s">
        <v>659</v>
      </c>
      <c r="E41" s="2">
        <v>509922</v>
      </c>
      <c r="F41" s="2">
        <v>29</v>
      </c>
      <c r="G41" s="2" t="s">
        <v>668</v>
      </c>
      <c r="H41" s="2" t="s">
        <v>738</v>
      </c>
    </row>
    <row r="42" spans="1:8">
      <c r="A42" s="3" t="s">
        <v>739</v>
      </c>
      <c r="B42" s="3" t="s">
        <v>317</v>
      </c>
      <c r="C42" s="3" t="s">
        <v>721</v>
      </c>
      <c r="D42" s="3" t="s">
        <v>512</v>
      </c>
      <c r="E42" s="3">
        <v>325119</v>
      </c>
      <c r="F42" s="3">
        <v>17</v>
      </c>
      <c r="G42" s="3" t="s">
        <v>688</v>
      </c>
      <c r="H42" s="3" t="s">
        <v>740</v>
      </c>
    </row>
    <row r="43" spans="1:8">
      <c r="A43" s="2" t="s">
        <v>741</v>
      </c>
      <c r="B43" s="2" t="s">
        <v>446</v>
      </c>
      <c r="C43" s="2" t="s">
        <v>680</v>
      </c>
      <c r="D43" s="2" t="s">
        <v>512</v>
      </c>
      <c r="E43" s="2">
        <v>157137</v>
      </c>
      <c r="F43" s="2">
        <v>20</v>
      </c>
      <c r="G43" s="2" t="s">
        <v>668</v>
      </c>
      <c r="H43" s="2" t="s">
        <v>742</v>
      </c>
    </row>
    <row r="44" spans="1:8">
      <c r="A44" s="3" t="s">
        <v>743</v>
      </c>
      <c r="B44" s="3" t="s">
        <v>318</v>
      </c>
      <c r="C44" s="3" t="s">
        <v>721</v>
      </c>
      <c r="D44" s="3" t="s">
        <v>659</v>
      </c>
      <c r="E44" s="3">
        <v>314435</v>
      </c>
      <c r="F44" s="3">
        <v>9</v>
      </c>
      <c r="G44" s="3" t="s">
        <v>668</v>
      </c>
      <c r="H44" s="3" t="s">
        <v>744</v>
      </c>
    </row>
    <row r="45" spans="1:8">
      <c r="A45" s="2" t="s">
        <v>745</v>
      </c>
      <c r="B45" s="2" t="s">
        <v>446</v>
      </c>
      <c r="C45" s="2" t="s">
        <v>665</v>
      </c>
      <c r="D45" s="2" t="s">
        <v>479</v>
      </c>
      <c r="E45" s="2">
        <v>512711</v>
      </c>
      <c r="F45" s="2">
        <v>19</v>
      </c>
      <c r="G45" s="2" t="s">
        <v>688</v>
      </c>
      <c r="H45" s="2" t="s">
        <v>388</v>
      </c>
    </row>
    <row r="46" spans="1:8">
      <c r="A46" s="3" t="s">
        <v>746</v>
      </c>
      <c r="B46" s="3" t="s">
        <v>318</v>
      </c>
      <c r="C46" s="3" t="s">
        <v>721</v>
      </c>
      <c r="D46" s="3" t="s">
        <v>479</v>
      </c>
      <c r="E46" s="3">
        <v>547748</v>
      </c>
      <c r="F46" s="3">
        <v>-1</v>
      </c>
      <c r="G46" s="3" t="s">
        <v>688</v>
      </c>
      <c r="H46" s="3" t="s">
        <v>747</v>
      </c>
    </row>
    <row r="47" spans="1:8">
      <c r="A47" s="2" t="s">
        <v>748</v>
      </c>
      <c r="B47" s="2" t="s">
        <v>317</v>
      </c>
      <c r="C47" s="2" t="s">
        <v>665</v>
      </c>
      <c r="D47" s="2" t="s">
        <v>479</v>
      </c>
      <c r="E47" s="2">
        <v>575584</v>
      </c>
      <c r="F47" s="2">
        <v>19</v>
      </c>
      <c r="G47" s="2" t="s">
        <v>668</v>
      </c>
      <c r="H47" s="2" t="s">
        <v>749</v>
      </c>
    </row>
    <row r="48" spans="1:8">
      <c r="A48" s="3" t="s">
        <v>750</v>
      </c>
      <c r="B48" s="3" t="s">
        <v>283</v>
      </c>
      <c r="C48" s="3" t="s">
        <v>663</v>
      </c>
      <c r="D48" s="3" t="s">
        <v>512</v>
      </c>
      <c r="E48" s="3">
        <v>788765</v>
      </c>
      <c r="F48" s="3">
        <v>14</v>
      </c>
      <c r="G48" s="3" t="s">
        <v>675</v>
      </c>
      <c r="H48" s="3" t="s">
        <v>749</v>
      </c>
    </row>
    <row r="49" spans="1:8">
      <c r="A49" s="2" t="s">
        <v>751</v>
      </c>
      <c r="B49" s="2" t="s">
        <v>318</v>
      </c>
      <c r="C49" s="2" t="s">
        <v>663</v>
      </c>
      <c r="D49" s="2" t="s">
        <v>479</v>
      </c>
      <c r="E49" s="2">
        <v>-108463</v>
      </c>
      <c r="F49" s="2">
        <v>6</v>
      </c>
      <c r="G49" s="2" t="s">
        <v>675</v>
      </c>
      <c r="H49" s="2" t="s">
        <v>577</v>
      </c>
    </row>
    <row r="51" spans="1:8" ht="15.6">
      <c r="A51" s="7" t="s">
        <v>209</v>
      </c>
    </row>
    <row r="52" spans="1:8">
      <c r="A52" s="96" t="s">
        <v>752</v>
      </c>
      <c r="B52" s="96"/>
      <c r="C52" s="96"/>
      <c r="D52" s="96"/>
      <c r="E52" s="96"/>
      <c r="F52" s="96"/>
    </row>
    <row r="53" spans="1:8">
      <c r="A53" s="96" t="s">
        <v>753</v>
      </c>
      <c r="B53" s="96"/>
      <c r="C53" s="96"/>
      <c r="D53" s="96"/>
      <c r="E53" s="96"/>
      <c r="F53" s="96"/>
    </row>
    <row r="54" spans="1:8">
      <c r="A54" s="96" t="s">
        <v>754</v>
      </c>
      <c r="B54" s="96"/>
      <c r="C54" s="96"/>
      <c r="D54" s="96"/>
      <c r="E54" s="96"/>
      <c r="F54" s="96"/>
    </row>
    <row r="55" spans="1:8">
      <c r="A55" s="96" t="s">
        <v>755</v>
      </c>
      <c r="B55" s="96"/>
      <c r="C55" s="96"/>
      <c r="D55" s="96"/>
      <c r="E55" s="96"/>
      <c r="F55" s="96"/>
    </row>
    <row r="56" spans="1:8">
      <c r="A56" s="96" t="s">
        <v>756</v>
      </c>
      <c r="B56" s="96"/>
      <c r="C56" s="96"/>
      <c r="D56" s="96"/>
      <c r="E56" s="96"/>
      <c r="F56" s="96"/>
    </row>
    <row r="57" spans="1:8">
      <c r="A57" s="96" t="s">
        <v>757</v>
      </c>
      <c r="B57" s="96"/>
      <c r="C57" s="96"/>
      <c r="D57" s="96"/>
      <c r="E57" s="96"/>
      <c r="F57" s="96"/>
    </row>
  </sheetData>
  <mergeCells count="8">
    <mergeCell ref="A55:F55"/>
    <mergeCell ref="A56:F56"/>
    <mergeCell ref="A57:F57"/>
    <mergeCell ref="A1:H1"/>
    <mergeCell ref="A2:H2"/>
    <mergeCell ref="A52:F52"/>
    <mergeCell ref="A53:F53"/>
    <mergeCell ref="A54:F5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5090"/>
  </sheetPr>
  <dimension ref="A1:J42"/>
  <sheetViews>
    <sheetView topLeftCell="A43" zoomScaleNormal="100" workbookViewId="0">
      <selection activeCell="A37" sqref="A37:F42"/>
    </sheetView>
  </sheetViews>
  <sheetFormatPr defaultColWidth="8.6640625" defaultRowHeight="14.4"/>
  <cols>
    <col min="1" max="1" width="16" customWidth="1"/>
    <col min="2" max="2" width="22" customWidth="1"/>
    <col min="3" max="3" width="18" customWidth="1"/>
    <col min="4" max="4" width="14" customWidth="1"/>
    <col min="5" max="5" width="12" customWidth="1"/>
    <col min="6" max="6" width="14" customWidth="1"/>
    <col min="7" max="7" width="12" customWidth="1"/>
    <col min="8" max="8" width="18" customWidth="1"/>
    <col min="9" max="9" width="14" customWidth="1"/>
    <col min="10" max="10" width="16" customWidth="1"/>
  </cols>
  <sheetData>
    <row r="1" spans="1:10" ht="17.399999999999999">
      <c r="A1" s="134" t="s">
        <v>758</v>
      </c>
      <c r="B1" s="134"/>
      <c r="C1" s="134"/>
      <c r="D1" s="134"/>
      <c r="E1" s="134"/>
      <c r="F1" s="134"/>
      <c r="G1" s="134"/>
      <c r="H1" s="134"/>
      <c r="I1" s="134"/>
    </row>
    <row r="2" spans="1:10">
      <c r="A2" s="119" t="s">
        <v>759</v>
      </c>
      <c r="B2" s="119"/>
      <c r="C2" s="119"/>
      <c r="D2" s="119"/>
      <c r="E2" s="119"/>
      <c r="F2" s="119"/>
      <c r="G2" s="119"/>
      <c r="H2" s="119"/>
      <c r="I2" s="119"/>
    </row>
    <row r="4" spans="1:10" ht="26.4">
      <c r="A4" s="1" t="s">
        <v>488</v>
      </c>
      <c r="B4" s="1" t="s">
        <v>274</v>
      </c>
      <c r="C4" s="1" t="s">
        <v>68</v>
      </c>
      <c r="D4" s="1" t="s">
        <v>760</v>
      </c>
      <c r="E4" s="1" t="s">
        <v>761</v>
      </c>
      <c r="F4" s="1" t="s">
        <v>762</v>
      </c>
      <c r="G4" s="1" t="s">
        <v>763</v>
      </c>
      <c r="H4" s="1" t="s">
        <v>764</v>
      </c>
      <c r="I4" s="1" t="s">
        <v>765</v>
      </c>
      <c r="J4" s="4" t="s">
        <v>766</v>
      </c>
    </row>
    <row r="5" spans="1:10">
      <c r="A5" s="2" t="s">
        <v>426</v>
      </c>
      <c r="B5" s="2" t="s">
        <v>767</v>
      </c>
      <c r="C5" s="2" t="s">
        <v>318</v>
      </c>
      <c r="D5" s="2">
        <v>3.2</v>
      </c>
      <c r="E5" s="2">
        <v>2.1</v>
      </c>
      <c r="F5" s="2">
        <v>3.1</v>
      </c>
      <c r="G5" s="2">
        <v>2.2999999999999998</v>
      </c>
      <c r="H5" s="2">
        <v>3.8</v>
      </c>
      <c r="I5" s="2">
        <v>10</v>
      </c>
      <c r="J5" s="10">
        <f t="shared" ref="J5:J34" si="0">D5*0.3+E5*0.25+F5*0.2+G5*0.15+H5*0.1</f>
        <v>2.83</v>
      </c>
    </row>
    <row r="6" spans="1:10">
      <c r="A6" s="3" t="s">
        <v>416</v>
      </c>
      <c r="B6" s="3" t="s">
        <v>428</v>
      </c>
      <c r="C6" s="3" t="s">
        <v>283</v>
      </c>
      <c r="D6" s="3">
        <v>2.9</v>
      </c>
      <c r="E6" s="3">
        <v>3.2</v>
      </c>
      <c r="F6" s="3">
        <v>2.2999999999999998</v>
      </c>
      <c r="G6" s="3">
        <v>4.7</v>
      </c>
      <c r="H6" s="3">
        <v>4.7</v>
      </c>
      <c r="I6" s="3">
        <v>7</v>
      </c>
      <c r="J6" s="10">
        <f t="shared" si="0"/>
        <v>3.3050000000000002</v>
      </c>
    </row>
    <row r="7" spans="1:10">
      <c r="A7" s="2" t="s">
        <v>425</v>
      </c>
      <c r="B7" s="2" t="s">
        <v>767</v>
      </c>
      <c r="C7" s="2" t="s">
        <v>283</v>
      </c>
      <c r="D7" s="2">
        <v>4.0999999999999996</v>
      </c>
      <c r="E7" s="2">
        <v>2.5</v>
      </c>
      <c r="F7" s="2">
        <v>2.8</v>
      </c>
      <c r="G7" s="2">
        <v>2.8</v>
      </c>
      <c r="H7" s="2">
        <v>2.4</v>
      </c>
      <c r="I7" s="2">
        <v>5</v>
      </c>
      <c r="J7" s="10">
        <f t="shared" si="0"/>
        <v>3.0749999999999993</v>
      </c>
    </row>
    <row r="8" spans="1:10">
      <c r="A8" s="3" t="s">
        <v>768</v>
      </c>
      <c r="B8" s="3" t="s">
        <v>311</v>
      </c>
      <c r="C8" s="3" t="s">
        <v>317</v>
      </c>
      <c r="D8" s="3">
        <v>2.9</v>
      </c>
      <c r="E8" s="3">
        <v>4.3</v>
      </c>
      <c r="F8" s="3">
        <v>3.1</v>
      </c>
      <c r="G8" s="3">
        <v>4.8</v>
      </c>
      <c r="H8" s="3">
        <v>4.2</v>
      </c>
      <c r="I8" s="3">
        <v>15</v>
      </c>
      <c r="J8" s="10">
        <f t="shared" si="0"/>
        <v>3.7050000000000001</v>
      </c>
    </row>
    <row r="9" spans="1:10">
      <c r="A9" s="2" t="s">
        <v>425</v>
      </c>
      <c r="B9" s="2" t="s">
        <v>769</v>
      </c>
      <c r="C9" s="2" t="s">
        <v>283</v>
      </c>
      <c r="D9" s="2">
        <v>3.4</v>
      </c>
      <c r="E9" s="2">
        <v>2.4</v>
      </c>
      <c r="F9" s="2">
        <v>2</v>
      </c>
      <c r="G9" s="2">
        <v>3.2</v>
      </c>
      <c r="H9" s="2">
        <v>4.5</v>
      </c>
      <c r="I9" s="2">
        <v>12</v>
      </c>
      <c r="J9" s="10">
        <f t="shared" si="0"/>
        <v>2.95</v>
      </c>
    </row>
    <row r="10" spans="1:10">
      <c r="A10" s="3" t="s">
        <v>418</v>
      </c>
      <c r="B10" s="3" t="s">
        <v>334</v>
      </c>
      <c r="C10" s="3" t="s">
        <v>317</v>
      </c>
      <c r="D10" s="3">
        <v>3</v>
      </c>
      <c r="E10" s="3">
        <v>4.4000000000000004</v>
      </c>
      <c r="F10" s="3">
        <v>4.5999999999999996</v>
      </c>
      <c r="G10" s="3">
        <v>4.9000000000000004</v>
      </c>
      <c r="H10" s="3">
        <v>2.4</v>
      </c>
      <c r="I10" s="3">
        <v>10</v>
      </c>
      <c r="J10" s="10">
        <f t="shared" si="0"/>
        <v>3.8949999999999996</v>
      </c>
    </row>
    <row r="11" spans="1:10">
      <c r="A11" s="2" t="s">
        <v>425</v>
      </c>
      <c r="B11" s="2" t="s">
        <v>306</v>
      </c>
      <c r="C11" s="2" t="s">
        <v>317</v>
      </c>
      <c r="D11" s="2">
        <v>2.9</v>
      </c>
      <c r="E11" s="2">
        <v>4.9000000000000004</v>
      </c>
      <c r="F11" s="2">
        <v>4.9000000000000004</v>
      </c>
      <c r="G11" s="2">
        <v>2.9</v>
      </c>
      <c r="H11" s="2">
        <v>4.0999999999999996</v>
      </c>
      <c r="I11" s="2">
        <v>15</v>
      </c>
      <c r="J11" s="10">
        <f t="shared" si="0"/>
        <v>3.9200000000000004</v>
      </c>
    </row>
    <row r="12" spans="1:10">
      <c r="A12" s="3" t="s">
        <v>425</v>
      </c>
      <c r="B12" s="3" t="s">
        <v>306</v>
      </c>
      <c r="C12" s="3" t="s">
        <v>317</v>
      </c>
      <c r="D12" s="3">
        <v>3.1</v>
      </c>
      <c r="E12" s="3">
        <v>4.4000000000000004</v>
      </c>
      <c r="F12" s="3">
        <v>3.2</v>
      </c>
      <c r="G12" s="3">
        <v>2.2999999999999998</v>
      </c>
      <c r="H12" s="3">
        <v>3.7</v>
      </c>
      <c r="I12" s="3">
        <v>18</v>
      </c>
      <c r="J12" s="10">
        <f t="shared" si="0"/>
        <v>3.3850000000000007</v>
      </c>
    </row>
    <row r="13" spans="1:10">
      <c r="A13" s="2" t="s">
        <v>426</v>
      </c>
      <c r="B13" s="2" t="s">
        <v>300</v>
      </c>
      <c r="C13" s="2" t="s">
        <v>318</v>
      </c>
      <c r="D13" s="2">
        <v>4.3</v>
      </c>
      <c r="E13" s="2">
        <v>2.1</v>
      </c>
      <c r="F13" s="2">
        <v>4.2</v>
      </c>
      <c r="G13" s="2">
        <v>4.8</v>
      </c>
      <c r="H13" s="2">
        <v>2.6</v>
      </c>
      <c r="I13" s="2">
        <v>25</v>
      </c>
      <c r="J13" s="10">
        <f t="shared" si="0"/>
        <v>3.6349999999999998</v>
      </c>
    </row>
    <row r="14" spans="1:10">
      <c r="A14" s="3" t="s">
        <v>427</v>
      </c>
      <c r="B14" s="3" t="s">
        <v>294</v>
      </c>
      <c r="C14" s="3" t="s">
        <v>317</v>
      </c>
      <c r="D14" s="3">
        <v>4</v>
      </c>
      <c r="E14" s="3">
        <v>2.4</v>
      </c>
      <c r="F14" s="3">
        <v>2.9</v>
      </c>
      <c r="G14" s="3">
        <v>2.8</v>
      </c>
      <c r="H14" s="3">
        <v>2.5</v>
      </c>
      <c r="I14" s="3">
        <v>13</v>
      </c>
      <c r="J14" s="10">
        <f t="shared" si="0"/>
        <v>3.05</v>
      </c>
    </row>
    <row r="15" spans="1:10">
      <c r="A15" s="2" t="s">
        <v>418</v>
      </c>
      <c r="B15" s="2" t="s">
        <v>428</v>
      </c>
      <c r="C15" s="2" t="s">
        <v>283</v>
      </c>
      <c r="D15" s="2">
        <v>3.3</v>
      </c>
      <c r="E15" s="2">
        <v>3.8</v>
      </c>
      <c r="F15" s="2">
        <v>3.7</v>
      </c>
      <c r="G15" s="2">
        <v>3.6</v>
      </c>
      <c r="H15" s="2">
        <v>4.8</v>
      </c>
      <c r="I15" s="2">
        <v>22</v>
      </c>
      <c r="J15" s="10">
        <f t="shared" si="0"/>
        <v>3.7</v>
      </c>
    </row>
    <row r="16" spans="1:10">
      <c r="A16" s="3" t="s">
        <v>768</v>
      </c>
      <c r="B16" s="3" t="s">
        <v>767</v>
      </c>
      <c r="C16" s="3" t="s">
        <v>283</v>
      </c>
      <c r="D16" s="3">
        <v>4.4000000000000004</v>
      </c>
      <c r="E16" s="3">
        <v>3.1</v>
      </c>
      <c r="F16" s="3">
        <v>4.7</v>
      </c>
      <c r="G16" s="3">
        <v>3.6</v>
      </c>
      <c r="H16" s="3">
        <v>3.9</v>
      </c>
      <c r="I16" s="3">
        <v>2</v>
      </c>
      <c r="J16" s="10">
        <f t="shared" si="0"/>
        <v>3.9650000000000003</v>
      </c>
    </row>
    <row r="17" spans="1:10">
      <c r="A17" s="2" t="s">
        <v>422</v>
      </c>
      <c r="B17" s="2" t="s">
        <v>306</v>
      </c>
      <c r="C17" s="2" t="s">
        <v>318</v>
      </c>
      <c r="D17" s="2">
        <v>4</v>
      </c>
      <c r="E17" s="2">
        <v>2.5</v>
      </c>
      <c r="F17" s="2">
        <v>3.8</v>
      </c>
      <c r="G17" s="2">
        <v>3.7</v>
      </c>
      <c r="H17" s="2">
        <v>3.9</v>
      </c>
      <c r="I17" s="2">
        <v>20</v>
      </c>
      <c r="J17" s="10">
        <f t="shared" si="0"/>
        <v>3.5300000000000002</v>
      </c>
    </row>
    <row r="18" spans="1:10">
      <c r="A18" s="3" t="s">
        <v>768</v>
      </c>
      <c r="B18" s="3" t="s">
        <v>334</v>
      </c>
      <c r="C18" s="3" t="s">
        <v>317</v>
      </c>
      <c r="D18" s="3">
        <v>2.2999999999999998</v>
      </c>
      <c r="E18" s="3">
        <v>2.2999999999999998</v>
      </c>
      <c r="F18" s="3">
        <v>2.7</v>
      </c>
      <c r="G18" s="3">
        <v>4.2</v>
      </c>
      <c r="H18" s="3">
        <v>3.7</v>
      </c>
      <c r="I18" s="3">
        <v>22</v>
      </c>
      <c r="J18" s="10">
        <f t="shared" si="0"/>
        <v>2.8050000000000002</v>
      </c>
    </row>
    <row r="19" spans="1:10">
      <c r="A19" s="2" t="s">
        <v>425</v>
      </c>
      <c r="B19" s="2" t="s">
        <v>306</v>
      </c>
      <c r="C19" s="2" t="s">
        <v>317</v>
      </c>
      <c r="D19" s="2">
        <v>3.1</v>
      </c>
      <c r="E19" s="2">
        <v>3.4</v>
      </c>
      <c r="F19" s="2">
        <v>4</v>
      </c>
      <c r="G19" s="2">
        <v>4.0999999999999996</v>
      </c>
      <c r="H19" s="2">
        <v>2.5</v>
      </c>
      <c r="I19" s="2">
        <v>0</v>
      </c>
      <c r="J19" s="10">
        <f t="shared" si="0"/>
        <v>3.4449999999999998</v>
      </c>
    </row>
    <row r="20" spans="1:10">
      <c r="A20" s="3" t="s">
        <v>419</v>
      </c>
      <c r="B20" s="3" t="s">
        <v>294</v>
      </c>
      <c r="C20" s="3" t="s">
        <v>317</v>
      </c>
      <c r="D20" s="3">
        <v>3.2</v>
      </c>
      <c r="E20" s="3">
        <v>4.9000000000000004</v>
      </c>
      <c r="F20" s="3">
        <v>2.2999999999999998</v>
      </c>
      <c r="G20" s="3">
        <v>4.8</v>
      </c>
      <c r="H20" s="3">
        <v>2.4</v>
      </c>
      <c r="I20" s="3">
        <v>9</v>
      </c>
      <c r="J20" s="10">
        <f t="shared" si="0"/>
        <v>3.6050000000000004</v>
      </c>
    </row>
    <row r="21" spans="1:10">
      <c r="A21" s="2" t="s">
        <v>423</v>
      </c>
      <c r="B21" s="2" t="s">
        <v>770</v>
      </c>
      <c r="C21" s="2" t="s">
        <v>283</v>
      </c>
      <c r="D21" s="2">
        <v>3.6</v>
      </c>
      <c r="E21" s="2">
        <v>3</v>
      </c>
      <c r="F21" s="2">
        <v>2.2999999999999998</v>
      </c>
      <c r="G21" s="2">
        <v>4.2</v>
      </c>
      <c r="H21" s="2">
        <v>3.4</v>
      </c>
      <c r="I21" s="2">
        <v>2</v>
      </c>
      <c r="J21" s="10">
        <f t="shared" si="0"/>
        <v>3.26</v>
      </c>
    </row>
    <row r="22" spans="1:10">
      <c r="A22" s="3" t="s">
        <v>427</v>
      </c>
      <c r="B22" s="3" t="s">
        <v>284</v>
      </c>
      <c r="C22" s="3" t="s">
        <v>318</v>
      </c>
      <c r="D22" s="3">
        <v>2.2999999999999998</v>
      </c>
      <c r="E22" s="3">
        <v>4.5</v>
      </c>
      <c r="F22" s="3">
        <v>3.9</v>
      </c>
      <c r="G22" s="3">
        <v>4</v>
      </c>
      <c r="H22" s="3">
        <v>2.5</v>
      </c>
      <c r="I22" s="3">
        <v>23</v>
      </c>
      <c r="J22" s="10">
        <f t="shared" si="0"/>
        <v>3.4449999999999998</v>
      </c>
    </row>
    <row r="23" spans="1:10">
      <c r="A23" s="2" t="s">
        <v>415</v>
      </c>
      <c r="B23" s="2" t="s">
        <v>767</v>
      </c>
      <c r="C23" s="2" t="s">
        <v>283</v>
      </c>
      <c r="D23" s="2">
        <v>3.7</v>
      </c>
      <c r="E23" s="2">
        <v>3</v>
      </c>
      <c r="F23" s="2">
        <v>3.3</v>
      </c>
      <c r="G23" s="2">
        <v>3.4</v>
      </c>
      <c r="H23" s="2">
        <v>4.4000000000000004</v>
      </c>
      <c r="I23" s="2">
        <v>20</v>
      </c>
      <c r="J23" s="10">
        <f t="shared" si="0"/>
        <v>3.47</v>
      </c>
    </row>
    <row r="24" spans="1:10">
      <c r="A24" s="3" t="s">
        <v>771</v>
      </c>
      <c r="B24" s="3" t="s">
        <v>300</v>
      </c>
      <c r="C24" s="3" t="s">
        <v>318</v>
      </c>
      <c r="D24" s="3">
        <v>4</v>
      </c>
      <c r="E24" s="3">
        <v>3.2</v>
      </c>
      <c r="F24" s="3">
        <v>4.2</v>
      </c>
      <c r="G24" s="3">
        <v>4.5999999999999996</v>
      </c>
      <c r="H24" s="3">
        <v>3.3</v>
      </c>
      <c r="I24" s="3">
        <v>13</v>
      </c>
      <c r="J24" s="10">
        <f t="shared" si="0"/>
        <v>3.86</v>
      </c>
    </row>
    <row r="25" spans="1:10">
      <c r="A25" s="2" t="s">
        <v>768</v>
      </c>
      <c r="B25" s="2" t="s">
        <v>284</v>
      </c>
      <c r="C25" s="2" t="s">
        <v>318</v>
      </c>
      <c r="D25" s="2">
        <v>2.6</v>
      </c>
      <c r="E25" s="2">
        <v>2.8</v>
      </c>
      <c r="F25" s="2">
        <v>4.0999999999999996</v>
      </c>
      <c r="G25" s="2">
        <v>4.4000000000000004</v>
      </c>
      <c r="H25" s="2">
        <v>3.7</v>
      </c>
      <c r="I25" s="2">
        <v>25</v>
      </c>
      <c r="J25" s="10">
        <f t="shared" si="0"/>
        <v>3.33</v>
      </c>
    </row>
    <row r="26" spans="1:10">
      <c r="A26" s="3" t="s">
        <v>416</v>
      </c>
      <c r="B26" s="3" t="s">
        <v>767</v>
      </c>
      <c r="C26" s="3" t="s">
        <v>283</v>
      </c>
      <c r="D26" s="3">
        <v>3.1</v>
      </c>
      <c r="E26" s="3">
        <v>2.6</v>
      </c>
      <c r="F26" s="3">
        <v>2.2999999999999998</v>
      </c>
      <c r="G26" s="3">
        <v>4</v>
      </c>
      <c r="H26" s="3">
        <v>3.5</v>
      </c>
      <c r="I26" s="3">
        <v>20</v>
      </c>
      <c r="J26" s="10">
        <f t="shared" si="0"/>
        <v>2.99</v>
      </c>
    </row>
    <row r="27" spans="1:10">
      <c r="A27" s="2" t="s">
        <v>423</v>
      </c>
      <c r="B27" s="2" t="s">
        <v>769</v>
      </c>
      <c r="C27" s="2" t="s">
        <v>317</v>
      </c>
      <c r="D27" s="2">
        <v>3.8</v>
      </c>
      <c r="E27" s="2">
        <v>3.8</v>
      </c>
      <c r="F27" s="2">
        <v>3</v>
      </c>
      <c r="G27" s="2">
        <v>4.5</v>
      </c>
      <c r="H27" s="2">
        <v>3.9</v>
      </c>
      <c r="I27" s="2">
        <v>21</v>
      </c>
      <c r="J27" s="10">
        <f t="shared" si="0"/>
        <v>3.7549999999999999</v>
      </c>
    </row>
    <row r="28" spans="1:10">
      <c r="A28" s="3" t="s">
        <v>429</v>
      </c>
      <c r="B28" s="3" t="s">
        <v>311</v>
      </c>
      <c r="C28" s="3" t="s">
        <v>318</v>
      </c>
      <c r="D28" s="3">
        <v>3.8</v>
      </c>
      <c r="E28" s="3">
        <v>4</v>
      </c>
      <c r="F28" s="3">
        <v>2.9</v>
      </c>
      <c r="G28" s="3">
        <v>2.7</v>
      </c>
      <c r="H28" s="3">
        <v>2.4</v>
      </c>
      <c r="I28" s="3">
        <v>11</v>
      </c>
      <c r="J28" s="10">
        <f t="shared" si="0"/>
        <v>3.3650000000000002</v>
      </c>
    </row>
    <row r="29" spans="1:10">
      <c r="A29" s="2" t="s">
        <v>429</v>
      </c>
      <c r="B29" s="2" t="s">
        <v>300</v>
      </c>
      <c r="C29" s="2" t="s">
        <v>318</v>
      </c>
      <c r="D29" s="2">
        <v>3.2</v>
      </c>
      <c r="E29" s="2">
        <v>3.8</v>
      </c>
      <c r="F29" s="2">
        <v>3.7</v>
      </c>
      <c r="G29" s="2">
        <v>3.3</v>
      </c>
      <c r="H29" s="2">
        <v>3.5</v>
      </c>
      <c r="I29" s="2">
        <v>17</v>
      </c>
      <c r="J29" s="10">
        <f t="shared" si="0"/>
        <v>3.4950000000000001</v>
      </c>
    </row>
    <row r="30" spans="1:10">
      <c r="A30" s="3" t="s">
        <v>429</v>
      </c>
      <c r="B30" s="3" t="s">
        <v>300</v>
      </c>
      <c r="C30" s="3" t="s">
        <v>318</v>
      </c>
      <c r="D30" s="3">
        <v>2.5</v>
      </c>
      <c r="E30" s="3">
        <v>2.9</v>
      </c>
      <c r="F30" s="3">
        <v>2.6</v>
      </c>
      <c r="G30" s="3">
        <v>4.5</v>
      </c>
      <c r="H30" s="3">
        <v>3.9</v>
      </c>
      <c r="I30" s="3">
        <v>11</v>
      </c>
      <c r="J30" s="10">
        <f t="shared" si="0"/>
        <v>3.06</v>
      </c>
    </row>
    <row r="31" spans="1:10">
      <c r="A31" s="2" t="s">
        <v>417</v>
      </c>
      <c r="B31" s="2" t="s">
        <v>770</v>
      </c>
      <c r="C31" s="2" t="s">
        <v>283</v>
      </c>
      <c r="D31" s="2">
        <v>2.6</v>
      </c>
      <c r="E31" s="2">
        <v>3.2</v>
      </c>
      <c r="F31" s="2">
        <v>3.7</v>
      </c>
      <c r="G31" s="2">
        <v>4</v>
      </c>
      <c r="H31" s="2">
        <v>3.2</v>
      </c>
      <c r="I31" s="2">
        <v>15</v>
      </c>
      <c r="J31" s="10">
        <f t="shared" si="0"/>
        <v>3.24</v>
      </c>
    </row>
    <row r="32" spans="1:10">
      <c r="A32" s="3" t="s">
        <v>768</v>
      </c>
      <c r="B32" s="3" t="s">
        <v>770</v>
      </c>
      <c r="C32" s="3" t="s">
        <v>317</v>
      </c>
      <c r="D32" s="3">
        <v>2.5</v>
      </c>
      <c r="E32" s="3">
        <v>3.7</v>
      </c>
      <c r="F32" s="3">
        <v>4.4000000000000004</v>
      </c>
      <c r="G32" s="3">
        <v>2.7</v>
      </c>
      <c r="H32" s="3">
        <v>2.1</v>
      </c>
      <c r="I32" s="3">
        <v>7</v>
      </c>
      <c r="J32" s="10">
        <f t="shared" si="0"/>
        <v>3.17</v>
      </c>
    </row>
    <row r="33" spans="1:10">
      <c r="A33" s="2" t="s">
        <v>426</v>
      </c>
      <c r="B33" s="2" t="s">
        <v>311</v>
      </c>
      <c r="C33" s="2" t="s">
        <v>283</v>
      </c>
      <c r="D33" s="2">
        <v>4.3</v>
      </c>
      <c r="E33" s="2">
        <v>3.7</v>
      </c>
      <c r="F33" s="2">
        <v>4.3</v>
      </c>
      <c r="G33" s="2">
        <v>3.5</v>
      </c>
      <c r="H33" s="2">
        <v>3.5</v>
      </c>
      <c r="I33" s="2">
        <v>18</v>
      </c>
      <c r="J33" s="10">
        <f t="shared" si="0"/>
        <v>3.9499999999999997</v>
      </c>
    </row>
    <row r="34" spans="1:10">
      <c r="A34" s="3" t="s">
        <v>422</v>
      </c>
      <c r="B34" s="3" t="s">
        <v>311</v>
      </c>
      <c r="C34" s="3" t="s">
        <v>318</v>
      </c>
      <c r="D34" s="3">
        <v>4.5</v>
      </c>
      <c r="E34" s="3">
        <v>3.1</v>
      </c>
      <c r="F34" s="3">
        <v>4.5</v>
      </c>
      <c r="G34" s="3">
        <v>2.1</v>
      </c>
      <c r="H34" s="3">
        <v>4.2</v>
      </c>
      <c r="I34" s="3">
        <v>17</v>
      </c>
      <c r="J34" s="10">
        <f t="shared" si="0"/>
        <v>3.76</v>
      </c>
    </row>
    <row r="36" spans="1:10" ht="15.6">
      <c r="A36" s="7" t="s">
        <v>209</v>
      </c>
    </row>
    <row r="37" spans="1:10">
      <c r="A37" s="96" t="s">
        <v>772</v>
      </c>
      <c r="B37" s="96"/>
      <c r="C37" s="96"/>
      <c r="D37" s="96"/>
      <c r="E37" s="96"/>
      <c r="F37" s="96"/>
    </row>
    <row r="38" spans="1:10">
      <c r="A38" s="96" t="s">
        <v>773</v>
      </c>
      <c r="B38" s="96"/>
      <c r="C38" s="96"/>
      <c r="D38" s="96"/>
      <c r="E38" s="96"/>
      <c r="F38" s="96"/>
    </row>
    <row r="39" spans="1:10">
      <c r="A39" s="96" t="s">
        <v>774</v>
      </c>
      <c r="B39" s="96"/>
      <c r="C39" s="96"/>
      <c r="D39" s="96"/>
      <c r="E39" s="96"/>
      <c r="F39" s="96"/>
    </row>
    <row r="40" spans="1:10">
      <c r="A40" s="96" t="s">
        <v>775</v>
      </c>
      <c r="B40" s="96"/>
      <c r="C40" s="96"/>
      <c r="D40" s="96"/>
      <c r="E40" s="96"/>
      <c r="F40" s="96"/>
    </row>
    <row r="41" spans="1:10">
      <c r="A41" s="96" t="s">
        <v>776</v>
      </c>
      <c r="B41" s="96"/>
      <c r="C41" s="96"/>
      <c r="D41" s="96"/>
      <c r="E41" s="96"/>
      <c r="F41" s="96"/>
    </row>
    <row r="42" spans="1:10">
      <c r="A42" s="96" t="s">
        <v>777</v>
      </c>
      <c r="B42" s="96"/>
      <c r="C42" s="96"/>
      <c r="D42" s="96"/>
      <c r="E42" s="96"/>
      <c r="F42" s="96"/>
    </row>
  </sheetData>
  <mergeCells count="8">
    <mergeCell ref="A40:F40"/>
    <mergeCell ref="A41:F41"/>
    <mergeCell ref="A42:F42"/>
    <mergeCell ref="A1:I1"/>
    <mergeCell ref="A2:I2"/>
    <mergeCell ref="A37:F37"/>
    <mergeCell ref="A38:F38"/>
    <mergeCell ref="A39:F39"/>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897B"/>
  </sheetPr>
  <dimension ref="A1:H52"/>
  <sheetViews>
    <sheetView topLeftCell="A44" zoomScaleNormal="100" workbookViewId="0">
      <selection activeCell="A51" sqref="A51:F51"/>
    </sheetView>
  </sheetViews>
  <sheetFormatPr defaultColWidth="8.6640625" defaultRowHeight="14.4"/>
  <cols>
    <col min="1" max="1" width="14" customWidth="1"/>
    <col min="2" max="2" width="22" customWidth="1"/>
    <col min="3" max="3" width="16" customWidth="1"/>
    <col min="4" max="5" width="12" customWidth="1"/>
    <col min="6" max="6" width="18" customWidth="1"/>
    <col min="7" max="7" width="16" customWidth="1"/>
    <col min="8" max="8" width="8" customWidth="1"/>
  </cols>
  <sheetData>
    <row r="1" spans="1:8" ht="17.399999999999999">
      <c r="A1" s="134" t="s">
        <v>778</v>
      </c>
      <c r="B1" s="134"/>
      <c r="C1" s="134"/>
      <c r="D1" s="134"/>
      <c r="E1" s="134"/>
      <c r="F1" s="134"/>
      <c r="G1" s="134"/>
      <c r="H1" s="134"/>
    </row>
    <row r="2" spans="1:8">
      <c r="A2" s="119" t="s">
        <v>779</v>
      </c>
      <c r="B2" s="119"/>
      <c r="C2" s="119"/>
      <c r="D2" s="119"/>
      <c r="E2" s="119"/>
      <c r="F2" s="119"/>
      <c r="G2" s="119"/>
      <c r="H2" s="119"/>
    </row>
    <row r="4" spans="1:8" ht="26.4">
      <c r="A4" s="1" t="s">
        <v>68</v>
      </c>
      <c r="B4" s="1" t="s">
        <v>780</v>
      </c>
      <c r="C4" s="1" t="s">
        <v>70</v>
      </c>
      <c r="D4" s="1" t="s">
        <v>71</v>
      </c>
      <c r="E4" s="1" t="s">
        <v>781</v>
      </c>
      <c r="F4" s="1" t="s">
        <v>782</v>
      </c>
      <c r="G4" s="1" t="s">
        <v>783</v>
      </c>
      <c r="H4" s="1" t="s">
        <v>784</v>
      </c>
    </row>
    <row r="5" spans="1:8">
      <c r="A5" s="2" t="s">
        <v>785</v>
      </c>
      <c r="B5" s="2" t="s">
        <v>96</v>
      </c>
      <c r="C5" s="2" t="s">
        <v>94</v>
      </c>
      <c r="D5" s="2" t="s">
        <v>95</v>
      </c>
      <c r="E5" s="2">
        <v>31847</v>
      </c>
      <c r="F5" s="2">
        <v>148948419</v>
      </c>
      <c r="G5" s="2">
        <v>4677</v>
      </c>
      <c r="H5" s="2">
        <v>2024</v>
      </c>
    </row>
    <row r="6" spans="1:8">
      <c r="A6" s="3" t="s">
        <v>786</v>
      </c>
      <c r="B6" s="3" t="s">
        <v>82</v>
      </c>
      <c r="C6" s="3" t="s">
        <v>203</v>
      </c>
      <c r="D6" s="3" t="s">
        <v>95</v>
      </c>
      <c r="E6" s="3">
        <v>73895</v>
      </c>
      <c r="F6" s="3">
        <v>174096620</v>
      </c>
      <c r="G6" s="3">
        <v>2356</v>
      </c>
      <c r="H6" s="3">
        <v>2022</v>
      </c>
    </row>
    <row r="7" spans="1:8">
      <c r="A7" s="2" t="s">
        <v>787</v>
      </c>
      <c r="B7" s="2" t="s">
        <v>96</v>
      </c>
      <c r="C7" s="2" t="s">
        <v>136</v>
      </c>
      <c r="D7" s="2" t="s">
        <v>81</v>
      </c>
      <c r="E7" s="2">
        <v>96915</v>
      </c>
      <c r="F7" s="2">
        <v>81408600</v>
      </c>
      <c r="G7" s="2">
        <v>840</v>
      </c>
      <c r="H7" s="2">
        <v>2025</v>
      </c>
    </row>
    <row r="8" spans="1:8">
      <c r="A8" s="3" t="s">
        <v>788</v>
      </c>
      <c r="B8" s="3" t="s">
        <v>150</v>
      </c>
      <c r="C8" s="3" t="s">
        <v>149</v>
      </c>
      <c r="D8" s="3" t="s">
        <v>81</v>
      </c>
      <c r="E8" s="3">
        <v>59164</v>
      </c>
      <c r="F8" s="3">
        <v>48277824</v>
      </c>
      <c r="G8" s="3">
        <v>816</v>
      </c>
      <c r="H8" s="3">
        <v>2024</v>
      </c>
    </row>
    <row r="9" spans="1:8">
      <c r="A9" s="2" t="s">
        <v>789</v>
      </c>
      <c r="B9" s="2" t="s">
        <v>85</v>
      </c>
      <c r="C9" s="2" t="s">
        <v>173</v>
      </c>
      <c r="D9" s="2" t="s">
        <v>95</v>
      </c>
      <c r="E9" s="2">
        <v>146234</v>
      </c>
      <c r="F9" s="2">
        <v>486228050</v>
      </c>
      <c r="G9" s="2">
        <v>3325</v>
      </c>
      <c r="H9" s="2">
        <v>2024</v>
      </c>
    </row>
    <row r="10" spans="1:8">
      <c r="A10" s="3" t="s">
        <v>790</v>
      </c>
      <c r="B10" s="3" t="s">
        <v>107</v>
      </c>
      <c r="C10" s="3" t="s">
        <v>173</v>
      </c>
      <c r="D10" s="3" t="s">
        <v>95</v>
      </c>
      <c r="E10" s="3">
        <v>139850</v>
      </c>
      <c r="F10" s="3">
        <v>668762700</v>
      </c>
      <c r="G10" s="3">
        <v>4782</v>
      </c>
      <c r="H10" s="3">
        <v>2023</v>
      </c>
    </row>
    <row r="11" spans="1:8">
      <c r="A11" s="2" t="s">
        <v>791</v>
      </c>
      <c r="B11" s="2" t="s">
        <v>100</v>
      </c>
      <c r="C11" s="2" t="s">
        <v>184</v>
      </c>
      <c r="D11" s="2" t="s">
        <v>81</v>
      </c>
      <c r="E11" s="2">
        <v>77698</v>
      </c>
      <c r="F11" s="2">
        <v>65499414</v>
      </c>
      <c r="G11" s="2">
        <v>843</v>
      </c>
      <c r="H11" s="2">
        <v>2023</v>
      </c>
    </row>
    <row r="12" spans="1:8">
      <c r="A12" s="3" t="s">
        <v>792</v>
      </c>
      <c r="B12" s="3" t="s">
        <v>96</v>
      </c>
      <c r="C12" s="3" t="s">
        <v>149</v>
      </c>
      <c r="D12" s="3" t="s">
        <v>81</v>
      </c>
      <c r="E12" s="3">
        <v>89435</v>
      </c>
      <c r="F12" s="3">
        <v>73694440</v>
      </c>
      <c r="G12" s="3">
        <v>824</v>
      </c>
      <c r="H12" s="3">
        <v>2025</v>
      </c>
    </row>
    <row r="13" spans="1:8">
      <c r="A13" s="2" t="s">
        <v>793</v>
      </c>
      <c r="B13" s="2" t="s">
        <v>150</v>
      </c>
      <c r="C13" s="2" t="s">
        <v>143</v>
      </c>
      <c r="D13" s="2" t="s">
        <v>111</v>
      </c>
      <c r="E13" s="2">
        <v>75442</v>
      </c>
      <c r="F13" s="2">
        <v>251674512</v>
      </c>
      <c r="G13" s="2">
        <v>3336</v>
      </c>
      <c r="H13" s="2">
        <v>2025</v>
      </c>
    </row>
    <row r="14" spans="1:8">
      <c r="A14" s="3" t="s">
        <v>794</v>
      </c>
      <c r="B14" s="3" t="s">
        <v>89</v>
      </c>
      <c r="C14" s="3" t="s">
        <v>126</v>
      </c>
      <c r="D14" s="3" t="s">
        <v>81</v>
      </c>
      <c r="E14" s="3">
        <v>110604</v>
      </c>
      <c r="F14" s="3">
        <v>73330452</v>
      </c>
      <c r="G14" s="3">
        <v>663</v>
      </c>
      <c r="H14" s="3">
        <v>2025</v>
      </c>
    </row>
    <row r="15" spans="1:8">
      <c r="A15" s="2" t="s">
        <v>795</v>
      </c>
      <c r="B15" s="2" t="s">
        <v>129</v>
      </c>
      <c r="C15" s="2" t="s">
        <v>103</v>
      </c>
      <c r="D15" s="2" t="s">
        <v>95</v>
      </c>
      <c r="E15" s="2">
        <v>5648</v>
      </c>
      <c r="F15" s="2">
        <v>13447888</v>
      </c>
      <c r="G15" s="2">
        <v>2381</v>
      </c>
      <c r="H15" s="2">
        <v>2024</v>
      </c>
    </row>
    <row r="16" spans="1:8">
      <c r="A16" s="3" t="s">
        <v>796</v>
      </c>
      <c r="B16" s="3" t="s">
        <v>89</v>
      </c>
      <c r="C16" s="3" t="s">
        <v>110</v>
      </c>
      <c r="D16" s="3" t="s">
        <v>111</v>
      </c>
      <c r="E16" s="3">
        <v>109258</v>
      </c>
      <c r="F16" s="3">
        <v>291391086</v>
      </c>
      <c r="G16" s="3">
        <v>2667</v>
      </c>
      <c r="H16" s="3">
        <v>2025</v>
      </c>
    </row>
    <row r="17" spans="1:8">
      <c r="A17" s="2" t="s">
        <v>797</v>
      </c>
      <c r="B17" s="2" t="s">
        <v>117</v>
      </c>
      <c r="C17" s="2" t="s">
        <v>103</v>
      </c>
      <c r="D17" s="2" t="s">
        <v>95</v>
      </c>
      <c r="E17" s="2">
        <v>79342</v>
      </c>
      <c r="F17" s="2">
        <v>336489422</v>
      </c>
      <c r="G17" s="2">
        <v>4241</v>
      </c>
      <c r="H17" s="2">
        <v>2023</v>
      </c>
    </row>
    <row r="18" spans="1:8">
      <c r="A18" s="3" t="s">
        <v>798</v>
      </c>
      <c r="B18" s="3" t="s">
        <v>107</v>
      </c>
      <c r="C18" s="3" t="s">
        <v>208</v>
      </c>
      <c r="D18" s="3" t="s">
        <v>111</v>
      </c>
      <c r="E18" s="3">
        <v>95109</v>
      </c>
      <c r="F18" s="3">
        <v>190027782</v>
      </c>
      <c r="G18" s="3">
        <v>1998</v>
      </c>
      <c r="H18" s="3">
        <v>2022</v>
      </c>
    </row>
    <row r="19" spans="1:8">
      <c r="A19" s="2" t="s">
        <v>799</v>
      </c>
      <c r="B19" s="2" t="s">
        <v>89</v>
      </c>
      <c r="C19" s="2" t="s">
        <v>203</v>
      </c>
      <c r="D19" s="2" t="s">
        <v>95</v>
      </c>
      <c r="E19" s="2">
        <v>9268</v>
      </c>
      <c r="F19" s="2">
        <v>24532396</v>
      </c>
      <c r="G19" s="2">
        <v>2647</v>
      </c>
      <c r="H19" s="2">
        <v>2025</v>
      </c>
    </row>
    <row r="20" spans="1:8">
      <c r="A20" s="3" t="s">
        <v>800</v>
      </c>
      <c r="B20" s="3" t="s">
        <v>82</v>
      </c>
      <c r="C20" s="3" t="s">
        <v>94</v>
      </c>
      <c r="D20" s="3" t="s">
        <v>95</v>
      </c>
      <c r="E20" s="3">
        <v>58036</v>
      </c>
      <c r="F20" s="3">
        <v>147411440</v>
      </c>
      <c r="G20" s="3">
        <v>2540</v>
      </c>
      <c r="H20" s="3">
        <v>2024</v>
      </c>
    </row>
    <row r="21" spans="1:8">
      <c r="A21" s="2" t="s">
        <v>801</v>
      </c>
      <c r="B21" s="2" t="s">
        <v>150</v>
      </c>
      <c r="C21" s="2" t="s">
        <v>173</v>
      </c>
      <c r="D21" s="2" t="s">
        <v>95</v>
      </c>
      <c r="E21" s="2">
        <v>29468</v>
      </c>
      <c r="F21" s="2">
        <v>102430768</v>
      </c>
      <c r="G21" s="2">
        <v>3476</v>
      </c>
      <c r="H21" s="2">
        <v>2022</v>
      </c>
    </row>
    <row r="22" spans="1:8">
      <c r="A22" s="3" t="s">
        <v>802</v>
      </c>
      <c r="B22" s="3" t="s">
        <v>123</v>
      </c>
      <c r="C22" s="3" t="s">
        <v>99</v>
      </c>
      <c r="D22" s="3" t="s">
        <v>81</v>
      </c>
      <c r="E22" s="3">
        <v>18575</v>
      </c>
      <c r="F22" s="3">
        <v>11182150</v>
      </c>
      <c r="G22" s="3">
        <v>602</v>
      </c>
      <c r="H22" s="3">
        <v>2023</v>
      </c>
    </row>
    <row r="23" spans="1:8">
      <c r="A23" s="2" t="s">
        <v>803</v>
      </c>
      <c r="B23" s="2" t="s">
        <v>100</v>
      </c>
      <c r="C23" s="2" t="s">
        <v>126</v>
      </c>
      <c r="D23" s="2" t="s">
        <v>81</v>
      </c>
      <c r="E23" s="2">
        <v>29951</v>
      </c>
      <c r="F23" s="2">
        <v>11980400</v>
      </c>
      <c r="G23" s="2">
        <v>400</v>
      </c>
      <c r="H23" s="2">
        <v>2022</v>
      </c>
    </row>
    <row r="24" spans="1:8">
      <c r="A24" s="3" t="s">
        <v>804</v>
      </c>
      <c r="B24" s="3" t="s">
        <v>150</v>
      </c>
      <c r="C24" s="3" t="s">
        <v>143</v>
      </c>
      <c r="D24" s="3" t="s">
        <v>111</v>
      </c>
      <c r="E24" s="3">
        <v>64294</v>
      </c>
      <c r="F24" s="3">
        <v>232872868</v>
      </c>
      <c r="G24" s="3">
        <v>3622</v>
      </c>
      <c r="H24" s="3">
        <v>2022</v>
      </c>
    </row>
    <row r="25" spans="1:8">
      <c r="A25" s="2" t="s">
        <v>805</v>
      </c>
      <c r="B25" s="2" t="s">
        <v>82</v>
      </c>
      <c r="C25" s="2" t="s">
        <v>103</v>
      </c>
      <c r="D25" s="2" t="s">
        <v>95</v>
      </c>
      <c r="E25" s="2">
        <v>36612</v>
      </c>
      <c r="F25" s="2">
        <v>136526148</v>
      </c>
      <c r="G25" s="2">
        <v>3729</v>
      </c>
      <c r="H25" s="2">
        <v>2025</v>
      </c>
    </row>
    <row r="26" spans="1:8">
      <c r="A26" s="3" t="s">
        <v>806</v>
      </c>
      <c r="B26" s="3" t="s">
        <v>89</v>
      </c>
      <c r="C26" s="3" t="s">
        <v>116</v>
      </c>
      <c r="D26" s="3" t="s">
        <v>81</v>
      </c>
      <c r="E26" s="3">
        <v>105419</v>
      </c>
      <c r="F26" s="3">
        <v>46911455</v>
      </c>
      <c r="G26" s="3">
        <v>445</v>
      </c>
      <c r="H26" s="3">
        <v>2022</v>
      </c>
    </row>
    <row r="27" spans="1:8">
      <c r="A27" s="2" t="s">
        <v>807</v>
      </c>
      <c r="B27" s="2" t="s">
        <v>123</v>
      </c>
      <c r="C27" s="2" t="s">
        <v>106</v>
      </c>
      <c r="D27" s="2" t="s">
        <v>95</v>
      </c>
      <c r="E27" s="2">
        <v>83447</v>
      </c>
      <c r="F27" s="2">
        <v>297655449</v>
      </c>
      <c r="G27" s="2">
        <v>3567</v>
      </c>
      <c r="H27" s="2">
        <v>2023</v>
      </c>
    </row>
    <row r="28" spans="1:8">
      <c r="A28" s="3" t="s">
        <v>808</v>
      </c>
      <c r="B28" s="3" t="s">
        <v>89</v>
      </c>
      <c r="C28" s="3" t="s">
        <v>146</v>
      </c>
      <c r="D28" s="3" t="s">
        <v>111</v>
      </c>
      <c r="E28" s="3">
        <v>7221</v>
      </c>
      <c r="F28" s="3">
        <v>17850312</v>
      </c>
      <c r="G28" s="3">
        <v>2472</v>
      </c>
      <c r="H28" s="3">
        <v>2025</v>
      </c>
    </row>
    <row r="29" spans="1:8">
      <c r="A29" s="2" t="s">
        <v>809</v>
      </c>
      <c r="B29" s="2" t="s">
        <v>123</v>
      </c>
      <c r="C29" s="2" t="s">
        <v>136</v>
      </c>
      <c r="D29" s="2" t="s">
        <v>81</v>
      </c>
      <c r="E29" s="2">
        <v>44681</v>
      </c>
      <c r="F29" s="2">
        <v>38872470</v>
      </c>
      <c r="G29" s="2">
        <v>870</v>
      </c>
      <c r="H29" s="2">
        <v>2025</v>
      </c>
    </row>
    <row r="30" spans="1:8">
      <c r="A30" s="3" t="s">
        <v>810</v>
      </c>
      <c r="B30" s="3" t="s">
        <v>96</v>
      </c>
      <c r="C30" s="3" t="s">
        <v>126</v>
      </c>
      <c r="D30" s="3" t="s">
        <v>81</v>
      </c>
      <c r="E30" s="3">
        <v>31336</v>
      </c>
      <c r="F30" s="3">
        <v>14759256</v>
      </c>
      <c r="G30" s="3">
        <v>471</v>
      </c>
      <c r="H30" s="3">
        <v>2025</v>
      </c>
    </row>
    <row r="31" spans="1:8">
      <c r="A31" s="2" t="s">
        <v>811</v>
      </c>
      <c r="B31" s="2" t="s">
        <v>123</v>
      </c>
      <c r="C31" s="2" t="s">
        <v>94</v>
      </c>
      <c r="D31" s="2" t="s">
        <v>95</v>
      </c>
      <c r="E31" s="2">
        <v>87445</v>
      </c>
      <c r="F31" s="2">
        <v>224908540</v>
      </c>
      <c r="G31" s="2">
        <v>2572</v>
      </c>
      <c r="H31" s="2">
        <v>2024</v>
      </c>
    </row>
    <row r="32" spans="1:8">
      <c r="A32" s="3" t="s">
        <v>812</v>
      </c>
      <c r="B32" s="3" t="s">
        <v>89</v>
      </c>
      <c r="C32" s="3" t="s">
        <v>116</v>
      </c>
      <c r="D32" s="3" t="s">
        <v>81</v>
      </c>
      <c r="E32" s="3">
        <v>79690</v>
      </c>
      <c r="F32" s="3">
        <v>63592620</v>
      </c>
      <c r="G32" s="3">
        <v>798</v>
      </c>
      <c r="H32" s="3">
        <v>2024</v>
      </c>
    </row>
    <row r="33" spans="1:8">
      <c r="A33" s="2" t="s">
        <v>813</v>
      </c>
      <c r="B33" s="2" t="s">
        <v>96</v>
      </c>
      <c r="C33" s="2" t="s">
        <v>146</v>
      </c>
      <c r="D33" s="2" t="s">
        <v>111</v>
      </c>
      <c r="E33" s="2">
        <v>138568</v>
      </c>
      <c r="F33" s="2">
        <v>417089680</v>
      </c>
      <c r="G33" s="2">
        <v>3010</v>
      </c>
      <c r="H33" s="2">
        <v>2022</v>
      </c>
    </row>
    <row r="34" spans="1:8">
      <c r="A34" s="3" t="s">
        <v>814</v>
      </c>
      <c r="B34" s="3" t="s">
        <v>96</v>
      </c>
      <c r="C34" s="3" t="s">
        <v>208</v>
      </c>
      <c r="D34" s="3" t="s">
        <v>111</v>
      </c>
      <c r="E34" s="3">
        <v>106157</v>
      </c>
      <c r="F34" s="3">
        <v>408279822</v>
      </c>
      <c r="G34" s="3">
        <v>3846</v>
      </c>
      <c r="H34" s="3">
        <v>2022</v>
      </c>
    </row>
    <row r="35" spans="1:8">
      <c r="A35" s="2" t="s">
        <v>815</v>
      </c>
      <c r="B35" s="2" t="s">
        <v>85</v>
      </c>
      <c r="C35" s="2" t="s">
        <v>88</v>
      </c>
      <c r="D35" s="2" t="s">
        <v>81</v>
      </c>
      <c r="E35" s="2">
        <v>99659</v>
      </c>
      <c r="F35" s="2">
        <v>87500602</v>
      </c>
      <c r="G35" s="2">
        <v>878</v>
      </c>
      <c r="H35" s="2">
        <v>2025</v>
      </c>
    </row>
    <row r="36" spans="1:8">
      <c r="A36" s="3" t="s">
        <v>816</v>
      </c>
      <c r="B36" s="3" t="s">
        <v>107</v>
      </c>
      <c r="C36" s="3" t="s">
        <v>94</v>
      </c>
      <c r="D36" s="3" t="s">
        <v>95</v>
      </c>
      <c r="E36" s="3">
        <v>100790</v>
      </c>
      <c r="F36" s="3">
        <v>483489630</v>
      </c>
      <c r="G36" s="3">
        <v>4797</v>
      </c>
      <c r="H36" s="3">
        <v>2025</v>
      </c>
    </row>
    <row r="37" spans="1:8">
      <c r="A37" s="2" t="s">
        <v>817</v>
      </c>
      <c r="B37" s="2" t="s">
        <v>89</v>
      </c>
      <c r="C37" s="2" t="s">
        <v>88</v>
      </c>
      <c r="D37" s="2" t="s">
        <v>81</v>
      </c>
      <c r="E37" s="2">
        <v>22703</v>
      </c>
      <c r="F37" s="2">
        <v>9240121</v>
      </c>
      <c r="G37" s="2">
        <v>407</v>
      </c>
      <c r="H37" s="2">
        <v>2022</v>
      </c>
    </row>
    <row r="38" spans="1:8">
      <c r="A38" s="3" t="s">
        <v>818</v>
      </c>
      <c r="B38" s="3" t="s">
        <v>82</v>
      </c>
      <c r="C38" s="3" t="s">
        <v>120</v>
      </c>
      <c r="D38" s="3" t="s">
        <v>95</v>
      </c>
      <c r="E38" s="3">
        <v>137804</v>
      </c>
      <c r="F38" s="3">
        <v>630315496</v>
      </c>
      <c r="G38" s="3">
        <v>4574</v>
      </c>
      <c r="H38" s="3">
        <v>2025</v>
      </c>
    </row>
    <row r="39" spans="1:8">
      <c r="A39" s="2" t="s">
        <v>819</v>
      </c>
      <c r="B39" s="2" t="s">
        <v>100</v>
      </c>
      <c r="C39" s="2" t="s">
        <v>120</v>
      </c>
      <c r="D39" s="2" t="s">
        <v>95</v>
      </c>
      <c r="E39" s="2">
        <v>26607</v>
      </c>
      <c r="F39" s="2">
        <v>111669579</v>
      </c>
      <c r="G39" s="2">
        <v>4197</v>
      </c>
      <c r="H39" s="2">
        <v>2023</v>
      </c>
    </row>
    <row r="40" spans="1:8">
      <c r="A40" s="3" t="s">
        <v>820</v>
      </c>
      <c r="B40" s="3" t="s">
        <v>117</v>
      </c>
      <c r="C40" s="3" t="s">
        <v>126</v>
      </c>
      <c r="D40" s="3" t="s">
        <v>81</v>
      </c>
      <c r="E40" s="3">
        <v>86240</v>
      </c>
      <c r="F40" s="3">
        <v>37945600</v>
      </c>
      <c r="G40" s="3">
        <v>440</v>
      </c>
      <c r="H40" s="3">
        <v>2023</v>
      </c>
    </row>
    <row r="41" spans="1:8">
      <c r="A41" s="2" t="s">
        <v>821</v>
      </c>
      <c r="B41" s="2" t="s">
        <v>85</v>
      </c>
      <c r="C41" s="2" t="s">
        <v>103</v>
      </c>
      <c r="D41" s="2" t="s">
        <v>95</v>
      </c>
      <c r="E41" s="2">
        <v>107427</v>
      </c>
      <c r="F41" s="2">
        <v>493949346</v>
      </c>
      <c r="G41" s="2">
        <v>4598</v>
      </c>
      <c r="H41" s="2">
        <v>2022</v>
      </c>
    </row>
    <row r="42" spans="1:8">
      <c r="A42" s="3" t="s">
        <v>822</v>
      </c>
      <c r="B42" s="3" t="s">
        <v>117</v>
      </c>
      <c r="C42" s="3" t="s">
        <v>94</v>
      </c>
      <c r="D42" s="3" t="s">
        <v>95</v>
      </c>
      <c r="E42" s="3">
        <v>67557</v>
      </c>
      <c r="F42" s="3">
        <v>202738557</v>
      </c>
      <c r="G42" s="3">
        <v>3001</v>
      </c>
      <c r="H42" s="3">
        <v>2025</v>
      </c>
    </row>
    <row r="43" spans="1:8">
      <c r="A43" s="2" t="s">
        <v>823</v>
      </c>
      <c r="B43" s="2" t="s">
        <v>89</v>
      </c>
      <c r="C43" s="2" t="s">
        <v>203</v>
      </c>
      <c r="D43" s="2" t="s">
        <v>95</v>
      </c>
      <c r="E43" s="2">
        <v>19425</v>
      </c>
      <c r="F43" s="2">
        <v>91841400</v>
      </c>
      <c r="G43" s="2">
        <v>4728</v>
      </c>
      <c r="H43" s="2">
        <v>2023</v>
      </c>
    </row>
    <row r="44" spans="1:8">
      <c r="A44" s="3" t="s">
        <v>824</v>
      </c>
      <c r="B44" s="3" t="s">
        <v>89</v>
      </c>
      <c r="C44" s="3" t="s">
        <v>88</v>
      </c>
      <c r="D44" s="3" t="s">
        <v>81</v>
      </c>
      <c r="E44" s="3">
        <v>40969</v>
      </c>
      <c r="F44" s="3">
        <v>31095471</v>
      </c>
      <c r="G44" s="3">
        <v>759</v>
      </c>
      <c r="H44" s="3">
        <v>2025</v>
      </c>
    </row>
    <row r="46" spans="1:8" ht="15.6">
      <c r="A46" s="7" t="s">
        <v>209</v>
      </c>
    </row>
    <row r="47" spans="1:8">
      <c r="A47" s="96" t="s">
        <v>825</v>
      </c>
      <c r="B47" s="96"/>
      <c r="C47" s="96"/>
      <c r="D47" s="96"/>
      <c r="E47" s="96"/>
      <c r="F47" s="96"/>
    </row>
    <row r="48" spans="1:8">
      <c r="A48" s="96" t="s">
        <v>826</v>
      </c>
      <c r="B48" s="96"/>
      <c r="C48" s="96"/>
      <c r="D48" s="96"/>
      <c r="E48" s="96"/>
      <c r="F48" s="96"/>
    </row>
    <row r="49" spans="1:6">
      <c r="A49" s="96" t="s">
        <v>827</v>
      </c>
      <c r="B49" s="96"/>
      <c r="C49" s="96"/>
      <c r="D49" s="96"/>
      <c r="E49" s="96"/>
      <c r="F49" s="96"/>
    </row>
    <row r="50" spans="1:6">
      <c r="A50" s="96" t="s">
        <v>828</v>
      </c>
      <c r="B50" s="96"/>
      <c r="C50" s="96"/>
      <c r="D50" s="96"/>
      <c r="E50" s="96"/>
      <c r="F50" s="96"/>
    </row>
    <row r="51" spans="1:6">
      <c r="A51" s="96" t="s">
        <v>829</v>
      </c>
      <c r="B51" s="96"/>
      <c r="C51" s="96"/>
      <c r="D51" s="96"/>
      <c r="E51" s="96"/>
      <c r="F51" s="96"/>
    </row>
    <row r="52" spans="1:6">
      <c r="A52" s="96" t="s">
        <v>830</v>
      </c>
      <c r="B52" s="96"/>
      <c r="C52" s="96"/>
      <c r="D52" s="96"/>
      <c r="E52" s="96"/>
      <c r="F52" s="96"/>
    </row>
  </sheetData>
  <mergeCells count="8">
    <mergeCell ref="A50:F50"/>
    <mergeCell ref="A51:F51"/>
    <mergeCell ref="A52:F52"/>
    <mergeCell ref="A1:H1"/>
    <mergeCell ref="A2:H2"/>
    <mergeCell ref="A47:F47"/>
    <mergeCell ref="A48:F48"/>
    <mergeCell ref="A49:F4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B2A4A"/>
  </sheetPr>
  <dimension ref="A1:K48"/>
  <sheetViews>
    <sheetView topLeftCell="A31" zoomScaleNormal="100" workbookViewId="0">
      <selection activeCell="A43" sqref="A43:F48"/>
    </sheetView>
  </sheetViews>
  <sheetFormatPr defaultColWidth="8.6640625" defaultRowHeight="14.4"/>
  <cols>
    <col min="1" max="1" width="12" customWidth="1"/>
    <col min="2" max="2" width="14" customWidth="1"/>
    <col min="3" max="5" width="18" customWidth="1"/>
    <col min="6" max="11" width="16" customWidth="1"/>
  </cols>
  <sheetData>
    <row r="1" spans="1:11" ht="17.399999999999999">
      <c r="A1" s="134" t="s">
        <v>832</v>
      </c>
      <c r="B1" s="134"/>
      <c r="C1" s="134"/>
      <c r="D1" s="134"/>
      <c r="E1" s="134"/>
      <c r="F1" s="134"/>
      <c r="G1" s="134"/>
    </row>
    <row r="2" spans="1:11">
      <c r="A2" s="119" t="s">
        <v>833</v>
      </c>
      <c r="B2" s="119"/>
      <c r="C2" s="119"/>
      <c r="D2" s="119"/>
      <c r="E2" s="119"/>
      <c r="F2" s="119"/>
      <c r="G2" s="119"/>
    </row>
    <row r="4" spans="1:11">
      <c r="A4" s="1" t="s">
        <v>219</v>
      </c>
      <c r="B4" s="1" t="s">
        <v>834</v>
      </c>
      <c r="C4" s="1" t="s">
        <v>835</v>
      </c>
      <c r="D4" s="1" t="s">
        <v>836</v>
      </c>
      <c r="E4" s="1" t="s">
        <v>837</v>
      </c>
      <c r="F4" s="4" t="s">
        <v>838</v>
      </c>
      <c r="G4" s="4" t="s">
        <v>839</v>
      </c>
      <c r="H4" s="4" t="s">
        <v>840</v>
      </c>
      <c r="I4" s="4" t="s">
        <v>841</v>
      </c>
      <c r="J4" s="4" t="s">
        <v>842</v>
      </c>
      <c r="K4" s="4" t="s">
        <v>843</v>
      </c>
    </row>
    <row r="5" spans="1:11">
      <c r="A5" s="2" t="s">
        <v>844</v>
      </c>
      <c r="B5" s="2">
        <v>25000000</v>
      </c>
      <c r="C5" s="2">
        <v>713955</v>
      </c>
      <c r="D5" s="2">
        <v>583077</v>
      </c>
      <c r="E5" s="2">
        <v>559427</v>
      </c>
      <c r="F5" s="9">
        <f t="shared" ref="F5:F40" si="0">D5-C5</f>
        <v>-130878</v>
      </c>
      <c r="G5" s="9">
        <f t="shared" ref="G5:G40" si="1">D5-E5</f>
        <v>23650</v>
      </c>
      <c r="H5" s="10">
        <f t="shared" ref="H5:H40" si="2">D5/C5</f>
        <v>0.81668592558354514</v>
      </c>
      <c r="I5" s="10">
        <f t="shared" ref="I5:I40" si="3">D5/E5</f>
        <v>1.0422753996499989</v>
      </c>
      <c r="J5" s="9">
        <f t="shared" ref="J5:J40" si="4">B5/I5</f>
        <v>23985982.983379554</v>
      </c>
      <c r="K5" s="9">
        <f t="shared" ref="K5:K40" si="5">(B5-D5)/I5</f>
        <v>23426555.983379554</v>
      </c>
    </row>
    <row r="6" spans="1:11">
      <c r="A6" s="3" t="s">
        <v>845</v>
      </c>
      <c r="B6" s="3">
        <v>25000000</v>
      </c>
      <c r="C6" s="3">
        <v>1375080</v>
      </c>
      <c r="D6" s="3">
        <v>1314419</v>
      </c>
      <c r="E6" s="3">
        <v>1552686</v>
      </c>
      <c r="F6" s="9">
        <f t="shared" si="0"/>
        <v>-60661</v>
      </c>
      <c r="G6" s="9">
        <f t="shared" si="1"/>
        <v>-238267</v>
      </c>
      <c r="H6" s="10">
        <f t="shared" si="2"/>
        <v>0.95588547575413796</v>
      </c>
      <c r="I6" s="10">
        <f t="shared" si="3"/>
        <v>0.84654527702317151</v>
      </c>
      <c r="J6" s="9">
        <f t="shared" si="4"/>
        <v>29531793.134457123</v>
      </c>
      <c r="K6" s="9">
        <f t="shared" si="5"/>
        <v>27979107.134457123</v>
      </c>
    </row>
    <row r="7" spans="1:11">
      <c r="A7" s="2" t="s">
        <v>846</v>
      </c>
      <c r="B7" s="2">
        <v>25000000</v>
      </c>
      <c r="C7" s="2">
        <v>1996674</v>
      </c>
      <c r="D7" s="2">
        <v>1848591</v>
      </c>
      <c r="E7" s="2">
        <v>2172516</v>
      </c>
      <c r="F7" s="9">
        <f t="shared" si="0"/>
        <v>-148083</v>
      </c>
      <c r="G7" s="9">
        <f t="shared" si="1"/>
        <v>-323925</v>
      </c>
      <c r="H7" s="10">
        <f t="shared" si="2"/>
        <v>0.92583516387752829</v>
      </c>
      <c r="I7" s="10">
        <f t="shared" si="3"/>
        <v>0.85089868152869763</v>
      </c>
      <c r="J7" s="9">
        <f t="shared" si="4"/>
        <v>29380701.301694099</v>
      </c>
      <c r="K7" s="9">
        <f t="shared" si="5"/>
        <v>27208185.301694099</v>
      </c>
    </row>
    <row r="8" spans="1:11">
      <c r="A8" s="3" t="s">
        <v>847</v>
      </c>
      <c r="B8" s="3">
        <v>25000000</v>
      </c>
      <c r="C8" s="3">
        <v>2659718</v>
      </c>
      <c r="D8" s="3">
        <v>2790438</v>
      </c>
      <c r="E8" s="3">
        <v>2676937</v>
      </c>
      <c r="F8" s="9">
        <f t="shared" si="0"/>
        <v>130720</v>
      </c>
      <c r="G8" s="9">
        <f t="shared" si="1"/>
        <v>113501</v>
      </c>
      <c r="H8" s="10">
        <f t="shared" si="2"/>
        <v>1.049148067577089</v>
      </c>
      <c r="I8" s="10">
        <f t="shared" si="3"/>
        <v>1.0423995783240323</v>
      </c>
      <c r="J8" s="9">
        <f t="shared" si="4"/>
        <v>23983125.588169314</v>
      </c>
      <c r="K8" s="9">
        <f t="shared" si="5"/>
        <v>21306188.588169314</v>
      </c>
    </row>
    <row r="9" spans="1:11">
      <c r="A9" s="2" t="s">
        <v>848</v>
      </c>
      <c r="B9" s="2">
        <v>25000000</v>
      </c>
      <c r="C9" s="2">
        <v>3522912</v>
      </c>
      <c r="D9" s="2">
        <v>3497510</v>
      </c>
      <c r="E9" s="2">
        <v>3244267</v>
      </c>
      <c r="F9" s="9">
        <f t="shared" si="0"/>
        <v>-25402</v>
      </c>
      <c r="G9" s="9">
        <f t="shared" si="1"/>
        <v>253243</v>
      </c>
      <c r="H9" s="10">
        <f t="shared" si="2"/>
        <v>0.99278948778737586</v>
      </c>
      <c r="I9" s="10">
        <f t="shared" si="3"/>
        <v>1.0780586184799217</v>
      </c>
      <c r="J9" s="9">
        <f t="shared" si="4"/>
        <v>23189833.624492854</v>
      </c>
      <c r="K9" s="9">
        <f t="shared" si="5"/>
        <v>19945566.624492854</v>
      </c>
    </row>
    <row r="10" spans="1:11">
      <c r="A10" s="3" t="s">
        <v>849</v>
      </c>
      <c r="B10" s="3">
        <v>25000000</v>
      </c>
      <c r="C10" s="3">
        <v>4311364</v>
      </c>
      <c r="D10" s="3">
        <v>4279745</v>
      </c>
      <c r="E10" s="3">
        <v>4009086</v>
      </c>
      <c r="F10" s="9">
        <f t="shared" si="0"/>
        <v>-31619</v>
      </c>
      <c r="G10" s="9">
        <f t="shared" si="1"/>
        <v>270659</v>
      </c>
      <c r="H10" s="10">
        <f t="shared" si="2"/>
        <v>0.99266612607982063</v>
      </c>
      <c r="I10" s="10">
        <f t="shared" si="3"/>
        <v>1.0675113978597615</v>
      </c>
      <c r="J10" s="9">
        <f t="shared" si="4"/>
        <v>23418953.69934424</v>
      </c>
      <c r="K10" s="9">
        <f t="shared" si="5"/>
        <v>19409867.69934424</v>
      </c>
    </row>
    <row r="11" spans="1:11">
      <c r="A11" s="2" t="s">
        <v>850</v>
      </c>
      <c r="B11" s="2">
        <v>25000000</v>
      </c>
      <c r="C11" s="2">
        <v>5076108</v>
      </c>
      <c r="D11" s="2">
        <v>3884193</v>
      </c>
      <c r="E11" s="2">
        <v>4572625</v>
      </c>
      <c r="F11" s="9">
        <f t="shared" si="0"/>
        <v>-1191915</v>
      </c>
      <c r="G11" s="9">
        <f t="shared" si="1"/>
        <v>-688432</v>
      </c>
      <c r="H11" s="10">
        <f t="shared" si="2"/>
        <v>0.76519116614540117</v>
      </c>
      <c r="I11" s="10">
        <f t="shared" si="3"/>
        <v>0.8494449030917689</v>
      </c>
      <c r="J11" s="9">
        <f t="shared" si="4"/>
        <v>29430984.763115533</v>
      </c>
      <c r="K11" s="9">
        <f t="shared" si="5"/>
        <v>24858359.763115533</v>
      </c>
    </row>
    <row r="12" spans="1:11">
      <c r="A12" s="3" t="s">
        <v>851</v>
      </c>
      <c r="B12" s="3">
        <v>25000000</v>
      </c>
      <c r="C12" s="3">
        <v>5518420</v>
      </c>
      <c r="D12" s="3">
        <v>5338129</v>
      </c>
      <c r="E12" s="3">
        <v>5598832</v>
      </c>
      <c r="F12" s="9">
        <f t="shared" si="0"/>
        <v>-180291</v>
      </c>
      <c r="G12" s="9">
        <f t="shared" si="1"/>
        <v>-260703</v>
      </c>
      <c r="H12" s="10">
        <f t="shared" si="2"/>
        <v>0.9673292355420573</v>
      </c>
      <c r="I12" s="10">
        <f t="shared" si="3"/>
        <v>0.95343618097488902</v>
      </c>
      <c r="J12" s="9">
        <f t="shared" si="4"/>
        <v>26220947.451813173</v>
      </c>
      <c r="K12" s="9">
        <f t="shared" si="5"/>
        <v>20622115.451813173</v>
      </c>
    </row>
    <row r="13" spans="1:11">
      <c r="A13" s="2" t="s">
        <v>852</v>
      </c>
      <c r="B13" s="2">
        <v>25000000</v>
      </c>
      <c r="C13" s="2">
        <v>6176705</v>
      </c>
      <c r="D13" s="2">
        <v>5423142</v>
      </c>
      <c r="E13" s="2">
        <v>5456673</v>
      </c>
      <c r="F13" s="9">
        <f t="shared" si="0"/>
        <v>-753563</v>
      </c>
      <c r="G13" s="9">
        <f t="shared" si="1"/>
        <v>-33531</v>
      </c>
      <c r="H13" s="10">
        <f t="shared" si="2"/>
        <v>0.87799919212589883</v>
      </c>
      <c r="I13" s="10">
        <f t="shared" si="3"/>
        <v>0.9938550468389804</v>
      </c>
      <c r="J13" s="9">
        <f t="shared" si="4"/>
        <v>25154573.677030772</v>
      </c>
      <c r="K13" s="9">
        <f t="shared" si="5"/>
        <v>19697900.677030772</v>
      </c>
    </row>
    <row r="14" spans="1:11">
      <c r="A14" s="3" t="s">
        <v>853</v>
      </c>
      <c r="B14" s="3">
        <v>25000000</v>
      </c>
      <c r="C14" s="3">
        <v>7227989</v>
      </c>
      <c r="D14" s="3">
        <v>6017261</v>
      </c>
      <c r="E14" s="3">
        <v>6220665</v>
      </c>
      <c r="F14" s="9">
        <f t="shared" si="0"/>
        <v>-1210728</v>
      </c>
      <c r="G14" s="9">
        <f t="shared" si="1"/>
        <v>-203404</v>
      </c>
      <c r="H14" s="10">
        <f t="shared" si="2"/>
        <v>0.83249448774756019</v>
      </c>
      <c r="I14" s="10">
        <f t="shared" si="3"/>
        <v>0.96730188814218421</v>
      </c>
      <c r="J14" s="9">
        <f t="shared" si="4"/>
        <v>25845085.496540699</v>
      </c>
      <c r="K14" s="9">
        <f t="shared" si="5"/>
        <v>19624420.496540699</v>
      </c>
    </row>
    <row r="15" spans="1:11">
      <c r="A15" s="2" t="s">
        <v>854</v>
      </c>
      <c r="B15" s="2">
        <v>25000000</v>
      </c>
      <c r="C15" s="2">
        <v>7370482</v>
      </c>
      <c r="D15" s="2">
        <v>6885739</v>
      </c>
      <c r="E15" s="2">
        <v>7471668</v>
      </c>
      <c r="F15" s="9">
        <f t="shared" si="0"/>
        <v>-484743</v>
      </c>
      <c r="G15" s="9">
        <f t="shared" si="1"/>
        <v>-585929</v>
      </c>
      <c r="H15" s="10">
        <f t="shared" si="2"/>
        <v>0.93423184535285486</v>
      </c>
      <c r="I15" s="10">
        <f t="shared" si="3"/>
        <v>0.92157989353916692</v>
      </c>
      <c r="J15" s="9">
        <f t="shared" si="4"/>
        <v>27127327.945482686</v>
      </c>
      <c r="K15" s="9">
        <f t="shared" si="5"/>
        <v>19655659.945482686</v>
      </c>
    </row>
    <row r="16" spans="1:11">
      <c r="A16" s="3" t="s">
        <v>855</v>
      </c>
      <c r="B16" s="3">
        <v>25000000</v>
      </c>
      <c r="C16" s="3">
        <v>8456065</v>
      </c>
      <c r="D16" s="3">
        <v>7607646</v>
      </c>
      <c r="E16" s="3">
        <v>8861641</v>
      </c>
      <c r="F16" s="9">
        <f t="shared" si="0"/>
        <v>-848419</v>
      </c>
      <c r="G16" s="9">
        <f t="shared" si="1"/>
        <v>-1253995</v>
      </c>
      <c r="H16" s="10">
        <f t="shared" si="2"/>
        <v>0.89966739848854049</v>
      </c>
      <c r="I16" s="10">
        <f t="shared" si="3"/>
        <v>0.85849178498655043</v>
      </c>
      <c r="J16" s="9">
        <f t="shared" si="4"/>
        <v>29120837.772945799</v>
      </c>
      <c r="K16" s="9">
        <f t="shared" si="5"/>
        <v>20259196.772945799</v>
      </c>
    </row>
    <row r="17" spans="1:11">
      <c r="A17" s="2" t="s">
        <v>856</v>
      </c>
      <c r="B17" s="2">
        <v>25000000</v>
      </c>
      <c r="C17" s="2">
        <v>9008847</v>
      </c>
      <c r="D17" s="2">
        <v>6993716</v>
      </c>
      <c r="E17" s="2">
        <v>7097954</v>
      </c>
      <c r="F17" s="9">
        <f t="shared" si="0"/>
        <v>-2015131</v>
      </c>
      <c r="G17" s="9">
        <f t="shared" si="1"/>
        <v>-104238</v>
      </c>
      <c r="H17" s="10">
        <f t="shared" si="2"/>
        <v>0.77631643649847759</v>
      </c>
      <c r="I17" s="10">
        <f t="shared" si="3"/>
        <v>0.98531435960278135</v>
      </c>
      <c r="J17" s="9">
        <f t="shared" si="4"/>
        <v>25372613.071505904</v>
      </c>
      <c r="K17" s="9">
        <f t="shared" si="5"/>
        <v>18274659.071505904</v>
      </c>
    </row>
    <row r="18" spans="1:11">
      <c r="A18" s="3" t="s">
        <v>857</v>
      </c>
      <c r="B18" s="3">
        <v>25000000</v>
      </c>
      <c r="C18" s="3">
        <v>9643700</v>
      </c>
      <c r="D18" s="3">
        <v>9092039</v>
      </c>
      <c r="E18" s="3">
        <v>10357281</v>
      </c>
      <c r="F18" s="9">
        <f t="shared" si="0"/>
        <v>-551661</v>
      </c>
      <c r="G18" s="9">
        <f t="shared" si="1"/>
        <v>-1265242</v>
      </c>
      <c r="H18" s="10">
        <f t="shared" si="2"/>
        <v>0.94279571118968863</v>
      </c>
      <c r="I18" s="10">
        <f t="shared" si="3"/>
        <v>0.87784033280549212</v>
      </c>
      <c r="J18" s="9">
        <f t="shared" si="4"/>
        <v>28478983.097190849</v>
      </c>
      <c r="K18" s="9">
        <f t="shared" si="5"/>
        <v>18121702.097190849</v>
      </c>
    </row>
    <row r="19" spans="1:11">
      <c r="A19" s="2" t="s">
        <v>858</v>
      </c>
      <c r="B19" s="2">
        <v>25000000</v>
      </c>
      <c r="C19" s="2">
        <v>10155362</v>
      </c>
      <c r="D19" s="2">
        <v>10645116</v>
      </c>
      <c r="E19" s="2">
        <v>11316790</v>
      </c>
      <c r="F19" s="9">
        <f t="shared" si="0"/>
        <v>489754</v>
      </c>
      <c r="G19" s="9">
        <f t="shared" si="1"/>
        <v>-671674</v>
      </c>
      <c r="H19" s="10">
        <f t="shared" si="2"/>
        <v>1.0482261489053764</v>
      </c>
      <c r="I19" s="10">
        <f t="shared" si="3"/>
        <v>0.94064801061078274</v>
      </c>
      <c r="J19" s="9">
        <f t="shared" si="4"/>
        <v>26577422.923338741</v>
      </c>
      <c r="K19" s="9">
        <f t="shared" si="5"/>
        <v>15260632.923338741</v>
      </c>
    </row>
    <row r="20" spans="1:11">
      <c r="A20" s="3" t="s">
        <v>859</v>
      </c>
      <c r="B20" s="3">
        <v>25000000</v>
      </c>
      <c r="C20" s="3">
        <v>10577255</v>
      </c>
      <c r="D20" s="3">
        <v>9146675</v>
      </c>
      <c r="E20" s="3">
        <v>10189498</v>
      </c>
      <c r="F20" s="9">
        <f t="shared" si="0"/>
        <v>-1430580</v>
      </c>
      <c r="G20" s="9">
        <f t="shared" si="1"/>
        <v>-1042823</v>
      </c>
      <c r="H20" s="10">
        <f t="shared" si="2"/>
        <v>0.86474940804584932</v>
      </c>
      <c r="I20" s="10">
        <f t="shared" si="3"/>
        <v>0.89765707790511373</v>
      </c>
      <c r="J20" s="9">
        <f t="shared" si="4"/>
        <v>27850278.926495146</v>
      </c>
      <c r="K20" s="9">
        <f t="shared" si="5"/>
        <v>17660780.926495146</v>
      </c>
    </row>
    <row r="21" spans="1:11">
      <c r="A21" s="2" t="s">
        <v>860</v>
      </c>
      <c r="B21" s="2">
        <v>25000000</v>
      </c>
      <c r="C21" s="2">
        <v>11781571</v>
      </c>
      <c r="D21" s="2">
        <v>11598138</v>
      </c>
      <c r="E21" s="2">
        <v>11635370</v>
      </c>
      <c r="F21" s="9">
        <f t="shared" si="0"/>
        <v>-183433</v>
      </c>
      <c r="G21" s="9">
        <f t="shared" si="1"/>
        <v>-37232</v>
      </c>
      <c r="H21" s="10">
        <f t="shared" si="2"/>
        <v>0.98443051440253593</v>
      </c>
      <c r="I21" s="10">
        <f t="shared" si="3"/>
        <v>0.99680010175868927</v>
      </c>
      <c r="J21" s="9">
        <f t="shared" si="4"/>
        <v>25080254.261503011</v>
      </c>
      <c r="K21" s="9">
        <f t="shared" si="5"/>
        <v>13444884.261503009</v>
      </c>
    </row>
    <row r="22" spans="1:11">
      <c r="A22" s="3" t="s">
        <v>861</v>
      </c>
      <c r="B22" s="3">
        <v>25000000</v>
      </c>
      <c r="C22" s="3">
        <v>12582063</v>
      </c>
      <c r="D22" s="3">
        <v>10650481</v>
      </c>
      <c r="E22" s="3">
        <v>10449513</v>
      </c>
      <c r="F22" s="9">
        <f t="shared" si="0"/>
        <v>-1931582</v>
      </c>
      <c r="G22" s="9">
        <f t="shared" si="1"/>
        <v>200968</v>
      </c>
      <c r="H22" s="10">
        <f t="shared" si="2"/>
        <v>0.84648129642968728</v>
      </c>
      <c r="I22" s="10">
        <f t="shared" si="3"/>
        <v>1.0192322838394479</v>
      </c>
      <c r="J22" s="9">
        <f t="shared" si="4"/>
        <v>24528265.4370258</v>
      </c>
      <c r="K22" s="9">
        <f t="shared" si="5"/>
        <v>14078752.437025802</v>
      </c>
    </row>
    <row r="23" spans="1:11">
      <c r="A23" s="2" t="s">
        <v>862</v>
      </c>
      <c r="B23" s="2">
        <v>25000000</v>
      </c>
      <c r="C23" s="2">
        <v>12569110</v>
      </c>
      <c r="D23" s="2">
        <v>11678398</v>
      </c>
      <c r="E23" s="2">
        <v>10613223</v>
      </c>
      <c r="F23" s="9">
        <f t="shared" si="0"/>
        <v>-890712</v>
      </c>
      <c r="G23" s="9">
        <f t="shared" si="1"/>
        <v>1065175</v>
      </c>
      <c r="H23" s="10">
        <f t="shared" si="2"/>
        <v>0.92913483930047558</v>
      </c>
      <c r="I23" s="10">
        <f t="shared" si="3"/>
        <v>1.1003630094270138</v>
      </c>
      <c r="J23" s="9">
        <f t="shared" si="4"/>
        <v>22719775.006811723</v>
      </c>
      <c r="K23" s="9">
        <f t="shared" si="5"/>
        <v>12106552.006811721</v>
      </c>
    </row>
    <row r="24" spans="1:11">
      <c r="A24" s="3" t="s">
        <v>863</v>
      </c>
      <c r="B24" s="3">
        <v>25000000</v>
      </c>
      <c r="C24" s="3">
        <v>14320401</v>
      </c>
      <c r="D24" s="3">
        <v>11947221</v>
      </c>
      <c r="E24" s="3">
        <v>13650848</v>
      </c>
      <c r="F24" s="9">
        <f t="shared" si="0"/>
        <v>-2373180</v>
      </c>
      <c r="G24" s="9">
        <f t="shared" si="1"/>
        <v>-1703627</v>
      </c>
      <c r="H24" s="10">
        <f t="shared" si="2"/>
        <v>0.83427978029386185</v>
      </c>
      <c r="I24" s="10">
        <f t="shared" si="3"/>
        <v>0.87519991432034117</v>
      </c>
      <c r="J24" s="9">
        <f t="shared" si="4"/>
        <v>28564902.24797884</v>
      </c>
      <c r="K24" s="9">
        <f t="shared" si="5"/>
        <v>14914054.247978838</v>
      </c>
    </row>
    <row r="25" spans="1:11">
      <c r="A25" s="2" t="s">
        <v>864</v>
      </c>
      <c r="B25" s="2">
        <v>25000000</v>
      </c>
      <c r="C25" s="2">
        <v>14542039</v>
      </c>
      <c r="D25" s="2">
        <v>12465870</v>
      </c>
      <c r="E25" s="2">
        <v>13403261</v>
      </c>
      <c r="F25" s="9">
        <f t="shared" si="0"/>
        <v>-2076169</v>
      </c>
      <c r="G25" s="9">
        <f t="shared" si="1"/>
        <v>-937391</v>
      </c>
      <c r="H25" s="10">
        <f t="shared" si="2"/>
        <v>0.85722985614328229</v>
      </c>
      <c r="I25" s="10">
        <f t="shared" si="3"/>
        <v>0.9300624676338094</v>
      </c>
      <c r="J25" s="9">
        <f t="shared" si="4"/>
        <v>26879914.919696741</v>
      </c>
      <c r="K25" s="9">
        <f t="shared" si="5"/>
        <v>13476653.919696741</v>
      </c>
    </row>
    <row r="26" spans="1:11">
      <c r="A26" s="3" t="s">
        <v>865</v>
      </c>
      <c r="B26" s="3">
        <v>25000000</v>
      </c>
      <c r="C26" s="3">
        <v>14869497</v>
      </c>
      <c r="D26" s="3">
        <v>11864184</v>
      </c>
      <c r="E26" s="3">
        <v>11559952</v>
      </c>
      <c r="F26" s="9">
        <f t="shared" si="0"/>
        <v>-3005313</v>
      </c>
      <c r="G26" s="9">
        <f t="shared" si="1"/>
        <v>304232</v>
      </c>
      <c r="H26" s="10">
        <f t="shared" si="2"/>
        <v>0.79788737978157565</v>
      </c>
      <c r="I26" s="10">
        <f t="shared" si="3"/>
        <v>1.0263177563367045</v>
      </c>
      <c r="J26" s="9">
        <f t="shared" si="4"/>
        <v>24358927.676779117</v>
      </c>
      <c r="K26" s="9">
        <f t="shared" si="5"/>
        <v>12798975.676779119</v>
      </c>
    </row>
    <row r="27" spans="1:11">
      <c r="A27" s="2" t="s">
        <v>866</v>
      </c>
      <c r="B27" s="2">
        <v>25000000</v>
      </c>
      <c r="C27" s="2">
        <v>15558785</v>
      </c>
      <c r="D27" s="2">
        <v>14160157</v>
      </c>
      <c r="E27" s="2">
        <v>16105354</v>
      </c>
      <c r="F27" s="9">
        <f t="shared" si="0"/>
        <v>-1398628</v>
      </c>
      <c r="G27" s="9">
        <f t="shared" si="1"/>
        <v>-1945197</v>
      </c>
      <c r="H27" s="10">
        <f t="shared" si="2"/>
        <v>0.91010686245744765</v>
      </c>
      <c r="I27" s="10">
        <f t="shared" si="3"/>
        <v>0.87922047537731862</v>
      </c>
      <c r="J27" s="9">
        <f t="shared" si="4"/>
        <v>28434278.659480967</v>
      </c>
      <c r="K27" s="9">
        <f t="shared" si="5"/>
        <v>12328924.659480965</v>
      </c>
    </row>
    <row r="28" spans="1:11">
      <c r="A28" s="3" t="s">
        <v>867</v>
      </c>
      <c r="B28" s="3">
        <v>25000000</v>
      </c>
      <c r="C28" s="3">
        <v>17061766</v>
      </c>
      <c r="D28" s="3">
        <v>16707135</v>
      </c>
      <c r="E28" s="3">
        <v>19786940</v>
      </c>
      <c r="F28" s="9">
        <f t="shared" si="0"/>
        <v>-354631</v>
      </c>
      <c r="G28" s="9">
        <f t="shared" si="1"/>
        <v>-3079805</v>
      </c>
      <c r="H28" s="10">
        <f t="shared" si="2"/>
        <v>0.97921487142655694</v>
      </c>
      <c r="I28" s="10">
        <f t="shared" si="3"/>
        <v>0.84435162789193274</v>
      </c>
      <c r="J28" s="9">
        <f t="shared" si="4"/>
        <v>29608517.558516167</v>
      </c>
      <c r="K28" s="9">
        <f t="shared" si="5"/>
        <v>9821577.5585161671</v>
      </c>
    </row>
    <row r="29" spans="1:11">
      <c r="A29" s="2" t="s">
        <v>868</v>
      </c>
      <c r="B29" s="2">
        <v>25000000</v>
      </c>
      <c r="C29" s="2">
        <v>17492521</v>
      </c>
      <c r="D29" s="2">
        <v>18276175</v>
      </c>
      <c r="E29" s="2">
        <v>18578220</v>
      </c>
      <c r="F29" s="9">
        <f t="shared" si="0"/>
        <v>783654</v>
      </c>
      <c r="G29" s="9">
        <f t="shared" si="1"/>
        <v>-302045</v>
      </c>
      <c r="H29" s="10">
        <f t="shared" si="2"/>
        <v>1.0447993745441266</v>
      </c>
      <c r="I29" s="10">
        <f t="shared" si="3"/>
        <v>0.98374198389296719</v>
      </c>
      <c r="J29" s="9">
        <f t="shared" si="4"/>
        <v>25413167.689628709</v>
      </c>
      <c r="K29" s="9">
        <f t="shared" si="5"/>
        <v>6834947.68962871</v>
      </c>
    </row>
    <row r="30" spans="1:11">
      <c r="A30" s="3" t="s">
        <v>869</v>
      </c>
      <c r="B30" s="3">
        <v>25000000</v>
      </c>
      <c r="C30" s="3">
        <v>18841344</v>
      </c>
      <c r="D30" s="3">
        <v>19735602</v>
      </c>
      <c r="E30" s="3">
        <v>18790535</v>
      </c>
      <c r="F30" s="9">
        <f t="shared" si="0"/>
        <v>894258</v>
      </c>
      <c r="G30" s="9">
        <f t="shared" si="1"/>
        <v>945067</v>
      </c>
      <c r="H30" s="10">
        <f t="shared" si="2"/>
        <v>1.0474625377043167</v>
      </c>
      <c r="I30" s="10">
        <f t="shared" si="3"/>
        <v>1.0502948425896335</v>
      </c>
      <c r="J30" s="9">
        <f t="shared" si="4"/>
        <v>23802839.913370773</v>
      </c>
      <c r="K30" s="9">
        <f t="shared" si="5"/>
        <v>5012304.9133707704</v>
      </c>
    </row>
    <row r="31" spans="1:11">
      <c r="A31" s="2" t="s">
        <v>870</v>
      </c>
      <c r="B31" s="2">
        <v>25000000</v>
      </c>
      <c r="C31" s="2">
        <v>18256033</v>
      </c>
      <c r="D31" s="2">
        <v>15433674</v>
      </c>
      <c r="E31" s="2">
        <v>17307808</v>
      </c>
      <c r="F31" s="9">
        <f t="shared" si="0"/>
        <v>-2822359</v>
      </c>
      <c r="G31" s="9">
        <f t="shared" si="1"/>
        <v>-1874134</v>
      </c>
      <c r="H31" s="10">
        <f t="shared" si="2"/>
        <v>0.84540129829958133</v>
      </c>
      <c r="I31" s="10">
        <f t="shared" si="3"/>
        <v>0.89171742603107218</v>
      </c>
      <c r="J31" s="9">
        <f t="shared" si="4"/>
        <v>28035787.201414261</v>
      </c>
      <c r="K31" s="9">
        <f t="shared" si="5"/>
        <v>10727979.201414259</v>
      </c>
    </row>
    <row r="32" spans="1:11">
      <c r="A32" s="3" t="s">
        <v>871</v>
      </c>
      <c r="B32" s="3">
        <v>25000000</v>
      </c>
      <c r="C32" s="3">
        <v>19169856</v>
      </c>
      <c r="D32" s="3">
        <v>17779442</v>
      </c>
      <c r="E32" s="3">
        <v>19753597</v>
      </c>
      <c r="F32" s="9">
        <f t="shared" si="0"/>
        <v>-1390414</v>
      </c>
      <c r="G32" s="9">
        <f t="shared" si="1"/>
        <v>-1974155</v>
      </c>
      <c r="H32" s="10">
        <f t="shared" si="2"/>
        <v>0.92746873007288111</v>
      </c>
      <c r="I32" s="10">
        <f t="shared" si="3"/>
        <v>0.90006098636111687</v>
      </c>
      <c r="J32" s="9">
        <f t="shared" si="4"/>
        <v>27775895.610222191</v>
      </c>
      <c r="K32" s="9">
        <f t="shared" si="5"/>
        <v>8022298.6102221888</v>
      </c>
    </row>
    <row r="33" spans="1:11">
      <c r="A33" s="2" t="s">
        <v>872</v>
      </c>
      <c r="B33" s="2">
        <v>25000000</v>
      </c>
      <c r="C33" s="2">
        <v>19840193</v>
      </c>
      <c r="D33" s="2">
        <v>18258838</v>
      </c>
      <c r="E33" s="2">
        <v>17211341</v>
      </c>
      <c r="F33" s="9">
        <f t="shared" si="0"/>
        <v>-1581355</v>
      </c>
      <c r="G33" s="9">
        <f t="shared" si="1"/>
        <v>1047497</v>
      </c>
      <c r="H33" s="10">
        <f t="shared" si="2"/>
        <v>0.9202953822072194</v>
      </c>
      <c r="I33" s="10">
        <f t="shared" si="3"/>
        <v>1.0608608591277111</v>
      </c>
      <c r="J33" s="9">
        <f t="shared" si="4"/>
        <v>23565767.164372675</v>
      </c>
      <c r="K33" s="9">
        <f t="shared" si="5"/>
        <v>6354426.1643726733</v>
      </c>
    </row>
    <row r="34" spans="1:11">
      <c r="A34" s="3" t="s">
        <v>873</v>
      </c>
      <c r="B34" s="3">
        <v>25000000</v>
      </c>
      <c r="C34" s="3">
        <v>21767434</v>
      </c>
      <c r="D34" s="3">
        <v>21789398</v>
      </c>
      <c r="E34" s="3">
        <v>24907904</v>
      </c>
      <c r="F34" s="9">
        <f t="shared" si="0"/>
        <v>21964</v>
      </c>
      <c r="G34" s="9">
        <f t="shared" si="1"/>
        <v>-3118506</v>
      </c>
      <c r="H34" s="10">
        <f t="shared" si="2"/>
        <v>1.0010090302789019</v>
      </c>
      <c r="I34" s="10">
        <f t="shared" si="3"/>
        <v>0.87479853784565731</v>
      </c>
      <c r="J34" s="9">
        <f t="shared" si="4"/>
        <v>28578008.442454446</v>
      </c>
      <c r="K34" s="9">
        <f t="shared" si="5"/>
        <v>3670104.4424544452</v>
      </c>
    </row>
    <row r="35" spans="1:11">
      <c r="A35" s="2" t="s">
        <v>874</v>
      </c>
      <c r="B35" s="2">
        <v>25000000</v>
      </c>
      <c r="C35" s="2">
        <v>22540417</v>
      </c>
      <c r="D35" s="2">
        <v>20571227</v>
      </c>
      <c r="E35" s="2">
        <v>19597529</v>
      </c>
      <c r="F35" s="9">
        <f t="shared" si="0"/>
        <v>-1969190</v>
      </c>
      <c r="G35" s="9">
        <f t="shared" si="1"/>
        <v>973698</v>
      </c>
      <c r="H35" s="10">
        <f t="shared" si="2"/>
        <v>0.91263737489860985</v>
      </c>
      <c r="I35" s="10">
        <f t="shared" si="3"/>
        <v>1.0496847332130494</v>
      </c>
      <c r="J35" s="9">
        <f t="shared" si="4"/>
        <v>23816674.863390502</v>
      </c>
      <c r="K35" s="9">
        <f t="shared" si="5"/>
        <v>4219145.8633905016</v>
      </c>
    </row>
    <row r="36" spans="1:11">
      <c r="A36" s="3" t="s">
        <v>875</v>
      </c>
      <c r="B36" s="3">
        <v>25000000</v>
      </c>
      <c r="C36" s="3">
        <v>21195474</v>
      </c>
      <c r="D36" s="3">
        <v>16253757</v>
      </c>
      <c r="E36" s="3">
        <v>17562165</v>
      </c>
      <c r="F36" s="9">
        <f t="shared" si="0"/>
        <v>-4941717</v>
      </c>
      <c r="G36" s="9">
        <f t="shared" si="1"/>
        <v>-1308408</v>
      </c>
      <c r="H36" s="10">
        <f t="shared" si="2"/>
        <v>0.76685036626215575</v>
      </c>
      <c r="I36" s="10">
        <f t="shared" si="3"/>
        <v>0.92549847925924855</v>
      </c>
      <c r="J36" s="9">
        <f t="shared" si="4"/>
        <v>27012470.101527911</v>
      </c>
      <c r="K36" s="9">
        <f t="shared" si="5"/>
        <v>9450305.1015279107</v>
      </c>
    </row>
    <row r="37" spans="1:11">
      <c r="A37" s="2" t="s">
        <v>876</v>
      </c>
      <c r="B37" s="2">
        <v>25000000</v>
      </c>
      <c r="C37" s="2">
        <v>21816501</v>
      </c>
      <c r="D37" s="2">
        <v>19490789</v>
      </c>
      <c r="E37" s="2">
        <v>19481437</v>
      </c>
      <c r="F37" s="9">
        <f t="shared" si="0"/>
        <v>-2325712</v>
      </c>
      <c r="G37" s="9">
        <f t="shared" si="1"/>
        <v>9352</v>
      </c>
      <c r="H37" s="10">
        <f t="shared" si="2"/>
        <v>0.89339665421141545</v>
      </c>
      <c r="I37" s="10">
        <f t="shared" si="3"/>
        <v>1.0004800467234527</v>
      </c>
      <c r="J37" s="9">
        <f t="shared" si="4"/>
        <v>24988004.590270821</v>
      </c>
      <c r="K37" s="9">
        <f t="shared" si="5"/>
        <v>5506567.5902708201</v>
      </c>
    </row>
    <row r="38" spans="1:11">
      <c r="A38" s="3" t="s">
        <v>877</v>
      </c>
      <c r="B38" s="3">
        <v>25000000</v>
      </c>
      <c r="C38" s="3">
        <v>23880595</v>
      </c>
      <c r="D38" s="3">
        <v>23687965</v>
      </c>
      <c r="E38" s="3">
        <v>23740734</v>
      </c>
      <c r="F38" s="9">
        <f t="shared" si="0"/>
        <v>-192630</v>
      </c>
      <c r="G38" s="9">
        <f t="shared" si="1"/>
        <v>-52769</v>
      </c>
      <c r="H38" s="10">
        <f t="shared" si="2"/>
        <v>0.99193361806939906</v>
      </c>
      <c r="I38" s="10">
        <f t="shared" si="3"/>
        <v>0.99777728018013256</v>
      </c>
      <c r="J38" s="9">
        <f t="shared" si="4"/>
        <v>25055691.782725956</v>
      </c>
      <c r="K38" s="9">
        <f t="shared" si="5"/>
        <v>1314957.782725954</v>
      </c>
    </row>
    <row r="39" spans="1:11">
      <c r="A39" s="2" t="s">
        <v>878</v>
      </c>
      <c r="B39" s="2">
        <v>25000000</v>
      </c>
      <c r="C39" s="2">
        <v>23521603</v>
      </c>
      <c r="D39" s="2">
        <v>23303495</v>
      </c>
      <c r="E39" s="2">
        <v>27042893</v>
      </c>
      <c r="F39" s="9">
        <f t="shared" si="0"/>
        <v>-218108</v>
      </c>
      <c r="G39" s="9">
        <f t="shared" si="1"/>
        <v>-3739398</v>
      </c>
      <c r="H39" s="10">
        <f t="shared" si="2"/>
        <v>0.99072733265670709</v>
      </c>
      <c r="I39" s="10">
        <f t="shared" si="3"/>
        <v>0.86172344800535949</v>
      </c>
      <c r="J39" s="9">
        <f t="shared" si="4"/>
        <v>29011627.869553473</v>
      </c>
      <c r="K39" s="9">
        <f t="shared" si="5"/>
        <v>1968734.8695534726</v>
      </c>
    </row>
    <row r="40" spans="1:11">
      <c r="A40" s="3" t="s">
        <v>879</v>
      </c>
      <c r="B40" s="3">
        <v>25000000</v>
      </c>
      <c r="C40" s="3">
        <v>23898889</v>
      </c>
      <c r="D40" s="3">
        <v>18983212</v>
      </c>
      <c r="E40" s="3">
        <v>21098110</v>
      </c>
      <c r="F40" s="9">
        <f t="shared" si="0"/>
        <v>-4915677</v>
      </c>
      <c r="G40" s="9">
        <f t="shared" si="1"/>
        <v>-2114898</v>
      </c>
      <c r="H40" s="10">
        <f t="shared" si="2"/>
        <v>0.79431357666877322</v>
      </c>
      <c r="I40" s="10">
        <f t="shared" si="3"/>
        <v>0.89975888835540241</v>
      </c>
      <c r="J40" s="9">
        <f t="shared" si="4"/>
        <v>27785221.489387572</v>
      </c>
      <c r="K40" s="9">
        <f t="shared" si="5"/>
        <v>6687111.4893875709</v>
      </c>
    </row>
    <row r="42" spans="1:11" ht="15.6">
      <c r="A42" s="7" t="s">
        <v>209</v>
      </c>
    </row>
    <row r="43" spans="1:11">
      <c r="A43" s="96" t="s">
        <v>880</v>
      </c>
      <c r="B43" s="96"/>
      <c r="C43" s="96"/>
      <c r="D43" s="96"/>
      <c r="E43" s="96"/>
      <c r="F43" s="96"/>
    </row>
    <row r="44" spans="1:11">
      <c r="A44" s="96" t="s">
        <v>881</v>
      </c>
      <c r="B44" s="96"/>
      <c r="C44" s="96"/>
      <c r="D44" s="96"/>
      <c r="E44" s="96"/>
      <c r="F44" s="96"/>
    </row>
    <row r="45" spans="1:11">
      <c r="A45" s="96" t="s">
        <v>882</v>
      </c>
      <c r="B45" s="96"/>
      <c r="C45" s="96"/>
      <c r="D45" s="96"/>
      <c r="E45" s="96"/>
      <c r="F45" s="96"/>
    </row>
    <row r="46" spans="1:11">
      <c r="A46" s="96" t="s">
        <v>883</v>
      </c>
      <c r="B46" s="96"/>
      <c r="C46" s="96"/>
      <c r="D46" s="96"/>
      <c r="E46" s="96"/>
      <c r="F46" s="96"/>
    </row>
    <row r="47" spans="1:11">
      <c r="A47" s="96" t="s">
        <v>884</v>
      </c>
      <c r="B47" s="96"/>
      <c r="C47" s="96"/>
      <c r="D47" s="96"/>
      <c r="E47" s="96"/>
      <c r="F47" s="96"/>
    </row>
    <row r="48" spans="1:11">
      <c r="A48" s="96" t="s">
        <v>885</v>
      </c>
      <c r="B48" s="96"/>
      <c r="C48" s="96"/>
      <c r="D48" s="96"/>
      <c r="E48" s="96"/>
      <c r="F48" s="96"/>
    </row>
  </sheetData>
  <mergeCells count="8">
    <mergeCell ref="A46:F46"/>
    <mergeCell ref="A47:F47"/>
    <mergeCell ref="A48:F48"/>
    <mergeCell ref="A1:G1"/>
    <mergeCell ref="A2:G2"/>
    <mergeCell ref="A43:F43"/>
    <mergeCell ref="A44:F44"/>
    <mergeCell ref="A45:F45"/>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F6C00"/>
  </sheetPr>
  <dimension ref="A1:H62"/>
  <sheetViews>
    <sheetView topLeftCell="A49" zoomScaleNormal="100" workbookViewId="0">
      <selection activeCell="A57" sqref="A57:F62"/>
    </sheetView>
  </sheetViews>
  <sheetFormatPr defaultColWidth="8.6640625" defaultRowHeight="14.4"/>
  <cols>
    <col min="1" max="1" width="12" customWidth="1"/>
    <col min="2" max="2" width="28" customWidth="1"/>
    <col min="3" max="5" width="14" customWidth="1"/>
    <col min="6" max="6" width="16" customWidth="1"/>
    <col min="7" max="7" width="18" customWidth="1"/>
    <col min="8" max="8" width="12" customWidth="1"/>
  </cols>
  <sheetData>
    <row r="1" spans="1:8" ht="17.399999999999999">
      <c r="A1" s="134" t="s">
        <v>898</v>
      </c>
      <c r="B1" s="134"/>
      <c r="C1" s="134"/>
      <c r="D1" s="134"/>
      <c r="E1" s="134"/>
      <c r="F1" s="134"/>
      <c r="G1" s="134"/>
      <c r="H1" s="134"/>
    </row>
    <row r="2" spans="1:8">
      <c r="A2" s="119" t="s">
        <v>899</v>
      </c>
      <c r="B2" s="119"/>
      <c r="C2" s="119"/>
      <c r="D2" s="119"/>
      <c r="E2" s="119"/>
      <c r="F2" s="119"/>
      <c r="G2" s="119"/>
      <c r="H2" s="119"/>
    </row>
    <row r="4" spans="1:8" ht="26.4">
      <c r="A4" s="1" t="s">
        <v>900</v>
      </c>
      <c r="B4" s="1" t="s">
        <v>220</v>
      </c>
      <c r="C4" s="1" t="s">
        <v>901</v>
      </c>
      <c r="D4" s="1" t="s">
        <v>902</v>
      </c>
      <c r="E4" s="1" t="s">
        <v>903</v>
      </c>
      <c r="F4" s="1" t="s">
        <v>904</v>
      </c>
      <c r="G4" s="1" t="s">
        <v>68</v>
      </c>
      <c r="H4" s="1" t="s">
        <v>71</v>
      </c>
    </row>
    <row r="5" spans="1:8">
      <c r="A5" s="2" t="s">
        <v>905</v>
      </c>
      <c r="B5" s="2" t="s">
        <v>233</v>
      </c>
      <c r="C5" s="2" t="s">
        <v>906</v>
      </c>
      <c r="D5" s="2" t="s">
        <v>907</v>
      </c>
      <c r="E5" s="2" t="s">
        <v>609</v>
      </c>
      <c r="F5" s="2" t="s">
        <v>908</v>
      </c>
      <c r="G5" s="2" t="s">
        <v>318</v>
      </c>
      <c r="H5" s="2" t="s">
        <v>81</v>
      </c>
    </row>
    <row r="6" spans="1:8">
      <c r="A6" s="3" t="s">
        <v>909</v>
      </c>
      <c r="B6" s="3" t="s">
        <v>255</v>
      </c>
      <c r="C6" s="3" t="s">
        <v>910</v>
      </c>
      <c r="D6" s="3" t="s">
        <v>911</v>
      </c>
      <c r="E6" s="3" t="s">
        <v>912</v>
      </c>
      <c r="F6" s="3" t="s">
        <v>913</v>
      </c>
      <c r="G6" s="3" t="s">
        <v>283</v>
      </c>
      <c r="H6" s="3" t="s">
        <v>111</v>
      </c>
    </row>
    <row r="7" spans="1:8">
      <c r="A7" s="2" t="s">
        <v>914</v>
      </c>
      <c r="B7" s="2" t="s">
        <v>241</v>
      </c>
      <c r="C7" s="2" t="s">
        <v>915</v>
      </c>
      <c r="D7" s="2" t="s">
        <v>619</v>
      </c>
      <c r="E7" s="2" t="s">
        <v>345</v>
      </c>
      <c r="F7" s="2" t="s">
        <v>387</v>
      </c>
      <c r="G7" s="2" t="s">
        <v>317</v>
      </c>
      <c r="H7" s="2" t="s">
        <v>111</v>
      </c>
    </row>
    <row r="8" spans="1:8">
      <c r="A8" s="3" t="s">
        <v>916</v>
      </c>
      <c r="B8" s="3" t="s">
        <v>255</v>
      </c>
      <c r="C8" s="3" t="s">
        <v>906</v>
      </c>
      <c r="D8" s="3" t="s">
        <v>917</v>
      </c>
      <c r="E8" s="3" t="s">
        <v>732</v>
      </c>
      <c r="F8" s="3" t="s">
        <v>918</v>
      </c>
      <c r="G8" s="3" t="s">
        <v>337</v>
      </c>
      <c r="H8" s="3" t="s">
        <v>95</v>
      </c>
    </row>
    <row r="9" spans="1:8">
      <c r="A9" s="2" t="s">
        <v>919</v>
      </c>
      <c r="B9" s="2" t="s">
        <v>255</v>
      </c>
      <c r="C9" s="2" t="s">
        <v>920</v>
      </c>
      <c r="D9" s="2" t="s">
        <v>921</v>
      </c>
      <c r="E9" s="2" t="s">
        <v>922</v>
      </c>
      <c r="F9" s="2" t="s">
        <v>923</v>
      </c>
      <c r="G9" s="2" t="s">
        <v>318</v>
      </c>
      <c r="H9" s="2" t="s">
        <v>81</v>
      </c>
    </row>
    <row r="10" spans="1:8">
      <c r="A10" s="3" t="s">
        <v>924</v>
      </c>
      <c r="B10" s="3" t="s">
        <v>260</v>
      </c>
      <c r="C10" s="3" t="s">
        <v>925</v>
      </c>
      <c r="D10" s="3" t="s">
        <v>616</v>
      </c>
      <c r="E10" s="3" t="s">
        <v>627</v>
      </c>
      <c r="F10" s="3" t="s">
        <v>586</v>
      </c>
      <c r="G10" s="3" t="s">
        <v>318</v>
      </c>
      <c r="H10" s="3" t="s">
        <v>111</v>
      </c>
    </row>
    <row r="11" spans="1:8">
      <c r="A11" s="2" t="s">
        <v>926</v>
      </c>
      <c r="B11" s="2" t="s">
        <v>249</v>
      </c>
      <c r="C11" s="2" t="s">
        <v>927</v>
      </c>
      <c r="D11" s="2" t="s">
        <v>593</v>
      </c>
      <c r="E11" s="2" t="s">
        <v>928</v>
      </c>
      <c r="F11" s="2" t="s">
        <v>601</v>
      </c>
      <c r="G11" s="2" t="s">
        <v>317</v>
      </c>
      <c r="H11" s="2" t="s">
        <v>95</v>
      </c>
    </row>
    <row r="12" spans="1:8">
      <c r="A12" s="3" t="s">
        <v>929</v>
      </c>
      <c r="B12" s="3" t="s">
        <v>234</v>
      </c>
      <c r="C12" s="3" t="s">
        <v>930</v>
      </c>
      <c r="D12" s="3" t="s">
        <v>931</v>
      </c>
      <c r="E12" s="3" t="s">
        <v>486</v>
      </c>
      <c r="F12" s="3" t="s">
        <v>486</v>
      </c>
      <c r="G12" s="3" t="s">
        <v>317</v>
      </c>
      <c r="H12" s="3" t="s">
        <v>111</v>
      </c>
    </row>
    <row r="13" spans="1:8">
      <c r="A13" s="2" t="s">
        <v>932</v>
      </c>
      <c r="B13" s="2" t="s">
        <v>246</v>
      </c>
      <c r="C13" s="2" t="s">
        <v>933</v>
      </c>
      <c r="D13" s="2" t="s">
        <v>934</v>
      </c>
      <c r="E13" s="2" t="s">
        <v>913</v>
      </c>
      <c r="F13" s="2" t="s">
        <v>935</v>
      </c>
      <c r="G13" s="2" t="s">
        <v>318</v>
      </c>
      <c r="H13" s="2" t="s">
        <v>81</v>
      </c>
    </row>
    <row r="14" spans="1:8">
      <c r="A14" s="3" t="s">
        <v>936</v>
      </c>
      <c r="B14" s="3" t="s">
        <v>250</v>
      </c>
      <c r="C14" s="3" t="s">
        <v>927</v>
      </c>
      <c r="D14" s="3" t="s">
        <v>908</v>
      </c>
      <c r="E14" s="3" t="s">
        <v>747</v>
      </c>
      <c r="F14" s="3" t="s">
        <v>937</v>
      </c>
      <c r="G14" s="3" t="s">
        <v>337</v>
      </c>
      <c r="H14" s="3" t="s">
        <v>81</v>
      </c>
    </row>
    <row r="15" spans="1:8">
      <c r="A15" s="2" t="s">
        <v>938</v>
      </c>
      <c r="B15" s="2" t="s">
        <v>229</v>
      </c>
      <c r="C15" s="2" t="s">
        <v>930</v>
      </c>
      <c r="D15" s="2" t="s">
        <v>939</v>
      </c>
      <c r="E15" s="2" t="s">
        <v>940</v>
      </c>
      <c r="F15" s="2" t="s">
        <v>941</v>
      </c>
      <c r="G15" s="2" t="s">
        <v>318</v>
      </c>
      <c r="H15" s="2" t="s">
        <v>111</v>
      </c>
    </row>
    <row r="16" spans="1:8">
      <c r="A16" s="3" t="s">
        <v>942</v>
      </c>
      <c r="B16" s="3" t="s">
        <v>255</v>
      </c>
      <c r="C16" s="3" t="s">
        <v>927</v>
      </c>
      <c r="D16" s="3" t="s">
        <v>943</v>
      </c>
      <c r="E16" s="3" t="s">
        <v>574</v>
      </c>
      <c r="F16" s="3" t="s">
        <v>944</v>
      </c>
      <c r="G16" s="3" t="s">
        <v>318</v>
      </c>
      <c r="H16" s="3" t="s">
        <v>111</v>
      </c>
    </row>
    <row r="17" spans="1:8">
      <c r="A17" s="2" t="s">
        <v>945</v>
      </c>
      <c r="B17" s="2" t="s">
        <v>245</v>
      </c>
      <c r="C17" s="2" t="s">
        <v>930</v>
      </c>
      <c r="D17" s="2" t="s">
        <v>449</v>
      </c>
      <c r="E17" s="2" t="s">
        <v>946</v>
      </c>
      <c r="F17" s="2" t="s">
        <v>947</v>
      </c>
      <c r="G17" s="2" t="s">
        <v>317</v>
      </c>
      <c r="H17" s="2" t="s">
        <v>95</v>
      </c>
    </row>
    <row r="18" spans="1:8">
      <c r="A18" s="3" t="s">
        <v>948</v>
      </c>
      <c r="B18" s="3" t="s">
        <v>249</v>
      </c>
      <c r="C18" s="3" t="s">
        <v>910</v>
      </c>
      <c r="D18" s="3" t="s">
        <v>941</v>
      </c>
      <c r="E18" s="3" t="s">
        <v>472</v>
      </c>
      <c r="F18" s="3" t="s">
        <v>949</v>
      </c>
      <c r="G18" s="3" t="s">
        <v>317</v>
      </c>
      <c r="H18" s="3" t="s">
        <v>81</v>
      </c>
    </row>
    <row r="19" spans="1:8">
      <c r="A19" s="2" t="s">
        <v>950</v>
      </c>
      <c r="B19" s="2" t="s">
        <v>243</v>
      </c>
      <c r="C19" s="2" t="s">
        <v>920</v>
      </c>
      <c r="D19" s="2" t="s">
        <v>896</v>
      </c>
      <c r="E19" s="2" t="s">
        <v>951</v>
      </c>
      <c r="F19" s="2" t="s">
        <v>952</v>
      </c>
      <c r="G19" s="2" t="s">
        <v>317</v>
      </c>
      <c r="H19" s="2" t="s">
        <v>111</v>
      </c>
    </row>
    <row r="20" spans="1:8">
      <c r="A20" s="3" t="s">
        <v>953</v>
      </c>
      <c r="B20" s="3" t="s">
        <v>234</v>
      </c>
      <c r="C20" s="3" t="s">
        <v>910</v>
      </c>
      <c r="D20" s="3" t="s">
        <v>598</v>
      </c>
      <c r="E20" s="3" t="s">
        <v>503</v>
      </c>
      <c r="F20" s="3" t="s">
        <v>454</v>
      </c>
      <c r="G20" s="3" t="s">
        <v>318</v>
      </c>
      <c r="H20" s="3" t="s">
        <v>95</v>
      </c>
    </row>
    <row r="21" spans="1:8">
      <c r="A21" s="2" t="s">
        <v>954</v>
      </c>
      <c r="B21" s="2" t="s">
        <v>245</v>
      </c>
      <c r="C21" s="2" t="s">
        <v>927</v>
      </c>
      <c r="D21" s="2" t="s">
        <v>955</v>
      </c>
      <c r="E21" s="2" t="s">
        <v>917</v>
      </c>
      <c r="F21" s="2" t="s">
        <v>956</v>
      </c>
      <c r="G21" s="2" t="s">
        <v>318</v>
      </c>
      <c r="H21" s="2" t="s">
        <v>95</v>
      </c>
    </row>
    <row r="22" spans="1:8">
      <c r="A22" s="3" t="s">
        <v>957</v>
      </c>
      <c r="B22" s="3" t="s">
        <v>231</v>
      </c>
      <c r="C22" s="3" t="s">
        <v>958</v>
      </c>
      <c r="D22" s="3" t="s">
        <v>545</v>
      </c>
      <c r="E22" s="3" t="s">
        <v>959</v>
      </c>
      <c r="F22" s="3" t="s">
        <v>960</v>
      </c>
      <c r="G22" s="3" t="s">
        <v>318</v>
      </c>
      <c r="H22" s="3" t="s">
        <v>81</v>
      </c>
    </row>
    <row r="23" spans="1:8">
      <c r="A23" s="2" t="s">
        <v>961</v>
      </c>
      <c r="B23" s="2" t="s">
        <v>231</v>
      </c>
      <c r="C23" s="2" t="s">
        <v>910</v>
      </c>
      <c r="D23" s="2" t="s">
        <v>962</v>
      </c>
      <c r="E23" s="2" t="s">
        <v>566</v>
      </c>
      <c r="F23" s="2" t="s">
        <v>963</v>
      </c>
      <c r="G23" s="2" t="s">
        <v>337</v>
      </c>
      <c r="H23" s="2" t="s">
        <v>111</v>
      </c>
    </row>
    <row r="24" spans="1:8">
      <c r="A24" s="3" t="s">
        <v>964</v>
      </c>
      <c r="B24" s="3" t="s">
        <v>229</v>
      </c>
      <c r="C24" s="3" t="s">
        <v>906</v>
      </c>
      <c r="D24" s="3" t="s">
        <v>502</v>
      </c>
      <c r="E24" s="3" t="s">
        <v>625</v>
      </c>
      <c r="F24" s="3" t="s">
        <v>918</v>
      </c>
      <c r="G24" s="3" t="s">
        <v>283</v>
      </c>
      <c r="H24" s="3" t="s">
        <v>81</v>
      </c>
    </row>
    <row r="25" spans="1:8">
      <c r="A25" s="2" t="s">
        <v>965</v>
      </c>
      <c r="B25" s="2" t="s">
        <v>250</v>
      </c>
      <c r="C25" s="2" t="s">
        <v>910</v>
      </c>
      <c r="D25" s="2" t="s">
        <v>552</v>
      </c>
      <c r="E25" s="2" t="s">
        <v>966</v>
      </c>
      <c r="F25" s="2" t="s">
        <v>889</v>
      </c>
      <c r="G25" s="2" t="s">
        <v>283</v>
      </c>
      <c r="H25" s="2" t="s">
        <v>81</v>
      </c>
    </row>
    <row r="26" spans="1:8">
      <c r="A26" s="3" t="s">
        <v>967</v>
      </c>
      <c r="B26" s="3" t="s">
        <v>243</v>
      </c>
      <c r="C26" s="3" t="s">
        <v>915</v>
      </c>
      <c r="D26" s="3" t="s">
        <v>732</v>
      </c>
      <c r="E26" s="3" t="s">
        <v>968</v>
      </c>
      <c r="F26" s="3" t="s">
        <v>369</v>
      </c>
      <c r="G26" s="3" t="s">
        <v>317</v>
      </c>
      <c r="H26" s="3" t="s">
        <v>111</v>
      </c>
    </row>
    <row r="27" spans="1:8">
      <c r="A27" s="2" t="s">
        <v>969</v>
      </c>
      <c r="B27" s="2" t="s">
        <v>241</v>
      </c>
      <c r="C27" s="2" t="s">
        <v>933</v>
      </c>
      <c r="D27" s="2" t="s">
        <v>619</v>
      </c>
      <c r="E27" s="2" t="s">
        <v>970</v>
      </c>
      <c r="F27" s="2" t="s">
        <v>396</v>
      </c>
      <c r="G27" s="2" t="s">
        <v>317</v>
      </c>
      <c r="H27" s="2" t="s">
        <v>81</v>
      </c>
    </row>
    <row r="28" spans="1:8">
      <c r="A28" s="3" t="s">
        <v>971</v>
      </c>
      <c r="B28" s="3" t="s">
        <v>234</v>
      </c>
      <c r="C28" s="3" t="s">
        <v>920</v>
      </c>
      <c r="D28" s="3" t="s">
        <v>891</v>
      </c>
      <c r="E28" s="3" t="s">
        <v>972</v>
      </c>
      <c r="F28" s="3" t="s">
        <v>973</v>
      </c>
      <c r="G28" s="3" t="s">
        <v>283</v>
      </c>
      <c r="H28" s="3" t="s">
        <v>81</v>
      </c>
    </row>
    <row r="29" spans="1:8">
      <c r="A29" s="2" t="s">
        <v>974</v>
      </c>
      <c r="B29" s="2" t="s">
        <v>255</v>
      </c>
      <c r="C29" s="2" t="s">
        <v>906</v>
      </c>
      <c r="D29" s="2" t="s">
        <v>523</v>
      </c>
      <c r="E29" s="2" t="s">
        <v>975</v>
      </c>
      <c r="F29" s="2" t="s">
        <v>976</v>
      </c>
      <c r="G29" s="2" t="s">
        <v>317</v>
      </c>
      <c r="H29" s="2" t="s">
        <v>95</v>
      </c>
    </row>
    <row r="30" spans="1:8">
      <c r="A30" s="3" t="s">
        <v>977</v>
      </c>
      <c r="B30" s="3" t="s">
        <v>227</v>
      </c>
      <c r="C30" s="3" t="s">
        <v>933</v>
      </c>
      <c r="D30" s="3" t="s">
        <v>566</v>
      </c>
      <c r="E30" s="3" t="s">
        <v>946</v>
      </c>
      <c r="F30" s="3" t="s">
        <v>676</v>
      </c>
      <c r="G30" s="3" t="s">
        <v>337</v>
      </c>
      <c r="H30" s="3" t="s">
        <v>95</v>
      </c>
    </row>
    <row r="31" spans="1:8">
      <c r="A31" s="2" t="s">
        <v>978</v>
      </c>
      <c r="B31" s="2" t="s">
        <v>229</v>
      </c>
      <c r="C31" s="2" t="s">
        <v>933</v>
      </c>
      <c r="D31" s="2" t="s">
        <v>979</v>
      </c>
      <c r="E31" s="2" t="s">
        <v>518</v>
      </c>
      <c r="F31" s="2" t="s">
        <v>897</v>
      </c>
      <c r="G31" s="2" t="s">
        <v>283</v>
      </c>
      <c r="H31" s="2" t="s">
        <v>81</v>
      </c>
    </row>
    <row r="32" spans="1:8">
      <c r="A32" s="3" t="s">
        <v>980</v>
      </c>
      <c r="B32" s="3" t="s">
        <v>255</v>
      </c>
      <c r="C32" s="3" t="s">
        <v>927</v>
      </c>
      <c r="D32" s="3" t="s">
        <v>981</v>
      </c>
      <c r="E32" s="3" t="s">
        <v>907</v>
      </c>
      <c r="F32" s="3" t="s">
        <v>982</v>
      </c>
      <c r="G32" s="3" t="s">
        <v>318</v>
      </c>
      <c r="H32" s="3" t="s">
        <v>111</v>
      </c>
    </row>
    <row r="33" spans="1:8">
      <c r="A33" s="2" t="s">
        <v>983</v>
      </c>
      <c r="B33" s="2" t="s">
        <v>246</v>
      </c>
      <c r="C33" s="2" t="s">
        <v>906</v>
      </c>
      <c r="D33" s="2" t="s">
        <v>526</v>
      </c>
      <c r="E33" s="2" t="s">
        <v>951</v>
      </c>
      <c r="F33" s="2" t="s">
        <v>738</v>
      </c>
      <c r="G33" s="2" t="s">
        <v>318</v>
      </c>
      <c r="H33" s="2" t="s">
        <v>95</v>
      </c>
    </row>
    <row r="34" spans="1:8">
      <c r="A34" s="3" t="s">
        <v>984</v>
      </c>
      <c r="B34" s="3" t="s">
        <v>227</v>
      </c>
      <c r="C34" s="3" t="s">
        <v>933</v>
      </c>
      <c r="D34" s="3" t="s">
        <v>596</v>
      </c>
      <c r="E34" s="3" t="s">
        <v>620</v>
      </c>
      <c r="F34" s="3" t="s">
        <v>455</v>
      </c>
      <c r="G34" s="3" t="s">
        <v>317</v>
      </c>
      <c r="H34" s="3" t="s">
        <v>111</v>
      </c>
    </row>
    <row r="35" spans="1:8">
      <c r="A35" s="2" t="s">
        <v>985</v>
      </c>
      <c r="B35" s="2" t="s">
        <v>245</v>
      </c>
      <c r="C35" s="2" t="s">
        <v>930</v>
      </c>
      <c r="D35" s="2" t="s">
        <v>986</v>
      </c>
      <c r="E35" s="2" t="s">
        <v>987</v>
      </c>
      <c r="F35" s="2" t="s">
        <v>946</v>
      </c>
      <c r="G35" s="2" t="s">
        <v>318</v>
      </c>
      <c r="H35" s="2" t="s">
        <v>81</v>
      </c>
    </row>
    <row r="36" spans="1:8">
      <c r="A36" s="3" t="s">
        <v>988</v>
      </c>
      <c r="B36" s="3" t="s">
        <v>233</v>
      </c>
      <c r="C36" s="3" t="s">
        <v>920</v>
      </c>
      <c r="D36" s="3" t="s">
        <v>989</v>
      </c>
      <c r="E36" s="3" t="s">
        <v>686</v>
      </c>
      <c r="F36" s="3" t="s">
        <v>990</v>
      </c>
      <c r="G36" s="3" t="s">
        <v>317</v>
      </c>
      <c r="H36" s="3" t="s">
        <v>81</v>
      </c>
    </row>
    <row r="37" spans="1:8">
      <c r="A37" s="2" t="s">
        <v>991</v>
      </c>
      <c r="B37" s="2" t="s">
        <v>229</v>
      </c>
      <c r="C37" s="2" t="s">
        <v>992</v>
      </c>
      <c r="D37" s="2" t="s">
        <v>993</v>
      </c>
      <c r="E37" s="2" t="s">
        <v>596</v>
      </c>
      <c r="F37" s="2" t="s">
        <v>562</v>
      </c>
      <c r="G37" s="2" t="s">
        <v>283</v>
      </c>
      <c r="H37" s="2" t="s">
        <v>95</v>
      </c>
    </row>
    <row r="38" spans="1:8">
      <c r="A38" s="3" t="s">
        <v>994</v>
      </c>
      <c r="B38" s="3" t="s">
        <v>245</v>
      </c>
      <c r="C38" s="3" t="s">
        <v>920</v>
      </c>
      <c r="D38" s="3" t="s">
        <v>893</v>
      </c>
      <c r="E38" s="3" t="s">
        <v>540</v>
      </c>
      <c r="F38" s="3" t="s">
        <v>928</v>
      </c>
      <c r="G38" s="3" t="s">
        <v>317</v>
      </c>
      <c r="H38" s="3" t="s">
        <v>81</v>
      </c>
    </row>
    <row r="39" spans="1:8">
      <c r="A39" s="2" t="s">
        <v>995</v>
      </c>
      <c r="B39" s="2" t="s">
        <v>250</v>
      </c>
      <c r="C39" s="2" t="s">
        <v>915</v>
      </c>
      <c r="D39" s="2" t="s">
        <v>996</v>
      </c>
      <c r="E39" s="2" t="s">
        <v>351</v>
      </c>
      <c r="F39" s="2" t="s">
        <v>997</v>
      </c>
      <c r="G39" s="2" t="s">
        <v>317</v>
      </c>
      <c r="H39" s="2" t="s">
        <v>81</v>
      </c>
    </row>
    <row r="40" spans="1:8">
      <c r="A40" s="3" t="s">
        <v>998</v>
      </c>
      <c r="B40" s="3" t="s">
        <v>250</v>
      </c>
      <c r="C40" s="3" t="s">
        <v>927</v>
      </c>
      <c r="D40" s="3" t="s">
        <v>999</v>
      </c>
      <c r="E40" s="3" t="s">
        <v>895</v>
      </c>
      <c r="F40" s="3" t="s">
        <v>1000</v>
      </c>
      <c r="G40" s="3" t="s">
        <v>337</v>
      </c>
      <c r="H40" s="3" t="s">
        <v>111</v>
      </c>
    </row>
    <row r="41" spans="1:8">
      <c r="A41" s="2" t="s">
        <v>1001</v>
      </c>
      <c r="B41" s="2" t="s">
        <v>246</v>
      </c>
      <c r="C41" s="2" t="s">
        <v>906</v>
      </c>
      <c r="D41" s="2" t="s">
        <v>1002</v>
      </c>
      <c r="E41" s="2" t="s">
        <v>477</v>
      </c>
      <c r="F41" s="2" t="s">
        <v>918</v>
      </c>
      <c r="G41" s="2" t="s">
        <v>283</v>
      </c>
      <c r="H41" s="2" t="s">
        <v>81</v>
      </c>
    </row>
    <row r="42" spans="1:8">
      <c r="A42" s="3" t="s">
        <v>1003</v>
      </c>
      <c r="B42" s="3" t="s">
        <v>237</v>
      </c>
      <c r="C42" s="3" t="s">
        <v>927</v>
      </c>
      <c r="D42" s="3" t="s">
        <v>1004</v>
      </c>
      <c r="E42" s="3" t="s">
        <v>946</v>
      </c>
      <c r="F42" s="3" t="s">
        <v>744</v>
      </c>
      <c r="G42" s="3" t="s">
        <v>317</v>
      </c>
      <c r="H42" s="3" t="s">
        <v>81</v>
      </c>
    </row>
    <row r="43" spans="1:8">
      <c r="A43" s="2" t="s">
        <v>1005</v>
      </c>
      <c r="B43" s="2" t="s">
        <v>246</v>
      </c>
      <c r="C43" s="2" t="s">
        <v>906</v>
      </c>
      <c r="D43" s="2" t="s">
        <v>1006</v>
      </c>
      <c r="E43" s="2" t="s">
        <v>606</v>
      </c>
      <c r="F43" s="2" t="s">
        <v>1007</v>
      </c>
      <c r="G43" s="2" t="s">
        <v>318</v>
      </c>
      <c r="H43" s="2" t="s">
        <v>111</v>
      </c>
    </row>
    <row r="44" spans="1:8">
      <c r="A44" s="3" t="s">
        <v>1008</v>
      </c>
      <c r="B44" s="3" t="s">
        <v>234</v>
      </c>
      <c r="C44" s="3" t="s">
        <v>920</v>
      </c>
      <c r="D44" s="3" t="s">
        <v>996</v>
      </c>
      <c r="E44" s="3" t="s">
        <v>1009</v>
      </c>
      <c r="F44" s="3" t="s">
        <v>362</v>
      </c>
      <c r="G44" s="3" t="s">
        <v>317</v>
      </c>
      <c r="H44" s="3" t="s">
        <v>111</v>
      </c>
    </row>
    <row r="45" spans="1:8">
      <c r="A45" s="2" t="s">
        <v>1010</v>
      </c>
      <c r="B45" s="2" t="s">
        <v>260</v>
      </c>
      <c r="C45" s="2" t="s">
        <v>920</v>
      </c>
      <c r="D45" s="2" t="s">
        <v>888</v>
      </c>
      <c r="E45" s="2" t="s">
        <v>1011</v>
      </c>
      <c r="F45" s="2" t="s">
        <v>1011</v>
      </c>
      <c r="G45" s="2" t="s">
        <v>283</v>
      </c>
      <c r="H45" s="2" t="s">
        <v>95</v>
      </c>
    </row>
    <row r="46" spans="1:8">
      <c r="A46" s="3" t="s">
        <v>1012</v>
      </c>
      <c r="B46" s="3" t="s">
        <v>245</v>
      </c>
      <c r="C46" s="3" t="s">
        <v>915</v>
      </c>
      <c r="D46" s="3" t="s">
        <v>606</v>
      </c>
      <c r="E46" s="3" t="s">
        <v>1013</v>
      </c>
      <c r="F46" s="3" t="s">
        <v>1014</v>
      </c>
      <c r="G46" s="3" t="s">
        <v>318</v>
      </c>
      <c r="H46" s="3" t="s">
        <v>81</v>
      </c>
    </row>
    <row r="47" spans="1:8">
      <c r="A47" s="2" t="s">
        <v>1015</v>
      </c>
      <c r="B47" s="2" t="s">
        <v>243</v>
      </c>
      <c r="C47" s="2" t="s">
        <v>920</v>
      </c>
      <c r="D47" s="2" t="s">
        <v>1016</v>
      </c>
      <c r="E47" s="2" t="s">
        <v>943</v>
      </c>
      <c r="F47" s="2" t="s">
        <v>1017</v>
      </c>
      <c r="G47" s="2" t="s">
        <v>318</v>
      </c>
      <c r="H47" s="2" t="s">
        <v>95</v>
      </c>
    </row>
    <row r="48" spans="1:8">
      <c r="A48" s="3" t="s">
        <v>1018</v>
      </c>
      <c r="B48" s="3" t="s">
        <v>234</v>
      </c>
      <c r="C48" s="3" t="s">
        <v>910</v>
      </c>
      <c r="D48" s="3" t="s">
        <v>1019</v>
      </c>
      <c r="E48" s="3" t="s">
        <v>579</v>
      </c>
      <c r="F48" s="3" t="s">
        <v>1020</v>
      </c>
      <c r="G48" s="3" t="s">
        <v>283</v>
      </c>
      <c r="H48" s="3" t="s">
        <v>95</v>
      </c>
    </row>
    <row r="49" spans="1:8">
      <c r="A49" s="2" t="s">
        <v>1021</v>
      </c>
      <c r="B49" s="2" t="s">
        <v>241</v>
      </c>
      <c r="C49" s="2" t="s">
        <v>930</v>
      </c>
      <c r="D49" s="2" t="s">
        <v>1022</v>
      </c>
      <c r="E49" s="2" t="s">
        <v>1023</v>
      </c>
      <c r="F49" s="2" t="s">
        <v>947</v>
      </c>
      <c r="G49" s="2" t="s">
        <v>283</v>
      </c>
      <c r="H49" s="2" t="s">
        <v>81</v>
      </c>
    </row>
    <row r="50" spans="1:8">
      <c r="A50" s="3" t="s">
        <v>1024</v>
      </c>
      <c r="B50" s="3" t="s">
        <v>231</v>
      </c>
      <c r="C50" s="3" t="s">
        <v>992</v>
      </c>
      <c r="D50" s="3" t="s">
        <v>1025</v>
      </c>
      <c r="E50" s="3" t="s">
        <v>1026</v>
      </c>
      <c r="F50" s="3" t="s">
        <v>1027</v>
      </c>
      <c r="G50" s="3" t="s">
        <v>337</v>
      </c>
      <c r="H50" s="3" t="s">
        <v>111</v>
      </c>
    </row>
    <row r="51" spans="1:8">
      <c r="A51" s="2" t="s">
        <v>1028</v>
      </c>
      <c r="B51" s="2" t="s">
        <v>245</v>
      </c>
      <c r="C51" s="2" t="s">
        <v>992</v>
      </c>
      <c r="D51" s="2" t="s">
        <v>921</v>
      </c>
      <c r="E51" s="2" t="s">
        <v>605</v>
      </c>
      <c r="F51" s="2" t="s">
        <v>1006</v>
      </c>
      <c r="G51" s="2" t="s">
        <v>337</v>
      </c>
      <c r="H51" s="2" t="s">
        <v>81</v>
      </c>
    </row>
    <row r="52" spans="1:8">
      <c r="A52" s="3" t="s">
        <v>1029</v>
      </c>
      <c r="B52" s="3" t="s">
        <v>239</v>
      </c>
      <c r="C52" s="3" t="s">
        <v>933</v>
      </c>
      <c r="D52" s="3" t="s">
        <v>1030</v>
      </c>
      <c r="E52" s="3" t="s">
        <v>1031</v>
      </c>
      <c r="F52" s="3" t="s">
        <v>531</v>
      </c>
      <c r="G52" s="3" t="s">
        <v>318</v>
      </c>
      <c r="H52" s="3" t="s">
        <v>81</v>
      </c>
    </row>
    <row r="53" spans="1:8">
      <c r="A53" s="2" t="s">
        <v>1032</v>
      </c>
      <c r="B53" s="2" t="s">
        <v>234</v>
      </c>
      <c r="C53" s="2" t="s">
        <v>910</v>
      </c>
      <c r="D53" s="2" t="s">
        <v>567</v>
      </c>
      <c r="E53" s="2" t="s">
        <v>552</v>
      </c>
      <c r="F53" s="2" t="s">
        <v>966</v>
      </c>
      <c r="G53" s="2" t="s">
        <v>318</v>
      </c>
      <c r="H53" s="2" t="s">
        <v>111</v>
      </c>
    </row>
    <row r="54" spans="1:8">
      <c r="A54" s="3" t="s">
        <v>1033</v>
      </c>
      <c r="B54" s="3" t="s">
        <v>229</v>
      </c>
      <c r="C54" s="3" t="s">
        <v>915</v>
      </c>
      <c r="D54" s="3" t="s">
        <v>465</v>
      </c>
      <c r="E54" s="3" t="s">
        <v>1009</v>
      </c>
      <c r="F54" s="3" t="s">
        <v>1009</v>
      </c>
      <c r="G54" s="3" t="s">
        <v>317</v>
      </c>
      <c r="H54" s="3" t="s">
        <v>95</v>
      </c>
    </row>
    <row r="56" spans="1:8" ht="15.6">
      <c r="A56" s="7" t="s">
        <v>209</v>
      </c>
    </row>
    <row r="57" spans="1:8">
      <c r="A57" s="96" t="s">
        <v>1034</v>
      </c>
      <c r="B57" s="96"/>
      <c r="C57" s="96"/>
      <c r="D57" s="96"/>
      <c r="E57" s="96"/>
      <c r="F57" s="96"/>
    </row>
    <row r="58" spans="1:8">
      <c r="A58" s="96" t="s">
        <v>1035</v>
      </c>
      <c r="B58" s="96"/>
      <c r="C58" s="96"/>
      <c r="D58" s="96"/>
      <c r="E58" s="96"/>
      <c r="F58" s="96"/>
    </row>
    <row r="59" spans="1:8">
      <c r="A59" s="96" t="s">
        <v>1036</v>
      </c>
      <c r="B59" s="96"/>
      <c r="C59" s="96"/>
      <c r="D59" s="96"/>
      <c r="E59" s="96"/>
      <c r="F59" s="96"/>
    </row>
    <row r="60" spans="1:8">
      <c r="A60" s="96" t="s">
        <v>1037</v>
      </c>
      <c r="B60" s="96"/>
      <c r="C60" s="96"/>
      <c r="D60" s="96"/>
      <c r="E60" s="96"/>
      <c r="F60" s="96"/>
    </row>
    <row r="61" spans="1:8">
      <c r="A61" s="96" t="s">
        <v>1038</v>
      </c>
      <c r="B61" s="96"/>
      <c r="C61" s="96"/>
      <c r="D61" s="96"/>
      <c r="E61" s="96"/>
      <c r="F61" s="96"/>
    </row>
    <row r="62" spans="1:8">
      <c r="A62" s="96" t="s">
        <v>1039</v>
      </c>
      <c r="B62" s="96"/>
      <c r="C62" s="96"/>
      <c r="D62" s="96"/>
      <c r="E62" s="96"/>
      <c r="F62" s="96"/>
    </row>
  </sheetData>
  <mergeCells count="8">
    <mergeCell ref="A60:F60"/>
    <mergeCell ref="A61:F61"/>
    <mergeCell ref="A62:F62"/>
    <mergeCell ref="A1:H1"/>
    <mergeCell ref="A2:H2"/>
    <mergeCell ref="A57:F57"/>
    <mergeCell ref="A58:F58"/>
    <mergeCell ref="A59:F59"/>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5A623"/>
  </sheetPr>
  <dimension ref="A1:L52"/>
  <sheetViews>
    <sheetView topLeftCell="A4" zoomScaleNormal="100" workbookViewId="0">
      <selection activeCell="L12" sqref="L12"/>
    </sheetView>
  </sheetViews>
  <sheetFormatPr defaultColWidth="8.6640625" defaultRowHeight="14.4"/>
  <cols>
    <col min="1" max="1" width="12" customWidth="1"/>
    <col min="2" max="3" width="18" customWidth="1"/>
    <col min="4" max="8" width="14" customWidth="1"/>
    <col min="9" max="9" width="16" customWidth="1"/>
  </cols>
  <sheetData>
    <row r="1" spans="1:12" ht="17.399999999999999">
      <c r="A1" s="134" t="s">
        <v>1048</v>
      </c>
      <c r="B1" s="134"/>
      <c r="C1" s="134"/>
      <c r="D1" s="134"/>
      <c r="E1" s="134"/>
      <c r="F1" s="134"/>
      <c r="G1" s="134"/>
      <c r="H1" s="134"/>
    </row>
    <row r="2" spans="1:12">
      <c r="A2" s="119" t="s">
        <v>1049</v>
      </c>
      <c r="B2" s="119"/>
      <c r="C2" s="119"/>
      <c r="D2" s="119"/>
      <c r="E2" s="119"/>
      <c r="F2" s="119"/>
      <c r="G2" s="119"/>
      <c r="H2" s="119"/>
    </row>
    <row r="4" spans="1:12" ht="26.4">
      <c r="A4" s="1" t="s">
        <v>1050</v>
      </c>
      <c r="B4" s="1" t="s">
        <v>68</v>
      </c>
      <c r="C4" s="1" t="s">
        <v>1051</v>
      </c>
      <c r="D4" s="1" t="s">
        <v>1052</v>
      </c>
      <c r="E4" s="1" t="s">
        <v>1053</v>
      </c>
      <c r="F4" s="1" t="s">
        <v>1054</v>
      </c>
      <c r="G4" s="1" t="s">
        <v>1055</v>
      </c>
      <c r="H4" s="1" t="s">
        <v>1056</v>
      </c>
      <c r="I4" s="4" t="s">
        <v>1057</v>
      </c>
    </row>
    <row r="5" spans="1:12">
      <c r="A5" s="2" t="s">
        <v>1058</v>
      </c>
      <c r="B5" s="2" t="s">
        <v>318</v>
      </c>
      <c r="C5" s="2" t="s">
        <v>1059</v>
      </c>
      <c r="D5" s="2" t="s">
        <v>588</v>
      </c>
      <c r="E5" s="2" t="s">
        <v>1060</v>
      </c>
      <c r="F5" s="2">
        <v>1697785</v>
      </c>
      <c r="G5" s="2">
        <v>1697785</v>
      </c>
      <c r="H5" s="2" t="s">
        <v>1040</v>
      </c>
      <c r="I5" s="9">
        <f t="shared" ref="I5:I44" si="0">F5-G5</f>
        <v>0</v>
      </c>
    </row>
    <row r="6" spans="1:12">
      <c r="A6" s="3" t="s">
        <v>1061</v>
      </c>
      <c r="B6" s="3" t="s">
        <v>337</v>
      </c>
      <c r="C6" s="3" t="s">
        <v>1062</v>
      </c>
      <c r="D6" s="3" t="s">
        <v>896</v>
      </c>
      <c r="E6" s="3" t="s">
        <v>951</v>
      </c>
      <c r="F6" s="3">
        <v>218240</v>
      </c>
      <c r="G6" s="3">
        <v>109120</v>
      </c>
      <c r="H6" s="3" t="s">
        <v>738</v>
      </c>
      <c r="I6" s="9">
        <f t="shared" si="0"/>
        <v>109120</v>
      </c>
    </row>
    <row r="7" spans="1:12">
      <c r="A7" s="2" t="s">
        <v>1063</v>
      </c>
      <c r="B7" s="2" t="s">
        <v>318</v>
      </c>
      <c r="C7" s="2" t="s">
        <v>1059</v>
      </c>
      <c r="D7" s="2" t="s">
        <v>1064</v>
      </c>
      <c r="E7" s="2" t="s">
        <v>1065</v>
      </c>
      <c r="F7" s="2">
        <v>1189156</v>
      </c>
      <c r="G7" s="2">
        <v>1189156</v>
      </c>
      <c r="H7" s="2" t="s">
        <v>1066</v>
      </c>
      <c r="I7" s="9">
        <f t="shared" si="0"/>
        <v>0</v>
      </c>
    </row>
    <row r="8" spans="1:12">
      <c r="A8" s="3" t="s">
        <v>1067</v>
      </c>
      <c r="B8" s="3" t="s">
        <v>317</v>
      </c>
      <c r="C8" s="3" t="s">
        <v>1068</v>
      </c>
      <c r="D8" s="3" t="s">
        <v>1044</v>
      </c>
      <c r="E8" s="3" t="s">
        <v>341</v>
      </c>
      <c r="F8" s="3">
        <v>850225</v>
      </c>
      <c r="G8" s="3">
        <v>0</v>
      </c>
      <c r="H8" s="3"/>
      <c r="I8" s="9">
        <f t="shared" si="0"/>
        <v>850225</v>
      </c>
      <c r="L8" t="s">
        <v>318</v>
      </c>
    </row>
    <row r="9" spans="1:12">
      <c r="A9" s="2" t="s">
        <v>1069</v>
      </c>
      <c r="B9" s="2" t="s">
        <v>283</v>
      </c>
      <c r="C9" s="2" t="s">
        <v>1070</v>
      </c>
      <c r="D9" s="2" t="s">
        <v>545</v>
      </c>
      <c r="E9" s="2" t="s">
        <v>1071</v>
      </c>
      <c r="F9" s="2">
        <v>1667376</v>
      </c>
      <c r="G9" s="2">
        <v>1667376</v>
      </c>
      <c r="H9" s="2" t="s">
        <v>1072</v>
      </c>
      <c r="I9" s="9">
        <f t="shared" si="0"/>
        <v>0</v>
      </c>
    </row>
    <row r="10" spans="1:12">
      <c r="A10" s="3" t="s">
        <v>1073</v>
      </c>
      <c r="B10" s="3" t="s">
        <v>283</v>
      </c>
      <c r="C10" s="3" t="s">
        <v>1070</v>
      </c>
      <c r="D10" s="3" t="s">
        <v>722</v>
      </c>
      <c r="E10" s="3" t="s">
        <v>564</v>
      </c>
      <c r="F10" s="3">
        <v>1592083</v>
      </c>
      <c r="G10" s="3">
        <v>0</v>
      </c>
      <c r="H10" s="3"/>
      <c r="I10" s="9">
        <f t="shared" si="0"/>
        <v>1592083</v>
      </c>
    </row>
    <row r="11" spans="1:12">
      <c r="A11" s="2" t="s">
        <v>1074</v>
      </c>
      <c r="B11" s="2" t="s">
        <v>446</v>
      </c>
      <c r="C11" s="2" t="s">
        <v>1070</v>
      </c>
      <c r="D11" s="2" t="s">
        <v>521</v>
      </c>
      <c r="E11" s="2" t="s">
        <v>1075</v>
      </c>
      <c r="F11" s="2">
        <v>866049</v>
      </c>
      <c r="G11" s="2">
        <v>866049</v>
      </c>
      <c r="H11" s="2" t="s">
        <v>1027</v>
      </c>
      <c r="I11" s="9">
        <f t="shared" si="0"/>
        <v>0</v>
      </c>
      <c r="L11" t="e" cm="1">
        <f t="array" ref="L11">_xlfn.XLOOKUP(L8,A4:I31,F4:F31,"data_not_found")</f>
        <v>#VALUE!</v>
      </c>
    </row>
    <row r="12" spans="1:12">
      <c r="A12" s="3" t="s">
        <v>1076</v>
      </c>
      <c r="B12" s="3" t="s">
        <v>318</v>
      </c>
      <c r="C12" s="3" t="s">
        <v>1077</v>
      </c>
      <c r="D12" s="3" t="s">
        <v>1078</v>
      </c>
      <c r="E12" s="3" t="s">
        <v>625</v>
      </c>
      <c r="F12" s="3">
        <v>1577223</v>
      </c>
      <c r="G12" s="3">
        <v>0</v>
      </c>
      <c r="H12" s="3"/>
      <c r="I12" s="9">
        <f t="shared" si="0"/>
        <v>1577223</v>
      </c>
    </row>
    <row r="13" spans="1:12">
      <c r="A13" s="2" t="s">
        <v>1079</v>
      </c>
      <c r="B13" s="2" t="s">
        <v>446</v>
      </c>
      <c r="C13" s="2" t="s">
        <v>1080</v>
      </c>
      <c r="D13" s="2" t="s">
        <v>1081</v>
      </c>
      <c r="E13" s="2" t="s">
        <v>1082</v>
      </c>
      <c r="F13" s="2">
        <v>581235</v>
      </c>
      <c r="G13" s="2">
        <v>581235</v>
      </c>
      <c r="H13" s="2" t="s">
        <v>559</v>
      </c>
      <c r="I13" s="9">
        <f t="shared" si="0"/>
        <v>0</v>
      </c>
    </row>
    <row r="14" spans="1:12">
      <c r="A14" s="3" t="s">
        <v>1083</v>
      </c>
      <c r="B14" s="3" t="s">
        <v>317</v>
      </c>
      <c r="C14" s="3" t="s">
        <v>1084</v>
      </c>
      <c r="D14" s="3" t="s">
        <v>1085</v>
      </c>
      <c r="E14" s="3" t="s">
        <v>1086</v>
      </c>
      <c r="F14" s="3">
        <v>1861221</v>
      </c>
      <c r="G14" s="3">
        <v>1861221</v>
      </c>
      <c r="H14" s="3" t="s">
        <v>579</v>
      </c>
      <c r="I14" s="9">
        <f t="shared" si="0"/>
        <v>0</v>
      </c>
    </row>
    <row r="15" spans="1:12">
      <c r="A15" s="2" t="s">
        <v>1087</v>
      </c>
      <c r="B15" s="2" t="s">
        <v>283</v>
      </c>
      <c r="C15" s="2" t="s">
        <v>1070</v>
      </c>
      <c r="D15" s="2" t="s">
        <v>890</v>
      </c>
      <c r="E15" s="2" t="s">
        <v>477</v>
      </c>
      <c r="F15" s="2">
        <v>960502</v>
      </c>
      <c r="G15" s="2">
        <v>720376</v>
      </c>
      <c r="H15" s="2" t="s">
        <v>562</v>
      </c>
      <c r="I15" s="9">
        <f t="shared" si="0"/>
        <v>240126</v>
      </c>
    </row>
    <row r="16" spans="1:12">
      <c r="A16" s="3" t="s">
        <v>1088</v>
      </c>
      <c r="B16" s="3" t="s">
        <v>317</v>
      </c>
      <c r="C16" s="3" t="s">
        <v>1068</v>
      </c>
      <c r="D16" s="3" t="s">
        <v>469</v>
      </c>
      <c r="E16" s="3" t="s">
        <v>1007</v>
      </c>
      <c r="F16" s="3">
        <v>300923</v>
      </c>
      <c r="G16" s="3">
        <v>300923</v>
      </c>
      <c r="H16" s="3" t="s">
        <v>732</v>
      </c>
      <c r="I16" s="9">
        <f t="shared" si="0"/>
        <v>0</v>
      </c>
    </row>
    <row r="17" spans="1:9">
      <c r="A17" s="2" t="s">
        <v>1089</v>
      </c>
      <c r="B17" s="2" t="s">
        <v>283</v>
      </c>
      <c r="C17" s="2" t="s">
        <v>1062</v>
      </c>
      <c r="D17" s="2" t="s">
        <v>947</v>
      </c>
      <c r="E17" s="2" t="s">
        <v>887</v>
      </c>
      <c r="F17" s="2">
        <v>1693066</v>
      </c>
      <c r="G17" s="2">
        <v>1693066</v>
      </c>
      <c r="H17" s="2" t="s">
        <v>1090</v>
      </c>
      <c r="I17" s="9">
        <f t="shared" si="0"/>
        <v>0</v>
      </c>
    </row>
    <row r="18" spans="1:9">
      <c r="A18" s="3" t="s">
        <v>1091</v>
      </c>
      <c r="B18" s="3" t="s">
        <v>446</v>
      </c>
      <c r="C18" s="3" t="s">
        <v>1077</v>
      </c>
      <c r="D18" s="3" t="s">
        <v>506</v>
      </c>
      <c r="E18" s="3" t="s">
        <v>959</v>
      </c>
      <c r="F18" s="3">
        <v>1666478</v>
      </c>
      <c r="G18" s="3">
        <v>0</v>
      </c>
      <c r="H18" s="3"/>
      <c r="I18" s="9">
        <f t="shared" si="0"/>
        <v>1666478</v>
      </c>
    </row>
    <row r="19" spans="1:9">
      <c r="A19" s="2" t="s">
        <v>1092</v>
      </c>
      <c r="B19" s="2" t="s">
        <v>317</v>
      </c>
      <c r="C19" s="2" t="s">
        <v>1077</v>
      </c>
      <c r="D19" s="2" t="s">
        <v>1043</v>
      </c>
      <c r="E19" s="2" t="s">
        <v>523</v>
      </c>
      <c r="F19" s="2">
        <v>241682</v>
      </c>
      <c r="G19" s="2">
        <v>241682</v>
      </c>
      <c r="H19" s="2" t="s">
        <v>955</v>
      </c>
      <c r="I19" s="9">
        <f t="shared" si="0"/>
        <v>0</v>
      </c>
    </row>
    <row r="20" spans="1:9">
      <c r="A20" s="3" t="s">
        <v>1093</v>
      </c>
      <c r="B20" s="3" t="s">
        <v>283</v>
      </c>
      <c r="C20" s="3" t="s">
        <v>1062</v>
      </c>
      <c r="D20" s="3" t="s">
        <v>1094</v>
      </c>
      <c r="E20" s="3" t="s">
        <v>520</v>
      </c>
      <c r="F20" s="3">
        <v>1401771</v>
      </c>
      <c r="G20" s="3">
        <v>700885</v>
      </c>
      <c r="H20" s="3" t="s">
        <v>1041</v>
      </c>
      <c r="I20" s="9">
        <f t="shared" si="0"/>
        <v>700886</v>
      </c>
    </row>
    <row r="21" spans="1:9">
      <c r="A21" s="2" t="s">
        <v>1095</v>
      </c>
      <c r="B21" s="2" t="s">
        <v>283</v>
      </c>
      <c r="C21" s="2" t="s">
        <v>1077</v>
      </c>
      <c r="D21" s="2" t="s">
        <v>1004</v>
      </c>
      <c r="E21" s="2" t="s">
        <v>1045</v>
      </c>
      <c r="F21" s="2">
        <v>537954</v>
      </c>
      <c r="G21" s="2">
        <v>403465</v>
      </c>
      <c r="H21" s="2" t="s">
        <v>1046</v>
      </c>
      <c r="I21" s="9">
        <f t="shared" si="0"/>
        <v>134489</v>
      </c>
    </row>
    <row r="22" spans="1:9">
      <c r="A22" s="3" t="s">
        <v>1096</v>
      </c>
      <c r="B22" s="3" t="s">
        <v>337</v>
      </c>
      <c r="C22" s="3" t="s">
        <v>1070</v>
      </c>
      <c r="D22" s="3" t="s">
        <v>1097</v>
      </c>
      <c r="E22" s="3" t="s">
        <v>1098</v>
      </c>
      <c r="F22" s="3">
        <v>1495461</v>
      </c>
      <c r="G22" s="3">
        <v>1495461</v>
      </c>
      <c r="H22" s="3" t="s">
        <v>1099</v>
      </c>
      <c r="I22" s="9">
        <f t="shared" si="0"/>
        <v>0</v>
      </c>
    </row>
    <row r="23" spans="1:9">
      <c r="A23" s="2" t="s">
        <v>1100</v>
      </c>
      <c r="B23" s="2" t="s">
        <v>317</v>
      </c>
      <c r="C23" s="2" t="s">
        <v>1068</v>
      </c>
      <c r="D23" s="2" t="s">
        <v>934</v>
      </c>
      <c r="E23" s="2" t="s">
        <v>740</v>
      </c>
      <c r="F23" s="2">
        <v>1067752</v>
      </c>
      <c r="G23" s="2">
        <v>1067752</v>
      </c>
      <c r="H23" s="2" t="s">
        <v>689</v>
      </c>
      <c r="I23" s="9">
        <f t="shared" si="0"/>
        <v>0</v>
      </c>
    </row>
    <row r="24" spans="1:9">
      <c r="A24" s="3" t="s">
        <v>1101</v>
      </c>
      <c r="B24" s="3" t="s">
        <v>446</v>
      </c>
      <c r="C24" s="3" t="s">
        <v>1068</v>
      </c>
      <c r="D24" s="3" t="s">
        <v>946</v>
      </c>
      <c r="E24" s="3" t="s">
        <v>944</v>
      </c>
      <c r="F24" s="3">
        <v>1511794</v>
      </c>
      <c r="G24" s="3">
        <v>1511794</v>
      </c>
      <c r="H24" s="3" t="s">
        <v>1102</v>
      </c>
      <c r="I24" s="9">
        <f t="shared" si="0"/>
        <v>0</v>
      </c>
    </row>
    <row r="25" spans="1:9">
      <c r="A25" s="2" t="s">
        <v>1103</v>
      </c>
      <c r="B25" s="2" t="s">
        <v>446</v>
      </c>
      <c r="C25" s="2" t="s">
        <v>1077</v>
      </c>
      <c r="D25" s="2" t="s">
        <v>1104</v>
      </c>
      <c r="E25" s="2" t="s">
        <v>1105</v>
      </c>
      <c r="F25" s="2">
        <v>779105</v>
      </c>
      <c r="G25" s="2">
        <v>584328</v>
      </c>
      <c r="H25" s="2" t="s">
        <v>918</v>
      </c>
      <c r="I25" s="9">
        <f t="shared" si="0"/>
        <v>194777</v>
      </c>
    </row>
    <row r="26" spans="1:9">
      <c r="A26" s="3" t="s">
        <v>1106</v>
      </c>
      <c r="B26" s="3" t="s">
        <v>318</v>
      </c>
      <c r="C26" s="3" t="s">
        <v>1107</v>
      </c>
      <c r="D26" s="3" t="s">
        <v>1042</v>
      </c>
      <c r="E26" s="3" t="s">
        <v>1108</v>
      </c>
      <c r="F26" s="3">
        <v>1212913</v>
      </c>
      <c r="G26" s="3">
        <v>606456</v>
      </c>
      <c r="H26" s="3" t="s">
        <v>1109</v>
      </c>
      <c r="I26" s="9">
        <f t="shared" si="0"/>
        <v>606457</v>
      </c>
    </row>
    <row r="27" spans="1:9">
      <c r="A27" s="2" t="s">
        <v>1110</v>
      </c>
      <c r="B27" s="2" t="s">
        <v>446</v>
      </c>
      <c r="C27" s="2" t="s">
        <v>1077</v>
      </c>
      <c r="D27" s="2" t="s">
        <v>566</v>
      </c>
      <c r="E27" s="2" t="s">
        <v>622</v>
      </c>
      <c r="F27" s="2">
        <v>670070</v>
      </c>
      <c r="G27" s="2">
        <v>502552</v>
      </c>
      <c r="H27" s="2" t="s">
        <v>1111</v>
      </c>
      <c r="I27" s="9">
        <f t="shared" si="0"/>
        <v>167518</v>
      </c>
    </row>
    <row r="28" spans="1:9">
      <c r="A28" s="3" t="s">
        <v>1112</v>
      </c>
      <c r="B28" s="3" t="s">
        <v>318</v>
      </c>
      <c r="C28" s="3" t="s">
        <v>1113</v>
      </c>
      <c r="D28" s="3" t="s">
        <v>1114</v>
      </c>
      <c r="E28" s="3" t="s">
        <v>1115</v>
      </c>
      <c r="F28" s="3">
        <v>1677217</v>
      </c>
      <c r="G28" s="3">
        <v>1677217</v>
      </c>
      <c r="H28" s="3" t="s">
        <v>892</v>
      </c>
      <c r="I28" s="9">
        <f t="shared" si="0"/>
        <v>0</v>
      </c>
    </row>
    <row r="29" spans="1:9">
      <c r="A29" s="2" t="s">
        <v>1116</v>
      </c>
      <c r="B29" s="2" t="s">
        <v>337</v>
      </c>
      <c r="C29" s="2" t="s">
        <v>1077</v>
      </c>
      <c r="D29" s="2" t="s">
        <v>1117</v>
      </c>
      <c r="E29" s="2" t="s">
        <v>1118</v>
      </c>
      <c r="F29" s="2">
        <v>1349677</v>
      </c>
      <c r="G29" s="2">
        <v>1012257</v>
      </c>
      <c r="H29" s="2" t="s">
        <v>990</v>
      </c>
      <c r="I29" s="9">
        <f t="shared" si="0"/>
        <v>337420</v>
      </c>
    </row>
    <row r="30" spans="1:9">
      <c r="A30" s="3" t="s">
        <v>1119</v>
      </c>
      <c r="B30" s="3" t="s">
        <v>318</v>
      </c>
      <c r="C30" s="3" t="s">
        <v>1120</v>
      </c>
      <c r="D30" s="3" t="s">
        <v>454</v>
      </c>
      <c r="E30" s="3" t="s">
        <v>1121</v>
      </c>
      <c r="F30" s="3">
        <v>1180273</v>
      </c>
      <c r="G30" s="3">
        <v>1180273</v>
      </c>
      <c r="H30" s="3" t="s">
        <v>1122</v>
      </c>
      <c r="I30" s="9">
        <f t="shared" si="0"/>
        <v>0</v>
      </c>
    </row>
    <row r="31" spans="1:9">
      <c r="A31" s="2" t="s">
        <v>1123</v>
      </c>
      <c r="B31" s="2" t="s">
        <v>446</v>
      </c>
      <c r="C31" s="2" t="s">
        <v>1113</v>
      </c>
      <c r="D31" s="2" t="s">
        <v>1124</v>
      </c>
      <c r="E31" s="2" t="s">
        <v>363</v>
      </c>
      <c r="F31" s="2">
        <v>1206511</v>
      </c>
      <c r="G31" s="2">
        <v>603255</v>
      </c>
      <c r="H31" s="2" t="s">
        <v>341</v>
      </c>
      <c r="I31" s="9">
        <f t="shared" si="0"/>
        <v>603256</v>
      </c>
    </row>
    <row r="32" spans="1:9">
      <c r="A32" s="3" t="s">
        <v>1125</v>
      </c>
      <c r="B32" s="3" t="s">
        <v>318</v>
      </c>
      <c r="C32" s="3" t="s">
        <v>1059</v>
      </c>
      <c r="D32" s="3" t="s">
        <v>606</v>
      </c>
      <c r="E32" s="3" t="s">
        <v>518</v>
      </c>
      <c r="F32" s="3">
        <v>725333</v>
      </c>
      <c r="G32" s="3">
        <v>0</v>
      </c>
      <c r="H32" s="3"/>
      <c r="I32" s="9">
        <f t="shared" si="0"/>
        <v>725333</v>
      </c>
    </row>
    <row r="33" spans="1:9">
      <c r="A33" s="2" t="s">
        <v>1126</v>
      </c>
      <c r="B33" s="2" t="s">
        <v>283</v>
      </c>
      <c r="C33" s="2" t="s">
        <v>1080</v>
      </c>
      <c r="D33" s="2" t="s">
        <v>454</v>
      </c>
      <c r="E33" s="2" t="s">
        <v>1121</v>
      </c>
      <c r="F33" s="2">
        <v>189837</v>
      </c>
      <c r="G33" s="2">
        <v>0</v>
      </c>
      <c r="H33" s="2"/>
      <c r="I33" s="9">
        <f t="shared" si="0"/>
        <v>189837</v>
      </c>
    </row>
    <row r="34" spans="1:9">
      <c r="A34" s="3" t="s">
        <v>1127</v>
      </c>
      <c r="B34" s="3" t="s">
        <v>317</v>
      </c>
      <c r="C34" s="3" t="s">
        <v>1077</v>
      </c>
      <c r="D34" s="3" t="s">
        <v>350</v>
      </c>
      <c r="E34" s="3" t="s">
        <v>1128</v>
      </c>
      <c r="F34" s="3">
        <v>115585</v>
      </c>
      <c r="G34" s="3">
        <v>57792</v>
      </c>
      <c r="H34" s="3" t="s">
        <v>1129</v>
      </c>
      <c r="I34" s="9">
        <f t="shared" si="0"/>
        <v>57793</v>
      </c>
    </row>
    <row r="35" spans="1:9">
      <c r="A35" s="2" t="s">
        <v>1130</v>
      </c>
      <c r="B35" s="2" t="s">
        <v>337</v>
      </c>
      <c r="C35" s="2" t="s">
        <v>1070</v>
      </c>
      <c r="D35" s="2" t="s">
        <v>740</v>
      </c>
      <c r="E35" s="2" t="s">
        <v>1131</v>
      </c>
      <c r="F35" s="2">
        <v>116725</v>
      </c>
      <c r="G35" s="2">
        <v>116725</v>
      </c>
      <c r="H35" s="2" t="s">
        <v>1132</v>
      </c>
      <c r="I35" s="9">
        <f t="shared" si="0"/>
        <v>0</v>
      </c>
    </row>
    <row r="36" spans="1:9">
      <c r="A36" s="3" t="s">
        <v>1133</v>
      </c>
      <c r="B36" s="3" t="s">
        <v>337</v>
      </c>
      <c r="C36" s="3" t="s">
        <v>1080</v>
      </c>
      <c r="D36" s="3" t="s">
        <v>1111</v>
      </c>
      <c r="E36" s="3" t="s">
        <v>931</v>
      </c>
      <c r="F36" s="3">
        <v>1520762</v>
      </c>
      <c r="G36" s="3">
        <v>1520762</v>
      </c>
      <c r="H36" s="3" t="s">
        <v>1134</v>
      </c>
      <c r="I36" s="9">
        <f t="shared" si="0"/>
        <v>0</v>
      </c>
    </row>
    <row r="37" spans="1:9">
      <c r="A37" s="2" t="s">
        <v>1135</v>
      </c>
      <c r="B37" s="2" t="s">
        <v>283</v>
      </c>
      <c r="C37" s="2" t="s">
        <v>1084</v>
      </c>
      <c r="D37" s="2" t="s">
        <v>1136</v>
      </c>
      <c r="E37" s="2" t="s">
        <v>1137</v>
      </c>
      <c r="F37" s="2">
        <v>1320776</v>
      </c>
      <c r="G37" s="2">
        <v>1320776</v>
      </c>
      <c r="H37" s="2" t="s">
        <v>937</v>
      </c>
      <c r="I37" s="9">
        <f t="shared" si="0"/>
        <v>0</v>
      </c>
    </row>
    <row r="38" spans="1:9">
      <c r="A38" s="3" t="s">
        <v>1138</v>
      </c>
      <c r="B38" s="3" t="s">
        <v>283</v>
      </c>
      <c r="C38" s="3" t="s">
        <v>1070</v>
      </c>
      <c r="D38" s="3" t="s">
        <v>460</v>
      </c>
      <c r="E38" s="3" t="s">
        <v>1014</v>
      </c>
      <c r="F38" s="3">
        <v>1080552</v>
      </c>
      <c r="G38" s="3">
        <v>0</v>
      </c>
      <c r="H38" s="3"/>
      <c r="I38" s="9">
        <f t="shared" si="0"/>
        <v>1080552</v>
      </c>
    </row>
    <row r="39" spans="1:9">
      <c r="A39" s="2" t="s">
        <v>1139</v>
      </c>
      <c r="B39" s="2" t="s">
        <v>337</v>
      </c>
      <c r="C39" s="2" t="s">
        <v>1062</v>
      </c>
      <c r="D39" s="2" t="s">
        <v>749</v>
      </c>
      <c r="E39" s="2" t="s">
        <v>894</v>
      </c>
      <c r="F39" s="2">
        <v>1220252</v>
      </c>
      <c r="G39" s="2">
        <v>1220252</v>
      </c>
      <c r="H39" s="2" t="s">
        <v>987</v>
      </c>
      <c r="I39" s="9">
        <f t="shared" si="0"/>
        <v>0</v>
      </c>
    </row>
    <row r="40" spans="1:9">
      <c r="A40" s="3" t="s">
        <v>1140</v>
      </c>
      <c r="B40" s="3" t="s">
        <v>318</v>
      </c>
      <c r="C40" s="3" t="s">
        <v>1062</v>
      </c>
      <c r="D40" s="3" t="s">
        <v>1047</v>
      </c>
      <c r="E40" s="3" t="s">
        <v>1141</v>
      </c>
      <c r="F40" s="3">
        <v>1343802</v>
      </c>
      <c r="G40" s="3">
        <v>1007851</v>
      </c>
      <c r="H40" s="3" t="s">
        <v>1142</v>
      </c>
      <c r="I40" s="9">
        <f t="shared" si="0"/>
        <v>335951</v>
      </c>
    </row>
    <row r="41" spans="1:9">
      <c r="A41" s="2" t="s">
        <v>1143</v>
      </c>
      <c r="B41" s="2" t="s">
        <v>283</v>
      </c>
      <c r="C41" s="2" t="s">
        <v>1120</v>
      </c>
      <c r="D41" s="2" t="s">
        <v>1144</v>
      </c>
      <c r="E41" s="2" t="s">
        <v>1145</v>
      </c>
      <c r="F41" s="2">
        <v>687334</v>
      </c>
      <c r="G41" s="2">
        <v>0</v>
      </c>
      <c r="H41" s="2"/>
      <c r="I41" s="9">
        <f t="shared" si="0"/>
        <v>687334</v>
      </c>
    </row>
    <row r="42" spans="1:9">
      <c r="A42" s="3" t="s">
        <v>1146</v>
      </c>
      <c r="B42" s="3" t="s">
        <v>317</v>
      </c>
      <c r="C42" s="3" t="s">
        <v>1080</v>
      </c>
      <c r="D42" s="3" t="s">
        <v>718</v>
      </c>
      <c r="E42" s="3" t="s">
        <v>1066</v>
      </c>
      <c r="F42" s="3">
        <v>262284</v>
      </c>
      <c r="G42" s="3">
        <v>262284</v>
      </c>
      <c r="H42" s="3" t="s">
        <v>1147</v>
      </c>
      <c r="I42" s="9">
        <f t="shared" si="0"/>
        <v>0</v>
      </c>
    </row>
    <row r="43" spans="1:9">
      <c r="A43" s="2" t="s">
        <v>1148</v>
      </c>
      <c r="B43" s="2" t="s">
        <v>446</v>
      </c>
      <c r="C43" s="2" t="s">
        <v>1059</v>
      </c>
      <c r="D43" s="2" t="s">
        <v>556</v>
      </c>
      <c r="E43" s="2" t="s">
        <v>1149</v>
      </c>
      <c r="F43" s="2">
        <v>455000</v>
      </c>
      <c r="G43" s="2">
        <v>455000</v>
      </c>
      <c r="H43" s="2" t="s">
        <v>1150</v>
      </c>
      <c r="I43" s="9">
        <f t="shared" si="0"/>
        <v>0</v>
      </c>
    </row>
    <row r="44" spans="1:9">
      <c r="A44" s="3" t="s">
        <v>1151</v>
      </c>
      <c r="B44" s="3" t="s">
        <v>446</v>
      </c>
      <c r="C44" s="3" t="s">
        <v>1077</v>
      </c>
      <c r="D44" s="3" t="s">
        <v>523</v>
      </c>
      <c r="E44" s="3" t="s">
        <v>996</v>
      </c>
      <c r="F44" s="3">
        <v>1621174</v>
      </c>
      <c r="G44" s="3">
        <v>1621174</v>
      </c>
      <c r="H44" s="3" t="s">
        <v>518</v>
      </c>
      <c r="I44" s="9">
        <f t="shared" si="0"/>
        <v>0</v>
      </c>
    </row>
    <row r="46" spans="1:9" ht="15.6">
      <c r="A46" s="7" t="s">
        <v>209</v>
      </c>
    </row>
    <row r="47" spans="1:9">
      <c r="A47" s="96" t="s">
        <v>1152</v>
      </c>
      <c r="B47" s="96"/>
      <c r="C47" s="96"/>
      <c r="D47" s="96"/>
      <c r="E47" s="96"/>
      <c r="F47" s="96"/>
    </row>
    <row r="48" spans="1:9">
      <c r="A48" s="96" t="s">
        <v>1153</v>
      </c>
      <c r="B48" s="96"/>
      <c r="C48" s="96"/>
      <c r="D48" s="96"/>
      <c r="E48" s="96"/>
      <c r="F48" s="96"/>
    </row>
    <row r="49" spans="1:6">
      <c r="A49" s="96" t="s">
        <v>1154</v>
      </c>
      <c r="B49" s="96"/>
      <c r="C49" s="96"/>
      <c r="D49" s="96"/>
      <c r="E49" s="96"/>
      <c r="F49" s="96"/>
    </row>
    <row r="50" spans="1:6">
      <c r="A50" s="96" t="s">
        <v>1155</v>
      </c>
      <c r="B50" s="96"/>
      <c r="C50" s="96"/>
      <c r="D50" s="96"/>
      <c r="E50" s="96"/>
      <c r="F50" s="96"/>
    </row>
    <row r="51" spans="1:6">
      <c r="A51" s="96" t="s">
        <v>1156</v>
      </c>
      <c r="B51" s="96"/>
      <c r="C51" s="96"/>
      <c r="D51" s="96"/>
      <c r="E51" s="96"/>
      <c r="F51" s="96"/>
    </row>
    <row r="52" spans="1:6">
      <c r="A52" s="96" t="s">
        <v>1157</v>
      </c>
      <c r="B52" s="96"/>
      <c r="C52" s="96"/>
      <c r="D52" s="96"/>
      <c r="E52" s="96"/>
      <c r="F52" s="96"/>
    </row>
  </sheetData>
  <mergeCells count="8">
    <mergeCell ref="A50:F50"/>
    <mergeCell ref="A51:F51"/>
    <mergeCell ref="A52:F52"/>
    <mergeCell ref="A1:H1"/>
    <mergeCell ref="A2:H2"/>
    <mergeCell ref="A47:F47"/>
    <mergeCell ref="A48:F48"/>
    <mergeCell ref="A49:F49"/>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B2A4A"/>
  </sheetPr>
  <dimension ref="A1:L38"/>
  <sheetViews>
    <sheetView topLeftCell="A22" zoomScaleNormal="100" workbookViewId="0">
      <selection activeCell="A32" sqref="A32:F38"/>
    </sheetView>
  </sheetViews>
  <sheetFormatPr defaultColWidth="8.6640625" defaultRowHeight="14.4"/>
  <cols>
    <col min="1" max="1" width="12" customWidth="1"/>
    <col min="2" max="2" width="28" customWidth="1"/>
    <col min="3" max="3" width="12" customWidth="1"/>
    <col min="4" max="4" width="22" customWidth="1"/>
    <col min="5" max="5" width="14" customWidth="1"/>
    <col min="6" max="7" width="16" customWidth="1"/>
    <col min="8" max="8" width="12" customWidth="1"/>
    <col min="9" max="10" width="8" customWidth="1"/>
    <col min="11" max="11" width="12" customWidth="1"/>
    <col min="12" max="12" width="18" customWidth="1"/>
  </cols>
  <sheetData>
    <row r="1" spans="1:12" ht="17.399999999999999">
      <c r="A1" s="134" t="s">
        <v>1158</v>
      </c>
      <c r="B1" s="134"/>
      <c r="C1" s="134"/>
      <c r="D1" s="134"/>
      <c r="E1" s="134"/>
      <c r="F1" s="134"/>
      <c r="G1" s="134"/>
      <c r="H1" s="134"/>
      <c r="I1" s="134"/>
      <c r="J1" s="134"/>
      <c r="K1" s="134"/>
    </row>
    <row r="2" spans="1:12">
      <c r="A2" s="119" t="s">
        <v>1159</v>
      </c>
      <c r="B2" s="119"/>
      <c r="C2" s="119"/>
      <c r="D2" s="119"/>
      <c r="E2" s="119"/>
      <c r="F2" s="119"/>
      <c r="G2" s="119"/>
      <c r="H2" s="119"/>
      <c r="I2" s="119"/>
      <c r="J2" s="119"/>
      <c r="K2" s="119"/>
    </row>
    <row r="4" spans="1:12" ht="26.4">
      <c r="A4" s="1" t="s">
        <v>68</v>
      </c>
      <c r="B4" s="1" t="s">
        <v>69</v>
      </c>
      <c r="C4" s="1" t="s">
        <v>71</v>
      </c>
      <c r="D4" s="1" t="s">
        <v>72</v>
      </c>
      <c r="E4" s="1" t="s">
        <v>655</v>
      </c>
      <c r="F4" s="1" t="s">
        <v>1160</v>
      </c>
      <c r="G4" s="1" t="s">
        <v>1161</v>
      </c>
      <c r="H4" s="1" t="s">
        <v>1162</v>
      </c>
      <c r="I4" s="1" t="s">
        <v>840</v>
      </c>
      <c r="J4" s="1" t="s">
        <v>841</v>
      </c>
      <c r="K4" s="1" t="s">
        <v>1163</v>
      </c>
      <c r="L4" s="4" t="s">
        <v>1164</v>
      </c>
    </row>
    <row r="5" spans="1:12">
      <c r="A5" s="2" t="s">
        <v>1165</v>
      </c>
      <c r="B5" s="2" t="s">
        <v>1166</v>
      </c>
      <c r="C5" s="2" t="s">
        <v>81</v>
      </c>
      <c r="D5" s="2" t="s">
        <v>107</v>
      </c>
      <c r="E5" s="2" t="s">
        <v>1167</v>
      </c>
      <c r="F5" s="2">
        <v>95528859</v>
      </c>
      <c r="G5" s="2">
        <v>71188774</v>
      </c>
      <c r="H5" s="2">
        <v>68</v>
      </c>
      <c r="I5" s="2">
        <v>0.91</v>
      </c>
      <c r="J5" s="2">
        <v>0.79</v>
      </c>
      <c r="K5" s="2" t="s">
        <v>1168</v>
      </c>
      <c r="L5" s="9">
        <f t="shared" ref="L5:L29" si="0">G5-F5*H5/100</f>
        <v>6229149.8800000027</v>
      </c>
    </row>
    <row r="6" spans="1:12" ht="26.4">
      <c r="A6" s="3" t="s">
        <v>1169</v>
      </c>
      <c r="B6" s="3" t="s">
        <v>1170</v>
      </c>
      <c r="C6" s="3" t="s">
        <v>111</v>
      </c>
      <c r="D6" s="3" t="s">
        <v>100</v>
      </c>
      <c r="E6" s="3" t="s">
        <v>1167</v>
      </c>
      <c r="F6" s="3">
        <v>93252435</v>
      </c>
      <c r="G6" s="3">
        <v>29007060</v>
      </c>
      <c r="H6" s="3">
        <v>30</v>
      </c>
      <c r="I6" s="3">
        <v>1</v>
      </c>
      <c r="J6" s="3">
        <v>1.1200000000000001</v>
      </c>
      <c r="K6" s="3" t="s">
        <v>1171</v>
      </c>
      <c r="L6" s="9">
        <f t="shared" si="0"/>
        <v>1031329.5</v>
      </c>
    </row>
    <row r="7" spans="1:12">
      <c r="A7" s="2" t="s">
        <v>1172</v>
      </c>
      <c r="B7" s="2" t="s">
        <v>1173</v>
      </c>
      <c r="C7" s="2" t="s">
        <v>111</v>
      </c>
      <c r="D7" s="2" t="s">
        <v>123</v>
      </c>
      <c r="E7" s="2" t="s">
        <v>1167</v>
      </c>
      <c r="F7" s="2">
        <v>60343779</v>
      </c>
      <c r="G7" s="2">
        <v>54951597</v>
      </c>
      <c r="H7" s="2">
        <v>91</v>
      </c>
      <c r="I7" s="2">
        <v>1.06</v>
      </c>
      <c r="J7" s="2">
        <v>0.99</v>
      </c>
      <c r="K7" s="2" t="s">
        <v>1168</v>
      </c>
      <c r="L7" s="9">
        <f t="shared" si="0"/>
        <v>38758.109999999404</v>
      </c>
    </row>
    <row r="8" spans="1:12">
      <c r="A8" s="3" t="s">
        <v>1174</v>
      </c>
      <c r="B8" s="3" t="s">
        <v>1175</v>
      </c>
      <c r="C8" s="3" t="s">
        <v>95</v>
      </c>
      <c r="D8" s="3" t="s">
        <v>85</v>
      </c>
      <c r="E8" s="3" t="s">
        <v>1167</v>
      </c>
      <c r="F8" s="3">
        <v>53319528</v>
      </c>
      <c r="G8" s="3">
        <v>35960753</v>
      </c>
      <c r="H8" s="3">
        <v>67</v>
      </c>
      <c r="I8" s="3">
        <v>0.9</v>
      </c>
      <c r="J8" s="3">
        <v>1.04</v>
      </c>
      <c r="K8" s="3" t="s">
        <v>1171</v>
      </c>
      <c r="L8" s="9">
        <f t="shared" si="0"/>
        <v>236669.24000000209</v>
      </c>
    </row>
    <row r="9" spans="1:12">
      <c r="A9" s="2" t="s">
        <v>1176</v>
      </c>
      <c r="B9" s="2" t="s">
        <v>1177</v>
      </c>
      <c r="C9" s="2" t="s">
        <v>81</v>
      </c>
      <c r="D9" s="2" t="s">
        <v>85</v>
      </c>
      <c r="E9" s="2" t="s">
        <v>1178</v>
      </c>
      <c r="F9" s="2">
        <v>45512501</v>
      </c>
      <c r="G9" s="2">
        <v>4346975</v>
      </c>
      <c r="H9" s="2">
        <v>10</v>
      </c>
      <c r="I9" s="2">
        <v>0.81</v>
      </c>
      <c r="J9" s="2">
        <v>1.0900000000000001</v>
      </c>
      <c r="K9" s="2" t="s">
        <v>1179</v>
      </c>
      <c r="L9" s="9">
        <f t="shared" si="0"/>
        <v>-204275.09999999963</v>
      </c>
    </row>
    <row r="10" spans="1:12">
      <c r="A10" s="3" t="s">
        <v>1180</v>
      </c>
      <c r="B10" s="3" t="s">
        <v>1181</v>
      </c>
      <c r="C10" s="3" t="s">
        <v>95</v>
      </c>
      <c r="D10" s="3" t="s">
        <v>85</v>
      </c>
      <c r="E10" s="3" t="s">
        <v>1178</v>
      </c>
      <c r="F10" s="3">
        <v>17655004</v>
      </c>
      <c r="G10" s="3">
        <v>2499209</v>
      </c>
      <c r="H10" s="3">
        <v>14</v>
      </c>
      <c r="I10" s="3">
        <v>0.78</v>
      </c>
      <c r="J10" s="3">
        <v>0.86</v>
      </c>
      <c r="K10" s="3" t="s">
        <v>1168</v>
      </c>
      <c r="L10" s="9">
        <f t="shared" si="0"/>
        <v>27508.439999999944</v>
      </c>
    </row>
    <row r="11" spans="1:12">
      <c r="A11" s="2" t="s">
        <v>1182</v>
      </c>
      <c r="B11" s="2" t="s">
        <v>1183</v>
      </c>
      <c r="C11" s="2" t="s">
        <v>81</v>
      </c>
      <c r="D11" s="2" t="s">
        <v>117</v>
      </c>
      <c r="E11" s="2" t="s">
        <v>1167</v>
      </c>
      <c r="F11" s="2">
        <v>17335296</v>
      </c>
      <c r="G11" s="2">
        <v>14243396</v>
      </c>
      <c r="H11" s="2">
        <v>83</v>
      </c>
      <c r="I11" s="2">
        <v>1.1599999999999999</v>
      </c>
      <c r="J11" s="2">
        <v>1.04</v>
      </c>
      <c r="K11" s="2" t="s">
        <v>1171</v>
      </c>
      <c r="L11" s="9">
        <f t="shared" si="0"/>
        <v>-144899.6799999997</v>
      </c>
    </row>
    <row r="12" spans="1:12">
      <c r="A12" s="3" t="s">
        <v>1184</v>
      </c>
      <c r="B12" s="3" t="s">
        <v>1185</v>
      </c>
      <c r="C12" s="3" t="s">
        <v>111</v>
      </c>
      <c r="D12" s="3" t="s">
        <v>150</v>
      </c>
      <c r="E12" s="3" t="s">
        <v>1186</v>
      </c>
      <c r="F12" s="3">
        <v>97555887</v>
      </c>
      <c r="G12" s="3">
        <v>0</v>
      </c>
      <c r="H12" s="3">
        <v>0</v>
      </c>
      <c r="I12" s="3">
        <v>1.1100000000000001</v>
      </c>
      <c r="J12" s="3">
        <v>0.79</v>
      </c>
      <c r="K12" s="3" t="s">
        <v>1171</v>
      </c>
      <c r="L12" s="9">
        <f t="shared" si="0"/>
        <v>0</v>
      </c>
    </row>
    <row r="13" spans="1:12">
      <c r="A13" s="2" t="s">
        <v>1187</v>
      </c>
      <c r="B13" s="2" t="s">
        <v>1188</v>
      </c>
      <c r="C13" s="2" t="s">
        <v>81</v>
      </c>
      <c r="D13" s="2" t="s">
        <v>107</v>
      </c>
      <c r="E13" s="2" t="s">
        <v>1186</v>
      </c>
      <c r="F13" s="2">
        <v>15533057</v>
      </c>
      <c r="G13" s="2">
        <v>0</v>
      </c>
      <c r="H13" s="2">
        <v>0</v>
      </c>
      <c r="I13" s="2">
        <v>1.1599999999999999</v>
      </c>
      <c r="J13" s="2">
        <v>0.88</v>
      </c>
      <c r="K13" s="2" t="s">
        <v>886</v>
      </c>
      <c r="L13" s="9">
        <f t="shared" si="0"/>
        <v>0</v>
      </c>
    </row>
    <row r="14" spans="1:12">
      <c r="A14" s="3" t="s">
        <v>1189</v>
      </c>
      <c r="B14" s="3" t="s">
        <v>1190</v>
      </c>
      <c r="C14" s="3" t="s">
        <v>95</v>
      </c>
      <c r="D14" s="3" t="s">
        <v>89</v>
      </c>
      <c r="E14" s="3" t="s">
        <v>1178</v>
      </c>
      <c r="F14" s="3">
        <v>92614538</v>
      </c>
      <c r="G14" s="3">
        <v>94677516</v>
      </c>
      <c r="H14" s="3">
        <v>87</v>
      </c>
      <c r="I14" s="3">
        <v>1.02</v>
      </c>
      <c r="J14" s="3">
        <v>1</v>
      </c>
      <c r="K14" s="3" t="s">
        <v>1179</v>
      </c>
      <c r="L14" s="9">
        <f t="shared" si="0"/>
        <v>14102867.939999998</v>
      </c>
    </row>
    <row r="15" spans="1:12">
      <c r="A15" s="2" t="s">
        <v>1191</v>
      </c>
      <c r="B15" s="2" t="s">
        <v>1192</v>
      </c>
      <c r="C15" s="2" t="s">
        <v>95</v>
      </c>
      <c r="D15" s="2" t="s">
        <v>85</v>
      </c>
      <c r="E15" s="2" t="s">
        <v>831</v>
      </c>
      <c r="F15" s="2">
        <v>47857940</v>
      </c>
      <c r="G15" s="2">
        <v>39611941</v>
      </c>
      <c r="H15" s="2">
        <v>79</v>
      </c>
      <c r="I15" s="2">
        <v>0.86</v>
      </c>
      <c r="J15" s="2">
        <v>1.03</v>
      </c>
      <c r="K15" s="2" t="s">
        <v>1168</v>
      </c>
      <c r="L15" s="9">
        <f t="shared" si="0"/>
        <v>1804168.3999999985</v>
      </c>
    </row>
    <row r="16" spans="1:12">
      <c r="A16" s="3" t="s">
        <v>1193</v>
      </c>
      <c r="B16" s="3" t="s">
        <v>1194</v>
      </c>
      <c r="C16" s="3" t="s">
        <v>81</v>
      </c>
      <c r="D16" s="3" t="s">
        <v>100</v>
      </c>
      <c r="E16" s="3" t="s">
        <v>1186</v>
      </c>
      <c r="F16" s="3">
        <v>84877290</v>
      </c>
      <c r="G16" s="3">
        <v>0</v>
      </c>
      <c r="H16" s="3">
        <v>0</v>
      </c>
      <c r="I16" s="3">
        <v>0.75</v>
      </c>
      <c r="J16" s="3">
        <v>0.92</v>
      </c>
      <c r="K16" s="3" t="s">
        <v>886</v>
      </c>
      <c r="L16" s="9">
        <f t="shared" si="0"/>
        <v>0</v>
      </c>
    </row>
    <row r="17" spans="1:12">
      <c r="A17" s="2" t="s">
        <v>1195</v>
      </c>
      <c r="B17" s="2" t="s">
        <v>1196</v>
      </c>
      <c r="C17" s="2" t="s">
        <v>81</v>
      </c>
      <c r="D17" s="2" t="s">
        <v>150</v>
      </c>
      <c r="E17" s="2" t="s">
        <v>1167</v>
      </c>
      <c r="F17" s="2">
        <v>16079017</v>
      </c>
      <c r="G17" s="2">
        <v>11818124</v>
      </c>
      <c r="H17" s="2">
        <v>70</v>
      </c>
      <c r="I17" s="2">
        <v>0.72</v>
      </c>
      <c r="J17" s="2">
        <v>0.91</v>
      </c>
      <c r="K17" s="2" t="s">
        <v>1179</v>
      </c>
      <c r="L17" s="9">
        <f t="shared" si="0"/>
        <v>562812.09999999963</v>
      </c>
    </row>
    <row r="18" spans="1:12">
      <c r="A18" s="3" t="s">
        <v>1197</v>
      </c>
      <c r="B18" s="3" t="s">
        <v>1175</v>
      </c>
      <c r="C18" s="3" t="s">
        <v>95</v>
      </c>
      <c r="D18" s="3" t="s">
        <v>85</v>
      </c>
      <c r="E18" s="3" t="s">
        <v>1186</v>
      </c>
      <c r="F18" s="3">
        <v>98666595</v>
      </c>
      <c r="G18" s="3">
        <v>0</v>
      </c>
      <c r="H18" s="3">
        <v>0</v>
      </c>
      <c r="I18" s="3">
        <v>0.77</v>
      </c>
      <c r="J18" s="3">
        <v>0.97</v>
      </c>
      <c r="K18" s="3" t="s">
        <v>886</v>
      </c>
      <c r="L18" s="9">
        <f t="shared" si="0"/>
        <v>0</v>
      </c>
    </row>
    <row r="19" spans="1:12">
      <c r="A19" s="2" t="s">
        <v>1198</v>
      </c>
      <c r="B19" s="2" t="s">
        <v>1199</v>
      </c>
      <c r="C19" s="2" t="s">
        <v>95</v>
      </c>
      <c r="D19" s="2" t="s">
        <v>107</v>
      </c>
      <c r="E19" s="2" t="s">
        <v>1178</v>
      </c>
      <c r="F19" s="2">
        <v>80318641</v>
      </c>
      <c r="G19" s="2">
        <v>84744219</v>
      </c>
      <c r="H19" s="2">
        <v>88</v>
      </c>
      <c r="I19" s="2">
        <v>0.96</v>
      </c>
      <c r="J19" s="2">
        <v>0.85</v>
      </c>
      <c r="K19" s="2" t="s">
        <v>1171</v>
      </c>
      <c r="L19" s="9">
        <f t="shared" si="0"/>
        <v>14063814.920000002</v>
      </c>
    </row>
    <row r="20" spans="1:12">
      <c r="A20" s="3" t="s">
        <v>1200</v>
      </c>
      <c r="B20" s="3" t="s">
        <v>1201</v>
      </c>
      <c r="C20" s="3" t="s">
        <v>95</v>
      </c>
      <c r="D20" s="3" t="s">
        <v>123</v>
      </c>
      <c r="E20" s="3" t="s">
        <v>831</v>
      </c>
      <c r="F20" s="3">
        <v>20103503</v>
      </c>
      <c r="G20" s="3">
        <v>18998132</v>
      </c>
      <c r="H20" s="3">
        <v>95</v>
      </c>
      <c r="I20" s="3">
        <v>0.88</v>
      </c>
      <c r="J20" s="3">
        <v>0.83</v>
      </c>
      <c r="K20" s="3" t="s">
        <v>1171</v>
      </c>
      <c r="L20" s="9">
        <f t="shared" si="0"/>
        <v>-100195.85000000149</v>
      </c>
    </row>
    <row r="21" spans="1:12">
      <c r="A21" s="2" t="s">
        <v>1202</v>
      </c>
      <c r="B21" s="2" t="s">
        <v>1203</v>
      </c>
      <c r="C21" s="2" t="s">
        <v>81</v>
      </c>
      <c r="D21" s="2" t="s">
        <v>117</v>
      </c>
      <c r="E21" s="2" t="s">
        <v>1178</v>
      </c>
      <c r="F21" s="2">
        <v>51938140</v>
      </c>
      <c r="G21" s="2">
        <v>51992565</v>
      </c>
      <c r="H21" s="2">
        <v>88</v>
      </c>
      <c r="I21" s="2">
        <v>1.1000000000000001</v>
      </c>
      <c r="J21" s="2">
        <v>1</v>
      </c>
      <c r="K21" s="2" t="s">
        <v>886</v>
      </c>
      <c r="L21" s="9">
        <f t="shared" si="0"/>
        <v>6287001.799999997</v>
      </c>
    </row>
    <row r="22" spans="1:12">
      <c r="A22" s="3" t="s">
        <v>1204</v>
      </c>
      <c r="B22" s="3" t="s">
        <v>1205</v>
      </c>
      <c r="C22" s="3" t="s">
        <v>81</v>
      </c>
      <c r="D22" s="3" t="s">
        <v>96</v>
      </c>
      <c r="E22" s="3" t="s">
        <v>1178</v>
      </c>
      <c r="F22" s="3">
        <v>96987358</v>
      </c>
      <c r="G22" s="3">
        <v>50008645</v>
      </c>
      <c r="H22" s="3">
        <v>57</v>
      </c>
      <c r="I22" s="3">
        <v>1.06</v>
      </c>
      <c r="J22" s="3">
        <v>0.78</v>
      </c>
      <c r="K22" s="3" t="s">
        <v>1179</v>
      </c>
      <c r="L22" s="9">
        <f t="shared" si="0"/>
        <v>-5274149.0600000024</v>
      </c>
    </row>
    <row r="23" spans="1:12">
      <c r="A23" s="2" t="s">
        <v>1206</v>
      </c>
      <c r="B23" s="2" t="s">
        <v>1207</v>
      </c>
      <c r="C23" s="2" t="s">
        <v>81</v>
      </c>
      <c r="D23" s="2" t="s">
        <v>107</v>
      </c>
      <c r="E23" s="2" t="s">
        <v>1178</v>
      </c>
      <c r="F23" s="2">
        <v>43612439</v>
      </c>
      <c r="G23" s="2">
        <v>4654142</v>
      </c>
      <c r="H23" s="2">
        <v>11</v>
      </c>
      <c r="I23" s="2">
        <v>1.1000000000000001</v>
      </c>
      <c r="J23" s="2">
        <v>0.87</v>
      </c>
      <c r="K23" s="2" t="s">
        <v>886</v>
      </c>
      <c r="L23" s="9">
        <f t="shared" si="0"/>
        <v>-143226.29000000004</v>
      </c>
    </row>
    <row r="24" spans="1:12">
      <c r="A24" s="3" t="s">
        <v>1208</v>
      </c>
      <c r="B24" s="3" t="s">
        <v>1209</v>
      </c>
      <c r="C24" s="3" t="s">
        <v>81</v>
      </c>
      <c r="D24" s="3" t="s">
        <v>123</v>
      </c>
      <c r="E24" s="3" t="s">
        <v>1178</v>
      </c>
      <c r="F24" s="3">
        <v>77209870</v>
      </c>
      <c r="G24" s="3">
        <v>26320248</v>
      </c>
      <c r="H24" s="3">
        <v>37</v>
      </c>
      <c r="I24" s="3">
        <v>0.96</v>
      </c>
      <c r="J24" s="3">
        <v>0.85</v>
      </c>
      <c r="K24" s="3" t="s">
        <v>886</v>
      </c>
      <c r="L24" s="9">
        <f t="shared" si="0"/>
        <v>-2247403.8999999985</v>
      </c>
    </row>
    <row r="25" spans="1:12">
      <c r="A25" s="2" t="s">
        <v>1210</v>
      </c>
      <c r="B25" s="2" t="s">
        <v>1211</v>
      </c>
      <c r="C25" s="2" t="s">
        <v>81</v>
      </c>
      <c r="D25" s="2" t="s">
        <v>82</v>
      </c>
      <c r="E25" s="2" t="s">
        <v>1186</v>
      </c>
      <c r="F25" s="2">
        <v>83249598</v>
      </c>
      <c r="G25" s="2">
        <v>0</v>
      </c>
      <c r="H25" s="2">
        <v>0</v>
      </c>
      <c r="I25" s="2">
        <v>0.96</v>
      </c>
      <c r="J25" s="2">
        <v>0.85</v>
      </c>
      <c r="K25" s="2" t="s">
        <v>1179</v>
      </c>
      <c r="L25" s="9">
        <f t="shared" si="0"/>
        <v>0</v>
      </c>
    </row>
    <row r="26" spans="1:12">
      <c r="A26" s="3" t="s">
        <v>1212</v>
      </c>
      <c r="B26" s="3" t="s">
        <v>1213</v>
      </c>
      <c r="C26" s="3" t="s">
        <v>95</v>
      </c>
      <c r="D26" s="3" t="s">
        <v>96</v>
      </c>
      <c r="E26" s="3" t="s">
        <v>1167</v>
      </c>
      <c r="F26" s="3">
        <v>12124981</v>
      </c>
      <c r="G26" s="3">
        <v>9028552</v>
      </c>
      <c r="H26" s="3">
        <v>69</v>
      </c>
      <c r="I26" s="3">
        <v>0.7</v>
      </c>
      <c r="J26" s="3">
        <v>0.91</v>
      </c>
      <c r="K26" s="3" t="s">
        <v>1171</v>
      </c>
      <c r="L26" s="9">
        <f t="shared" si="0"/>
        <v>662315.11000000034</v>
      </c>
    </row>
    <row r="27" spans="1:12">
      <c r="A27" s="2" t="s">
        <v>1214</v>
      </c>
      <c r="B27" s="2" t="s">
        <v>1215</v>
      </c>
      <c r="C27" s="2" t="s">
        <v>95</v>
      </c>
      <c r="D27" s="2" t="s">
        <v>89</v>
      </c>
      <c r="E27" s="2" t="s">
        <v>831</v>
      </c>
      <c r="F27" s="2">
        <v>44258091</v>
      </c>
      <c r="G27" s="2">
        <v>40554277</v>
      </c>
      <c r="H27" s="2">
        <v>93</v>
      </c>
      <c r="I27" s="2">
        <v>1.19</v>
      </c>
      <c r="J27" s="2">
        <v>0.95</v>
      </c>
      <c r="K27" s="2" t="s">
        <v>1179</v>
      </c>
      <c r="L27" s="9">
        <f t="shared" si="0"/>
        <v>-605747.63000000268</v>
      </c>
    </row>
    <row r="28" spans="1:12">
      <c r="A28" s="3" t="s">
        <v>1216</v>
      </c>
      <c r="B28" s="3" t="s">
        <v>1217</v>
      </c>
      <c r="C28" s="3" t="s">
        <v>95</v>
      </c>
      <c r="D28" s="3" t="s">
        <v>129</v>
      </c>
      <c r="E28" s="3" t="s">
        <v>831</v>
      </c>
      <c r="F28" s="3">
        <v>30020518</v>
      </c>
      <c r="G28" s="3">
        <v>10772254</v>
      </c>
      <c r="H28" s="3">
        <v>35</v>
      </c>
      <c r="I28" s="3">
        <v>0.93</v>
      </c>
      <c r="J28" s="3">
        <v>1.1200000000000001</v>
      </c>
      <c r="K28" s="3" t="s">
        <v>1179</v>
      </c>
      <c r="L28" s="9">
        <f t="shared" si="0"/>
        <v>265072.69999999925</v>
      </c>
    </row>
    <row r="29" spans="1:12">
      <c r="A29" s="2" t="s">
        <v>1218</v>
      </c>
      <c r="B29" s="2" t="s">
        <v>1205</v>
      </c>
      <c r="C29" s="2" t="s">
        <v>81</v>
      </c>
      <c r="D29" s="2" t="s">
        <v>96</v>
      </c>
      <c r="E29" s="2" t="s">
        <v>1167</v>
      </c>
      <c r="F29" s="2">
        <v>49770958</v>
      </c>
      <c r="G29" s="2">
        <v>35393957</v>
      </c>
      <c r="H29" s="2">
        <v>72</v>
      </c>
      <c r="I29" s="2">
        <v>0.78</v>
      </c>
      <c r="J29" s="2">
        <v>0.89</v>
      </c>
      <c r="K29" s="2" t="s">
        <v>1171</v>
      </c>
      <c r="L29" s="9">
        <f t="shared" si="0"/>
        <v>-441132.75999999791</v>
      </c>
    </row>
    <row r="31" spans="1:12" ht="15.6">
      <c r="A31" s="7" t="s">
        <v>209</v>
      </c>
    </row>
    <row r="32" spans="1:12">
      <c r="A32" s="96" t="s">
        <v>1219</v>
      </c>
      <c r="B32" s="96"/>
      <c r="C32" s="96"/>
      <c r="D32" s="96"/>
      <c r="E32" s="96"/>
      <c r="F32" s="96"/>
    </row>
    <row r="33" spans="1:6">
      <c r="A33" s="96" t="s">
        <v>1220</v>
      </c>
      <c r="B33" s="96"/>
      <c r="C33" s="96"/>
      <c r="D33" s="96"/>
      <c r="E33" s="96"/>
      <c r="F33" s="96"/>
    </row>
    <row r="34" spans="1:6">
      <c r="A34" s="96" t="s">
        <v>1221</v>
      </c>
      <c r="B34" s="96"/>
      <c r="C34" s="96"/>
      <c r="D34" s="96"/>
      <c r="E34" s="96"/>
      <c r="F34" s="96"/>
    </row>
    <row r="35" spans="1:6">
      <c r="A35" s="96" t="s">
        <v>1222</v>
      </c>
      <c r="B35" s="96"/>
      <c r="C35" s="96"/>
      <c r="D35" s="96"/>
      <c r="E35" s="96"/>
      <c r="F35" s="96"/>
    </row>
    <row r="36" spans="1:6">
      <c r="A36" s="96" t="s">
        <v>1223</v>
      </c>
      <c r="B36" s="96"/>
      <c r="C36" s="96"/>
      <c r="D36" s="96"/>
      <c r="E36" s="96"/>
      <c r="F36" s="96"/>
    </row>
    <row r="37" spans="1:6">
      <c r="A37" s="96" t="s">
        <v>1224</v>
      </c>
      <c r="B37" s="96"/>
      <c r="C37" s="96"/>
      <c r="D37" s="96"/>
      <c r="E37" s="96"/>
      <c r="F37" s="96"/>
    </row>
    <row r="38" spans="1:6">
      <c r="A38" s="96" t="s">
        <v>1225</v>
      </c>
      <c r="B38" s="96"/>
      <c r="C38" s="96"/>
      <c r="D38" s="96"/>
      <c r="E38" s="96"/>
      <c r="F38" s="96"/>
    </row>
  </sheetData>
  <mergeCells count="9">
    <mergeCell ref="A35:F35"/>
    <mergeCell ref="A36:F36"/>
    <mergeCell ref="A37:F37"/>
    <mergeCell ref="A38:F38"/>
    <mergeCell ref="A1:K1"/>
    <mergeCell ref="A2:K2"/>
    <mergeCell ref="A32:F32"/>
    <mergeCell ref="A33:F33"/>
    <mergeCell ref="A34:F34"/>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0B97-2505-4492-AA39-7385F95EC1C7}">
  <dimension ref="A1:V999"/>
  <sheetViews>
    <sheetView topLeftCell="A654" zoomScale="70" zoomScaleNormal="70" workbookViewId="0">
      <selection activeCell="E955" sqref="E955"/>
    </sheetView>
  </sheetViews>
  <sheetFormatPr defaultRowHeight="14.4"/>
  <cols>
    <col min="1" max="1" width="48.109375" customWidth="1"/>
    <col min="2" max="6" width="20.33203125" customWidth="1"/>
    <col min="8" max="8" width="42.5546875" customWidth="1"/>
  </cols>
  <sheetData>
    <row r="1" spans="1:9" ht="18">
      <c r="A1" s="37" t="s">
        <v>1297</v>
      </c>
    </row>
    <row r="2" spans="1:9">
      <c r="A2" s="38" t="s">
        <v>1298</v>
      </c>
    </row>
    <row r="5" spans="1:9">
      <c r="A5" s="41" t="s">
        <v>1299</v>
      </c>
      <c r="B5" s="41"/>
      <c r="C5" s="41"/>
      <c r="D5" s="41"/>
      <c r="E5" s="41"/>
      <c r="F5" s="41"/>
      <c r="H5" s="76" t="s">
        <v>1777</v>
      </c>
      <c r="I5" s="41"/>
    </row>
    <row r="6" spans="1:9">
      <c r="A6" s="42" t="s">
        <v>210</v>
      </c>
      <c r="H6" s="77" t="s">
        <v>1778</v>
      </c>
      <c r="I6" t="s">
        <v>1779</v>
      </c>
    </row>
    <row r="7" spans="1:9">
      <c r="A7" s="43" t="s">
        <v>71</v>
      </c>
      <c r="B7" s="43" t="s">
        <v>1300</v>
      </c>
      <c r="C7" s="43" t="s">
        <v>1301</v>
      </c>
      <c r="D7" s="43" t="s">
        <v>1302</v>
      </c>
      <c r="E7" s="43" t="s">
        <v>1303</v>
      </c>
      <c r="F7" s="43" t="s">
        <v>1304</v>
      </c>
      <c r="H7" s="77" t="s">
        <v>1780</v>
      </c>
      <c r="I7" t="s">
        <v>1781</v>
      </c>
    </row>
    <row r="8" spans="1:9">
      <c r="A8" t="s">
        <v>95</v>
      </c>
      <c r="B8" s="39">
        <f>AVERAGEIF('P01-CostOverrun'!$D$5:$D$54,$A8,'P01-CostOverrun'!$J$5:$J$54)</f>
        <v>0.16732436817697408</v>
      </c>
      <c r="C8">
        <f>COUNTIF('P01-CostOverrun'!$D$5:$D$54,$A8)</f>
        <v>15</v>
      </c>
      <c r="D8" s="48">
        <f>SUMIF('P01-CostOverrun'!$D$5:$D$54,$A8,'P01-CostOverrun'!$F$5:$F$54)</f>
        <v>690300200</v>
      </c>
      <c r="E8" s="48">
        <f>SUMIF('P01-CostOverrun'!$D$5:$D$54,$A8,'P01-CostOverrun'!$G$5:$G$54)</f>
        <v>826447969</v>
      </c>
      <c r="F8" s="39">
        <f>E8/D8-1</f>
        <v>0.19722979799223594</v>
      </c>
      <c r="H8" s="77" t="s">
        <v>1782</v>
      </c>
      <c r="I8" t="s">
        <v>1783</v>
      </c>
    </row>
    <row r="9" spans="1:9">
      <c r="A9" t="s">
        <v>81</v>
      </c>
      <c r="B9" s="39">
        <f>AVERAGEIF('P01-CostOverrun'!$D$5:$D$54,$A9,'P01-CostOverrun'!$J$5:$J$54)</f>
        <v>0.15763933156400675</v>
      </c>
      <c r="C9">
        <f>COUNTIF('P01-CostOverrun'!$D$5:$D$54,$A9)</f>
        <v>28</v>
      </c>
      <c r="D9" s="48">
        <f>SUMIF('P01-CostOverrun'!$D$5:$D$54,$A9,'P01-CostOverrun'!$F$5:$F$54)</f>
        <v>1171274510</v>
      </c>
      <c r="E9" s="48">
        <f>SUMIF('P01-CostOverrun'!$D$5:$D$54,$A9,'P01-CostOverrun'!$G$5:$G$54)</f>
        <v>1361321621</v>
      </c>
      <c r="F9" s="39">
        <f>E9/D9-1</f>
        <v>0.16225667798405352</v>
      </c>
      <c r="H9" s="77" t="s">
        <v>1784</v>
      </c>
      <c r="I9" t="s">
        <v>1785</v>
      </c>
    </row>
    <row r="10" spans="1:9">
      <c r="A10" t="s">
        <v>111</v>
      </c>
      <c r="B10" s="39">
        <f>AVERAGEIF('P01-CostOverrun'!$D$5:$D$54,$A10,'P01-CostOverrun'!$J$5:$J$54)</f>
        <v>0.19747604341132344</v>
      </c>
      <c r="C10">
        <f>COUNTIF('P01-CostOverrun'!$D$5:$D$54,$A10)</f>
        <v>7</v>
      </c>
      <c r="D10" s="48">
        <f>SUMIF('P01-CostOverrun'!$D$5:$D$54,$A10,'P01-CostOverrun'!$F$5:$F$54)</f>
        <v>290824343</v>
      </c>
      <c r="E10" s="48">
        <f>SUMIF('P01-CostOverrun'!$D$5:$D$54,$A10,'P01-CostOverrun'!$G$5:$G$54)</f>
        <v>344177656</v>
      </c>
      <c r="F10" s="39">
        <f>E10/D10-1</f>
        <v>0.18345545785347128</v>
      </c>
      <c r="H10" s="77" t="s">
        <v>1786</v>
      </c>
      <c r="I10" t="s">
        <v>1787</v>
      </c>
    </row>
    <row r="11" spans="1:9">
      <c r="A11" s="44" t="str">
        <f>"ANSWER: "&amp;INDEX($A$8:$A$10,MATCH(MAX($B$8:$B$10),$B$8:$B$10,0))&amp;" has the highest average cost overrun at "&amp;TEXT(MAX($B$8:$B$10),"0.0%")&amp;", vs "&amp;INDEX($A$8:$A$10,MATCH(MIN($B$8:$B$10),$B$8:$B$10,0))&amp;" the lowest at "&amp;TEXT(MIN($B$8:$B$10),"0.0%")&amp;"."</f>
        <v>ANSWER: New Zealand has the highest average cost overrun at 19.7%, vs India the lowest at 15.8%.</v>
      </c>
      <c r="H11" s="77" t="s">
        <v>1788</v>
      </c>
      <c r="I11" t="s">
        <v>1789</v>
      </c>
    </row>
    <row r="12" spans="1:9">
      <c r="H12" s="77" t="s">
        <v>1790</v>
      </c>
      <c r="I12" t="s">
        <v>1791</v>
      </c>
    </row>
    <row r="13" spans="1:9">
      <c r="A13" s="42" t="s">
        <v>211</v>
      </c>
      <c r="H13" s="77" t="s">
        <v>1792</v>
      </c>
      <c r="I13" t="s">
        <v>1793</v>
      </c>
    </row>
    <row r="14" spans="1:9">
      <c r="A14" s="43" t="s">
        <v>1237</v>
      </c>
      <c r="B14" s="43" t="s">
        <v>1302</v>
      </c>
      <c r="C14" s="43" t="s">
        <v>1303</v>
      </c>
      <c r="D14" s="43" t="s">
        <v>1305</v>
      </c>
      <c r="E14" s="43" t="s">
        <v>1306</v>
      </c>
      <c r="F14" s="43" t="s">
        <v>1301</v>
      </c>
      <c r="H14" s="77" t="s">
        <v>1794</v>
      </c>
      <c r="I14" t="s">
        <v>1795</v>
      </c>
    </row>
    <row r="15" spans="1:9">
      <c r="A15" t="s">
        <v>150</v>
      </c>
      <c r="B15" s="48">
        <f>SUMIF('P01-CostOverrun'!$E$5:$E$54,$A15,'P01-CostOverrun'!$F$5:$F$54)</f>
        <v>238232594</v>
      </c>
      <c r="C15" s="48">
        <f>SUMIF('P01-CostOverrun'!$E$5:$E$54,$A15,'P01-CostOverrun'!$G$5:$G$54)</f>
        <v>300895518</v>
      </c>
      <c r="D15" s="48">
        <f t="shared" ref="D15:D25" si="0">C15-B15</f>
        <v>62662924</v>
      </c>
      <c r="E15" s="39">
        <f t="shared" ref="E15:E25" si="1">D15/B15</f>
        <v>0.26303253869619536</v>
      </c>
      <c r="F15">
        <f>COUNTIF('P01-CostOverrun'!$E$5:$E$54,$A15)</f>
        <v>4</v>
      </c>
      <c r="H15" s="77" t="s">
        <v>1796</v>
      </c>
      <c r="I15" t="s">
        <v>1797</v>
      </c>
    </row>
    <row r="16" spans="1:9">
      <c r="A16" t="s">
        <v>85</v>
      </c>
      <c r="B16" s="48">
        <f>SUMIF('P01-CostOverrun'!$E$5:$E$54,$A16,'P01-CostOverrun'!$F$5:$F$54)</f>
        <v>207257585</v>
      </c>
      <c r="C16" s="48">
        <f>SUMIF('P01-CostOverrun'!$E$5:$E$54,$A16,'P01-CostOverrun'!$G$5:$G$54)</f>
        <v>251957838</v>
      </c>
      <c r="D16" s="48">
        <f t="shared" si="0"/>
        <v>44700253</v>
      </c>
      <c r="E16" s="39">
        <f t="shared" si="1"/>
        <v>0.2156748714407726</v>
      </c>
      <c r="F16">
        <f>COUNTIF('P01-CostOverrun'!$E$5:$E$54,$A16)</f>
        <v>7</v>
      </c>
      <c r="H16" s="77" t="s">
        <v>1798</v>
      </c>
      <c r="I16" t="s">
        <v>1799</v>
      </c>
    </row>
    <row r="17" spans="1:9">
      <c r="A17" t="s">
        <v>117</v>
      </c>
      <c r="B17" s="48">
        <f>SUMIF('P01-CostOverrun'!$E$5:$E$54,$A17,'P01-CostOverrun'!$F$5:$F$54)</f>
        <v>304580669</v>
      </c>
      <c r="C17" s="48">
        <f>SUMIF('P01-CostOverrun'!$E$5:$E$54,$A17,'P01-CostOverrun'!$G$5:$G$54)</f>
        <v>370758337</v>
      </c>
      <c r="D17" s="48">
        <f t="shared" si="0"/>
        <v>66177668</v>
      </c>
      <c r="E17" s="39">
        <f t="shared" si="1"/>
        <v>0.21727468199894195</v>
      </c>
      <c r="F17">
        <f>COUNTIF('P01-CostOverrun'!$E$5:$E$54,$A17)</f>
        <v>6</v>
      </c>
      <c r="H17" s="77" t="s">
        <v>1800</v>
      </c>
      <c r="I17" t="s">
        <v>1801</v>
      </c>
    </row>
    <row r="18" spans="1:9">
      <c r="A18" t="s">
        <v>100</v>
      </c>
      <c r="B18" s="48">
        <f>SUMIF('P01-CostOverrun'!$E$5:$E$54,$A18,'P01-CostOverrun'!$F$5:$F$54)</f>
        <v>162936980</v>
      </c>
      <c r="C18" s="48">
        <f>SUMIF('P01-CostOverrun'!$E$5:$E$54,$A18,'P01-CostOverrun'!$G$5:$G$54)</f>
        <v>186876390</v>
      </c>
      <c r="D18" s="48">
        <f t="shared" si="0"/>
        <v>23939410</v>
      </c>
      <c r="E18" s="39">
        <f t="shared" si="1"/>
        <v>0.14692435075205149</v>
      </c>
      <c r="F18">
        <f>COUNTIF('P01-CostOverrun'!$E$5:$E$54,$A18)</f>
        <v>3</v>
      </c>
      <c r="H18" s="77" t="s">
        <v>1802</v>
      </c>
      <c r="I18" t="s">
        <v>1803</v>
      </c>
    </row>
    <row r="19" spans="1:9">
      <c r="A19" t="s">
        <v>89</v>
      </c>
      <c r="B19" s="48">
        <f>SUMIF('P01-CostOverrun'!$E$5:$E$54,$A19,'P01-CostOverrun'!$F$5:$F$54)</f>
        <v>377404871</v>
      </c>
      <c r="C19" s="48">
        <f>SUMIF('P01-CostOverrun'!$E$5:$E$54,$A19,'P01-CostOverrun'!$G$5:$G$54)</f>
        <v>423300399</v>
      </c>
      <c r="D19" s="48">
        <f t="shared" si="0"/>
        <v>45895528</v>
      </c>
      <c r="E19" s="39">
        <f t="shared" si="1"/>
        <v>0.12160820256079842</v>
      </c>
      <c r="F19">
        <f>COUNTIF('P01-CostOverrun'!$E$5:$E$54,$A19)</f>
        <v>9</v>
      </c>
      <c r="H19" s="77" t="s">
        <v>1804</v>
      </c>
      <c r="I19" t="s">
        <v>1805</v>
      </c>
    </row>
    <row r="20" spans="1:9">
      <c r="A20" t="s">
        <v>96</v>
      </c>
      <c r="B20" s="48">
        <f>SUMIF('P01-CostOverrun'!$E$5:$E$54,$A20,'P01-CostOverrun'!$F$5:$F$54)</f>
        <v>202218749</v>
      </c>
      <c r="C20" s="48">
        <f>SUMIF('P01-CostOverrun'!$E$5:$E$54,$A20,'P01-CostOverrun'!$G$5:$G$54)</f>
        <v>252196787</v>
      </c>
      <c r="D20" s="48">
        <f t="shared" si="0"/>
        <v>49978038</v>
      </c>
      <c r="E20" s="39">
        <f t="shared" si="1"/>
        <v>0.24714838879751946</v>
      </c>
      <c r="F20">
        <f>COUNTIF('P01-CostOverrun'!$E$5:$E$54,$A20)</f>
        <v>5</v>
      </c>
      <c r="H20" s="78" t="s">
        <v>1806</v>
      </c>
      <c r="I20" s="52"/>
    </row>
    <row r="21" spans="1:9">
      <c r="A21" t="s">
        <v>82</v>
      </c>
      <c r="B21" s="48">
        <f>SUMIF('P01-CostOverrun'!$E$5:$E$54,$A21,'P01-CostOverrun'!$F$5:$F$54)</f>
        <v>139292114</v>
      </c>
      <c r="C21" s="48">
        <f>SUMIF('P01-CostOverrun'!$E$5:$E$54,$A21,'P01-CostOverrun'!$G$5:$G$54)</f>
        <v>159577657</v>
      </c>
      <c r="D21" s="48">
        <f t="shared" si="0"/>
        <v>20285543</v>
      </c>
      <c r="E21" s="39">
        <f t="shared" si="1"/>
        <v>0.1456331045417259</v>
      </c>
      <c r="F21">
        <f>COUNTIF('P01-CostOverrun'!$E$5:$E$54,$A21)</f>
        <v>3</v>
      </c>
      <c r="H21" s="78" t="s">
        <v>1807</v>
      </c>
      <c r="I21" s="52"/>
    </row>
    <row r="22" spans="1:9">
      <c r="A22" t="s">
        <v>107</v>
      </c>
      <c r="B22" s="48">
        <f>SUMIF('P01-CostOverrun'!$E$5:$E$54,$A22,'P01-CostOverrun'!$F$5:$F$54)</f>
        <v>276402274</v>
      </c>
      <c r="C22" s="48">
        <f>SUMIF('P01-CostOverrun'!$E$5:$E$54,$A22,'P01-CostOverrun'!$G$5:$G$54)</f>
        <v>314328476</v>
      </c>
      <c r="D22" s="48">
        <f t="shared" si="0"/>
        <v>37926202</v>
      </c>
      <c r="E22" s="39">
        <f t="shared" si="1"/>
        <v>0.13721378428312062</v>
      </c>
      <c r="F22">
        <f>COUNTIF('P01-CostOverrun'!$E$5:$E$54,$A22)</f>
        <v>7</v>
      </c>
    </row>
    <row r="23" spans="1:9">
      <c r="A23" t="s">
        <v>129</v>
      </c>
      <c r="B23" s="48">
        <f>SUMIF('P01-CostOverrun'!$E$5:$E$54,$A23,'P01-CostOverrun'!$F$5:$F$54)</f>
        <v>194389591</v>
      </c>
      <c r="C23" s="48">
        <f>SUMIF('P01-CostOverrun'!$E$5:$E$54,$A23,'P01-CostOverrun'!$G$5:$G$54)</f>
        <v>220692772</v>
      </c>
      <c r="D23" s="48">
        <f t="shared" si="0"/>
        <v>26303181</v>
      </c>
      <c r="E23" s="39">
        <f t="shared" si="1"/>
        <v>0.1353116741729242</v>
      </c>
      <c r="F23">
        <f>COUNTIF('P01-CostOverrun'!$E$5:$E$54,$A23)</f>
        <v>5</v>
      </c>
    </row>
    <row r="24" spans="1:9">
      <c r="A24" t="s">
        <v>123</v>
      </c>
      <c r="B24" s="48">
        <f>SUMIF('P01-CostOverrun'!$E$5:$E$54,$A24,'P01-CostOverrun'!$F$5:$F$54)</f>
        <v>49683626</v>
      </c>
      <c r="C24" s="48">
        <f>SUMIF('P01-CostOverrun'!$E$5:$E$54,$A24,'P01-CostOverrun'!$G$5:$G$54)</f>
        <v>51363072</v>
      </c>
      <c r="D24" s="48">
        <f t="shared" si="0"/>
        <v>1679446</v>
      </c>
      <c r="E24" s="39">
        <f t="shared" si="1"/>
        <v>3.3802806582595241E-2</v>
      </c>
      <c r="F24">
        <f>COUNTIF('P01-CostOverrun'!$E$5:$E$54,$A24)</f>
        <v>1</v>
      </c>
    </row>
    <row r="25" spans="1:9">
      <c r="A25" s="36" t="s">
        <v>1307</v>
      </c>
      <c r="B25" s="49">
        <f>SUM(B15:B24)</f>
        <v>2152399053</v>
      </c>
      <c r="C25" s="49">
        <f>SUM(C15:C24)</f>
        <v>2531947246</v>
      </c>
      <c r="D25" s="49">
        <f t="shared" si="0"/>
        <v>379548193</v>
      </c>
      <c r="E25" s="45">
        <f t="shared" si="1"/>
        <v>0.17633727931211834</v>
      </c>
      <c r="F25" s="36">
        <f>SUM(F15:F24)</f>
        <v>50</v>
      </c>
    </row>
    <row r="26" spans="1:9">
      <c r="A26" s="44" t="str">
        <f>"ANSWER: Worst variance = "&amp;INDEX($A$15:$A$24,MATCH(MAX($E$15:$E$24),$E$15:$E$24,0))&amp;" at "&amp;TEXT(MAX($E$15:$E$24),"0.0%")&amp;" ("&amp;TEXT(INDEX($D$15:$D$24,MATCH(MAX($E$15:$E$24),$E$15:$E$24,0)),"""$""#,##0")&amp;" over budget). Best = "&amp;INDEX($A$15:$A$24,MATCH(MIN($E$15:$E$24),$E$15:$E$24,0))&amp;" at "&amp;TEXT(MIN($E$15:$E$24),"0.0%")&amp;". Portfolio total: "&amp;TEXT($B$25,"""$""#,##0")&amp;" budget vs "&amp;TEXT($C$25,"""$""#,##0")&amp;" actual ("&amp;TEXT($E$25,"0.0%")&amp;")."</f>
        <v>ANSWER: Worst variance = Residential Tower at 26.3% ($6,26,62,924 over budget). Best = Shopping Mall at 3.4%. Portfolio total: $2,15,23,99,053 budget vs $2,53,19,47,246 actual (17.6%).</v>
      </c>
    </row>
    <row r="28" spans="1:9">
      <c r="A28" s="42" t="s">
        <v>1308</v>
      </c>
    </row>
    <row r="29" spans="1:9">
      <c r="A29" s="43" t="s">
        <v>1309</v>
      </c>
      <c r="B29" s="43" t="s">
        <v>68</v>
      </c>
      <c r="C29" s="43" t="s">
        <v>1310</v>
      </c>
      <c r="D29" s="43" t="s">
        <v>72</v>
      </c>
      <c r="E29" s="43" t="s">
        <v>1311</v>
      </c>
      <c r="F29" s="43" t="s">
        <v>1312</v>
      </c>
    </row>
    <row r="30" spans="1:9">
      <c r="A30">
        <v>1</v>
      </c>
      <c r="B30" t="str">
        <f>INDEX('P01-CostOverrun'!$A$5:$A$54,MATCH($E30,'P01-CostOverrun'!$K$5:$K$54,0))</f>
        <v>WT-1028</v>
      </c>
      <c r="C30" t="str">
        <f>INDEX('P01-CostOverrun'!$B$5:$B$54,MATCH($E30,'P01-CostOverrun'!$K$5:$K$54,0))</f>
        <v>Residential Tower Per-29</v>
      </c>
      <c r="D30" t="str">
        <f>INDEX('P01-CostOverrun'!$E$5:$E$54,MATCH($E30,'P01-CostOverrun'!$K$5:$K$54,0))</f>
        <v>Residential Tower</v>
      </c>
      <c r="E30" s="48">
        <f>LARGE('P01-CostOverrun'!$K$5:$K$54,$A30)</f>
        <v>24654239</v>
      </c>
      <c r="F30" s="39">
        <f>INDEX('P01-CostOverrun'!$J$5:$J$54,MATCH($E30,'P01-CostOverrun'!$K$5:$K$54,0))</f>
        <v>0.33139989477946991</v>
      </c>
    </row>
    <row r="31" spans="1:9">
      <c r="A31">
        <v>2</v>
      </c>
      <c r="B31" t="str">
        <f>INDEX('P01-CostOverrun'!$A$5:$A$54,MATCH($E31,'P01-CostOverrun'!$K$5:$K$54,0))</f>
        <v>WT-1032</v>
      </c>
      <c r="C31" t="str">
        <f>INDEX('P01-CostOverrun'!$B$5:$B$54,MATCH($E31,'P01-CostOverrun'!$K$5:$K$54,0))</f>
        <v>Residential Tower Hyd-33</v>
      </c>
      <c r="D31" t="str">
        <f>INDEX('P01-CostOverrun'!$E$5:$E$54,MATCH($E31,'P01-CostOverrun'!$K$5:$K$54,0))</f>
        <v>Residential Tower</v>
      </c>
      <c r="E31" s="48">
        <f>LARGE('P01-CostOverrun'!$K$5:$K$54,$A31)</f>
        <v>21628203</v>
      </c>
      <c r="F31" s="39">
        <f>INDEX('P01-CostOverrun'!$J$5:$J$54,MATCH($E31,'P01-CostOverrun'!$K$5:$K$54,0))</f>
        <v>0.32873945985579861</v>
      </c>
    </row>
    <row r="32" spans="1:9">
      <c r="A32">
        <v>3</v>
      </c>
      <c r="B32" t="str">
        <f>INDEX('P01-CostOverrun'!$A$5:$A$54,MATCH($E32,'P01-CostOverrun'!$K$5:$K$54,0))</f>
        <v>WT-1033</v>
      </c>
      <c r="C32" t="str">
        <f>INDEX('P01-CostOverrun'!$B$5:$B$54,MATCH($E32,'P01-CostOverrun'!$K$5:$K$54,0))</f>
        <v>IT Park Syd-34</v>
      </c>
      <c r="D32" t="str">
        <f>INDEX('P01-CostOverrun'!$E$5:$E$54,MATCH($E32,'P01-CostOverrun'!$K$5:$K$54,0))</f>
        <v>IT Park</v>
      </c>
      <c r="E32" s="48">
        <f>LARGE('P01-CostOverrun'!$K$5:$K$54,$A32)</f>
        <v>19739335</v>
      </c>
      <c r="F32" s="39">
        <f>INDEX('P01-CostOverrun'!$J$5:$J$54,MATCH($E32,'P01-CostOverrun'!$K$5:$K$54,0))</f>
        <v>0.33574516131380588</v>
      </c>
    </row>
    <row r="33" spans="1:6">
      <c r="A33">
        <v>4</v>
      </c>
      <c r="B33" t="str">
        <f>INDEX('P01-CostOverrun'!$A$5:$A$54,MATCH($E33,'P01-CostOverrun'!$K$5:$K$54,0))</f>
        <v>WT-1034</v>
      </c>
      <c r="C33" t="str">
        <f>INDEX('P01-CostOverrun'!$B$5:$B$54,MATCH($E33,'P01-CostOverrun'!$K$5:$K$54,0))</f>
        <v>University Campus Kol-35</v>
      </c>
      <c r="D33" t="str">
        <f>INDEX('P01-CostOverrun'!$E$5:$E$54,MATCH($E33,'P01-CostOverrun'!$K$5:$K$54,0))</f>
        <v>University Campus</v>
      </c>
      <c r="E33" s="48">
        <f>LARGE('P01-CostOverrun'!$K$5:$K$54,$A33)</f>
        <v>19335358</v>
      </c>
      <c r="F33" s="39">
        <f>INDEX('P01-CostOverrun'!$J$5:$J$54,MATCH($E33,'P01-CostOverrun'!$K$5:$K$54,0))</f>
        <v>0.34805972849971717</v>
      </c>
    </row>
    <row r="34" spans="1:6">
      <c r="A34">
        <v>5</v>
      </c>
      <c r="B34" t="str">
        <f>INDEX('P01-CostOverrun'!$A$5:$A$54,MATCH($E34,'P01-CostOverrun'!$K$5:$K$54,0))</f>
        <v>WT-1043</v>
      </c>
      <c r="C34" t="str">
        <f>INDEX('P01-CostOverrun'!$B$5:$B$54,MATCH($E34,'P01-CostOverrun'!$K$5:$K$54,0))</f>
        <v>Industrial Warehouse Can-44</v>
      </c>
      <c r="D34" t="str">
        <f>INDEX('P01-CostOverrun'!$E$5:$E$54,MATCH($E34,'P01-CostOverrun'!$K$5:$K$54,0))</f>
        <v>Industrial Warehouse</v>
      </c>
      <c r="E34" s="48">
        <f>LARGE('P01-CostOverrun'!$K$5:$K$54,$A34)</f>
        <v>19116067</v>
      </c>
      <c r="F34" s="39">
        <f>INDEX('P01-CostOverrun'!$J$5:$J$54,MATCH($E34,'P01-CostOverrun'!$K$5:$K$54,0))</f>
        <v>0.29553468841707359</v>
      </c>
    </row>
    <row r="35" spans="1:6">
      <c r="A35" s="44" t="str">
        <f>"ANSWER: Largest single overrun is "&amp;$C$30&amp;" ("&amp;$B$30&amp;") at "&amp;TEXT($E$30,"""$""#,##0")&amp;" ("&amp;TEXT($F$30,"0.0%")&amp;"). The top 5 together account for "&amp;TEXT(SUM($E$30:$E$34),"""$""#,##0")&amp;" of overrun."</f>
        <v>ANSWER: Largest single overrun is Residential Tower Per-29 (WT-1028) at $2,46,54,239 (33.1%). The top 5 together account for $10,44,73,202 of overrun.</v>
      </c>
    </row>
    <row r="37" spans="1:6">
      <c r="A37" s="42" t="s">
        <v>213</v>
      </c>
    </row>
    <row r="38" spans="1:6">
      <c r="A38" t="s">
        <v>1313</v>
      </c>
      <c r="B38" s="40">
        <f>CORREL('P01-CostOverrun'!$H$5:$H$54,'P01-CostOverrun'!$J$5:$J$54)</f>
        <v>-0.15637930919724985</v>
      </c>
    </row>
    <row r="39" spans="1:6">
      <c r="A39" s="44" t="str">
        <f>"ANSWER: r = "&amp;TEXT($B$38,"0.000")&amp;" — "&amp;IF(ABS($B$38)&lt;0.2,"effectively no linear relationship; duration does not explain cost overrun in this portfolio",IF(ABS($B$38)&lt;0.5,"a weak "&amp;IF($B$38&gt;0,"positive","negative")&amp;" relationship","a strong "&amp;IF($B$38&gt;0,"positive","negative")&amp;" relationship"))&amp;"."</f>
        <v>ANSWER: r = -0.156 — effectively no linear relationship; duration does not explain cost overrun in this portfolio.</v>
      </c>
    </row>
    <row r="41" spans="1:6">
      <c r="A41" s="42" t="s">
        <v>1314</v>
      </c>
    </row>
    <row r="42" spans="1:6">
      <c r="A42" s="43" t="s">
        <v>1237</v>
      </c>
      <c r="B42" s="43" t="s">
        <v>95</v>
      </c>
      <c r="C42" s="43" t="s">
        <v>81</v>
      </c>
      <c r="D42" s="43" t="s">
        <v>111</v>
      </c>
      <c r="E42" s="43" t="s">
        <v>1315</v>
      </c>
      <c r="F42" s="43" t="s">
        <v>1316</v>
      </c>
    </row>
    <row r="43" spans="1:6">
      <c r="A43" t="s">
        <v>150</v>
      </c>
      <c r="B43" s="39">
        <f>IFERROR(AVERAGEIFS('P01-CostOverrun'!$J$5:$J$54,'P01-CostOverrun'!$E$5:$E$54,$A43,'P01-CostOverrun'!$D$5:$D$54,B$42),"-")</f>
        <v>0.23322555364028846</v>
      </c>
      <c r="C43" s="39">
        <f>IFERROR(AVERAGEIFS('P01-CostOverrun'!$J$5:$J$54,'P01-CostOverrun'!$E$5:$E$54,$A43,'P01-CostOverrun'!$D$5:$D$54,C$42),"-")</f>
        <v>0.25865153397295104</v>
      </c>
      <c r="D43" s="39" t="str">
        <f>IFERROR(AVERAGEIFS('P01-CostOverrun'!$J$5:$J$54,'P01-CostOverrun'!$E$5:$E$54,$A43,'P01-CostOverrun'!$D$5:$D$54,D$42),"-")</f>
        <v>-</v>
      </c>
      <c r="E43" s="39">
        <f>AVERAGEIF('P01-CostOverrun'!$E$5:$E$54,$A43,'P01-CostOverrun'!$J$5:$J$54)</f>
        <v>0.24593854380661972</v>
      </c>
      <c r="F43">
        <f>COUNTIF('P01-CostOverrun'!$E$5:$E$54,$A43)</f>
        <v>4</v>
      </c>
    </row>
    <row r="44" spans="1:6">
      <c r="A44" t="s">
        <v>85</v>
      </c>
      <c r="B44" s="39">
        <f>IFERROR(AVERAGEIFS('P01-CostOverrun'!$J$5:$J$54,'P01-CostOverrun'!$E$5:$E$54,$A44,'P01-CostOverrun'!$D$5:$D$54,B$42),"-")</f>
        <v>0.15299022775846177</v>
      </c>
      <c r="C44" s="39">
        <f>IFERROR(AVERAGEIFS('P01-CostOverrun'!$J$5:$J$54,'P01-CostOverrun'!$E$5:$E$54,$A44,'P01-CostOverrun'!$D$5:$D$54,C$42),"-")</f>
        <v>0.18083415863245228</v>
      </c>
      <c r="D44" s="39">
        <f>IFERROR(AVERAGEIFS('P01-CostOverrun'!$J$5:$J$54,'P01-CostOverrun'!$E$5:$E$54,$A44,'P01-CostOverrun'!$D$5:$D$54,D$42),"-")</f>
        <v>0.24880550783597968</v>
      </c>
      <c r="E44" s="39">
        <f>AVERAGEIF('P01-CostOverrun'!$E$5:$E$54,$A44,'P01-CostOverrun'!$J$5:$J$54)</f>
        <v>0.1825889425546732</v>
      </c>
      <c r="F44">
        <f>COUNTIF('P01-CostOverrun'!$E$5:$E$54,$A44)</f>
        <v>7</v>
      </c>
    </row>
    <row r="45" spans="1:6">
      <c r="A45" t="s">
        <v>117</v>
      </c>
      <c r="B45" s="39">
        <f>IFERROR(AVERAGEIFS('P01-CostOverrun'!$J$5:$J$54,'P01-CostOverrun'!$E$5:$E$54,$A45,'P01-CostOverrun'!$D$5:$D$54,B$42),"-")</f>
        <v>8.8721908935650004E-2</v>
      </c>
      <c r="C45" s="39">
        <f>IFERROR(AVERAGEIFS('P01-CostOverrun'!$J$5:$J$54,'P01-CostOverrun'!$E$5:$E$54,$A45,'P01-CostOverrun'!$D$5:$D$54,C$42),"-")</f>
        <v>0.27213993367830547</v>
      </c>
      <c r="D45" s="39" t="str">
        <f>IFERROR(AVERAGEIFS('P01-CostOverrun'!$J$5:$J$54,'P01-CostOverrun'!$E$5:$E$54,$A45,'P01-CostOverrun'!$D$5:$D$54,D$42),"-")</f>
        <v>-</v>
      </c>
      <c r="E45" s="39">
        <f>AVERAGEIF('P01-CostOverrun'!$E$5:$E$54,$A45,'P01-CostOverrun'!$J$5:$J$54)</f>
        <v>0.21100059209742031</v>
      </c>
      <c r="F45">
        <f>COUNTIF('P01-CostOverrun'!$E$5:$E$54,$A45)</f>
        <v>6</v>
      </c>
    </row>
    <row r="46" spans="1:6">
      <c r="A46" t="s">
        <v>100</v>
      </c>
      <c r="B46" s="39">
        <f>IFERROR(AVERAGEIFS('P01-CostOverrun'!$J$5:$J$54,'P01-CostOverrun'!$E$5:$E$54,$A46,'P01-CostOverrun'!$D$5:$D$54,B$42),"-")</f>
        <v>0.29553468841707359</v>
      </c>
      <c r="C46" s="39">
        <f>IFERROR(AVERAGEIFS('P01-CostOverrun'!$J$5:$J$54,'P01-CostOverrun'!$E$5:$E$54,$A46,'P01-CostOverrun'!$D$5:$D$54,C$42),"-")</f>
        <v>6.1148534464179914E-2</v>
      </c>
      <c r="D46" s="39">
        <f>IFERROR(AVERAGEIFS('P01-CostOverrun'!$J$5:$J$54,'P01-CostOverrun'!$E$5:$E$54,$A46,'P01-CostOverrun'!$D$5:$D$54,D$42),"-")</f>
        <v>3.7728287913298332E-2</v>
      </c>
      <c r="E46" s="39">
        <f>AVERAGEIF('P01-CostOverrun'!$E$5:$E$54,$A46,'P01-CostOverrun'!$J$5:$J$54)</f>
        <v>0.13147050359818394</v>
      </c>
      <c r="F46">
        <f>COUNTIF('P01-CostOverrun'!$E$5:$E$54,$A46)</f>
        <v>3</v>
      </c>
    </row>
    <row r="47" spans="1:6">
      <c r="A47" t="s">
        <v>89</v>
      </c>
      <c r="B47" s="39">
        <f>IFERROR(AVERAGEIFS('P01-CostOverrun'!$J$5:$J$54,'P01-CostOverrun'!$E$5:$E$54,$A47,'P01-CostOverrun'!$D$5:$D$54,B$42),"-")</f>
        <v>0.11293848163584572</v>
      </c>
      <c r="C47" s="39">
        <f>IFERROR(AVERAGEIFS('P01-CostOverrun'!$J$5:$J$54,'P01-CostOverrun'!$E$5:$E$54,$A47,'P01-CostOverrun'!$D$5:$D$54,C$42),"-")</f>
        <v>0.12639265395148844</v>
      </c>
      <c r="D47" s="39">
        <f>IFERROR(AVERAGEIFS('P01-CostOverrun'!$J$5:$J$54,'P01-CostOverrun'!$E$5:$E$54,$A47,'P01-CostOverrun'!$D$5:$D$54,D$42),"-")</f>
        <v>-1.847993706172614E-2</v>
      </c>
      <c r="E47" s="39">
        <f>AVERAGEIF('P01-CostOverrun'!$E$5:$E$54,$A47,'P01-CostOverrun'!$J$5:$J$54)</f>
        <v>0.10730588332432174</v>
      </c>
      <c r="F47">
        <f>COUNTIF('P01-CostOverrun'!$E$5:$E$54,$A47)</f>
        <v>9</v>
      </c>
    </row>
    <row r="48" spans="1:6">
      <c r="A48" t="s">
        <v>96</v>
      </c>
      <c r="B48" s="39">
        <f>IFERROR(AVERAGEIFS('P01-CostOverrun'!$J$5:$J$54,'P01-CostOverrun'!$E$5:$E$54,$A48,'P01-CostOverrun'!$D$5:$D$54,B$42),"-")</f>
        <v>0.1857062702152355</v>
      </c>
      <c r="C48" s="39">
        <f>IFERROR(AVERAGEIFS('P01-CostOverrun'!$J$5:$J$54,'P01-CostOverrun'!$E$5:$E$54,$A48,'P01-CostOverrun'!$D$5:$D$54,C$42),"-")</f>
        <v>0.23834114790042252</v>
      </c>
      <c r="D48" s="39">
        <f>IFERROR(AVERAGEIFS('P01-CostOverrun'!$J$5:$J$54,'P01-CostOverrun'!$E$5:$E$54,$A48,'P01-CostOverrun'!$D$5:$D$54,D$42),"-")</f>
        <v>0.29905894633658836</v>
      </c>
      <c r="E48" s="39">
        <f>AVERAGEIF('P01-CostOverrun'!$E$5:$E$54,$A48,'P01-CostOverrun'!$J$5:$J$54)</f>
        <v>0.25210129173785145</v>
      </c>
      <c r="F48">
        <f>COUNTIF('P01-CostOverrun'!$E$5:$E$54,$A48)</f>
        <v>5</v>
      </c>
    </row>
    <row r="49" spans="1:6">
      <c r="A49" t="s">
        <v>82</v>
      </c>
      <c r="B49" s="39" t="str">
        <f>IFERROR(AVERAGEIFS('P01-CostOverrun'!$J$5:$J$54,'P01-CostOverrun'!$E$5:$E$54,$A49,'P01-CostOverrun'!$D$5:$D$54,B$42),"-")</f>
        <v>-</v>
      </c>
      <c r="C49" s="39">
        <f>IFERROR(AVERAGEIFS('P01-CostOverrun'!$J$5:$J$54,'P01-CostOverrun'!$E$5:$E$54,$A49,'P01-CostOverrun'!$D$5:$D$54,C$42),"-")</f>
        <v>0.13323602002402321</v>
      </c>
      <c r="D49" s="39" t="str">
        <f>IFERROR(AVERAGEIFS('P01-CostOverrun'!$J$5:$J$54,'P01-CostOverrun'!$E$5:$E$54,$A49,'P01-CostOverrun'!$D$5:$D$54,D$42),"-")</f>
        <v>-</v>
      </c>
      <c r="E49" s="39">
        <f>AVERAGEIF('P01-CostOverrun'!$E$5:$E$54,$A49,'P01-CostOverrun'!$J$5:$J$54)</f>
        <v>0.13323602002402321</v>
      </c>
      <c r="F49">
        <f>COUNTIF('P01-CostOverrun'!$E$5:$E$54,$A49)</f>
        <v>3</v>
      </c>
    </row>
    <row r="50" spans="1:6">
      <c r="A50" t="s">
        <v>107</v>
      </c>
      <c r="B50" s="39">
        <f>IFERROR(AVERAGEIFS('P01-CostOverrun'!$J$5:$J$54,'P01-CostOverrun'!$E$5:$E$54,$A50,'P01-CostOverrun'!$D$5:$D$54,B$42),"-")</f>
        <v>0.22210857339720888</v>
      </c>
      <c r="C50" s="39">
        <f>IFERROR(AVERAGEIFS('P01-CostOverrun'!$J$5:$J$54,'P01-CostOverrun'!$E$5:$E$54,$A50,'P01-CostOverrun'!$D$5:$D$54,C$42),"-")</f>
        <v>7.4256278170274831E-2</v>
      </c>
      <c r="D50" s="39" t="str">
        <f>IFERROR(AVERAGEIFS('P01-CostOverrun'!$J$5:$J$54,'P01-CostOverrun'!$E$5:$E$54,$A50,'P01-CostOverrun'!$D$5:$D$54,D$42),"-")</f>
        <v>-</v>
      </c>
      <c r="E50" s="39">
        <f>AVERAGEIF('P01-CostOverrun'!$E$5:$E$54,$A50,'P01-CostOverrun'!$J$5:$J$54)</f>
        <v>0.13762154755324657</v>
      </c>
      <c r="F50">
        <f>COUNTIF('P01-CostOverrun'!$E$5:$E$54,$A50)</f>
        <v>7</v>
      </c>
    </row>
    <row r="51" spans="1:6">
      <c r="A51" t="s">
        <v>129</v>
      </c>
      <c r="B51" s="39">
        <f>IFERROR(AVERAGEIFS('P01-CostOverrun'!$J$5:$J$54,'P01-CostOverrun'!$E$5:$E$54,$A51,'P01-CostOverrun'!$D$5:$D$54,B$42),"-")</f>
        <v>9.3273249945091549E-2</v>
      </c>
      <c r="C51" s="39">
        <f>IFERROR(AVERAGEIFS('P01-CostOverrun'!$J$5:$J$54,'P01-CostOverrun'!$E$5:$E$54,$A51,'P01-CostOverrun'!$D$5:$D$54,C$42),"-")</f>
        <v>5.7979113293538498E-2</v>
      </c>
      <c r="D51" s="39">
        <f>IFERROR(AVERAGEIFS('P01-CostOverrun'!$J$5:$J$54,'P01-CostOverrun'!$E$5:$E$54,$A51,'P01-CostOverrun'!$D$5:$D$54,D$42),"-")</f>
        <v>0.25808027625926777</v>
      </c>
      <c r="E51" s="39">
        <f>AVERAGEIF('P01-CostOverrun'!$E$5:$E$54,$A51,'P01-CostOverrun'!$J$5:$J$54)</f>
        <v>0.15213723314045141</v>
      </c>
      <c r="F51">
        <f>COUNTIF('P01-CostOverrun'!$E$5:$E$54,$A51)</f>
        <v>5</v>
      </c>
    </row>
    <row r="52" spans="1:6">
      <c r="A52" t="s">
        <v>123</v>
      </c>
      <c r="B52" s="39" t="str">
        <f>IFERROR(AVERAGEIFS('P01-CostOverrun'!$J$5:$J$54,'P01-CostOverrun'!$E$5:$E$54,$A52,'P01-CostOverrun'!$D$5:$D$54,B$42),"-")</f>
        <v>-</v>
      </c>
      <c r="C52" s="39">
        <f>IFERROR(AVERAGEIFS('P01-CostOverrun'!$J$5:$J$54,'P01-CostOverrun'!$E$5:$E$54,$A52,'P01-CostOverrun'!$D$5:$D$54,C$42),"-")</f>
        <v>3.3802806582595241E-2</v>
      </c>
      <c r="D52" s="39" t="str">
        <f>IFERROR(AVERAGEIFS('P01-CostOverrun'!$J$5:$J$54,'P01-CostOverrun'!$E$5:$E$54,$A52,'P01-CostOverrun'!$D$5:$D$54,D$42),"-")</f>
        <v>-</v>
      </c>
      <c r="E52" s="39">
        <f>AVERAGEIF('P01-CostOverrun'!$E$5:$E$54,$A52,'P01-CostOverrun'!$J$5:$J$54)</f>
        <v>3.3802806582595241E-2</v>
      </c>
      <c r="F52">
        <f>COUNTIF('P01-CostOverrun'!$E$5:$E$54,$A52)</f>
        <v>1</v>
      </c>
    </row>
    <row r="53" spans="1:6">
      <c r="A53" s="36" t="s">
        <v>1315</v>
      </c>
      <c r="B53" s="45">
        <f>AVERAGEIF('P01-CostOverrun'!$D$5:$D$54,B$42,'P01-CostOverrun'!$J$5:$J$54)</f>
        <v>0.16732436817697408</v>
      </c>
      <c r="C53" s="45">
        <f>AVERAGEIF('P01-CostOverrun'!$D$5:$D$54,C$42,'P01-CostOverrun'!$J$5:$J$54)</f>
        <v>0.15763933156400675</v>
      </c>
      <c r="D53" s="45">
        <f>AVERAGEIF('P01-CostOverrun'!$D$5:$D$54,D$42,'P01-CostOverrun'!$J$5:$J$54)</f>
        <v>0.19747604341132344</v>
      </c>
      <c r="E53" s="45">
        <f>AVERAGE('P01-CostOverrun'!$J$5:$J$54)</f>
        <v>0.1661219822065213</v>
      </c>
      <c r="F53" s="36">
        <f>SUM(F43:F52)</f>
        <v>50</v>
      </c>
    </row>
    <row r="54" spans="1:6">
      <c r="A54" t="s">
        <v>1317</v>
      </c>
      <c r="B54" cm="1">
        <f t="array" ref="B54">SUMPRODUCT(MAX(($B$43:$D$52=MAX($B$43:$D$52))*ROW($B$43:$D$52)))-42</f>
        <v>6</v>
      </c>
      <c r="C54" cm="1">
        <f t="array" ref="C54">SUMPRODUCT(MAX(($B$43:$D$52=MAX($B$43:$D$52))*COLUMN($B$43:$D$52)))-1</f>
        <v>3</v>
      </c>
    </row>
    <row r="55" spans="1:6">
      <c r="A55" s="44" t="str" cm="1">
        <f t="array" ref="A55">"ANSWER: Highest average overrun combination is "&amp;INDEX($A$43:$A$52,$B$54)&amp;" in "&amp;INDEX($B$42:$D$42,$C$54)&amp;" at "&amp;TEXT(MAX($B$43:$D$52),"0.0%")&amp;". Portfolio average overrun is "&amp;TEXT($E$53,"0.0%")&amp;"."</f>
        <v>ANSWER: Highest average overrun combination is Hospital in New Zealand at 29.9%. Portfolio average overrun is 16.6%.</v>
      </c>
    </row>
    <row r="57" spans="1:6">
      <c r="A57" s="42" t="s">
        <v>215</v>
      </c>
    </row>
    <row r="58" spans="1:6">
      <c r="A58" s="43" t="s">
        <v>1292</v>
      </c>
      <c r="B58" s="43" t="s">
        <v>1301</v>
      </c>
      <c r="C58" s="43" t="s">
        <v>1318</v>
      </c>
    </row>
    <row r="59" spans="1:6">
      <c r="A59" t="s">
        <v>1319</v>
      </c>
      <c r="B59" s="39">
        <f>COUNTIF('P01-CostOverrun'!$J$5:$J$54,"&gt;0")</f>
        <v>45</v>
      </c>
      <c r="C59" s="39">
        <f>B59/$B$61</f>
        <v>0.9</v>
      </c>
    </row>
    <row r="60" spans="1:6">
      <c r="A60" t="s">
        <v>1320</v>
      </c>
      <c r="B60" s="39">
        <f>COUNTIF('P01-CostOverrun'!$J$5:$J$54,"&lt;0")</f>
        <v>5</v>
      </c>
      <c r="C60" s="39">
        <f>B60/$B$61</f>
        <v>0.1</v>
      </c>
    </row>
    <row r="61" spans="1:6">
      <c r="A61" t="s">
        <v>1321</v>
      </c>
      <c r="B61" s="39">
        <f>COUNT('P01-CostOverrun'!$J$5:$J$54)</f>
        <v>50</v>
      </c>
      <c r="C61" s="39">
        <f>B61/$B$61</f>
        <v>1</v>
      </c>
    </row>
    <row r="62" spans="1:6">
      <c r="A62" s="44" t="str">
        <f>"ANSWER: "&amp;TEXT($C$59,"0.0%")&amp;" of projects ("&amp;$B$59&amp;" of "&amp;$B$61&amp;") came in over budget and "&amp;TEXT($C$60,"0.0%")&amp;" ("&amp;$B$60&amp;") under budget."</f>
        <v>ANSWER: 90.0% of projects (45 of 50) came in over budget and 10.0% (5) under budget.</v>
      </c>
    </row>
    <row r="64" spans="1:6">
      <c r="A64" s="42" t="s">
        <v>216</v>
      </c>
    </row>
    <row r="65" spans="1:6">
      <c r="A65" s="43" t="s">
        <v>70</v>
      </c>
      <c r="B65" s="43" t="s">
        <v>1300</v>
      </c>
      <c r="C65" s="43" t="s">
        <v>1301</v>
      </c>
      <c r="D65" s="43" t="s">
        <v>1302</v>
      </c>
      <c r="E65" s="43" t="s">
        <v>1303</v>
      </c>
      <c r="F65" s="43"/>
    </row>
    <row r="66" spans="1:6">
      <c r="A66" t="s">
        <v>106</v>
      </c>
      <c r="B66" s="39">
        <f>AVERAGEIF('P01-CostOverrun'!$C$5:$C$54,$A66,'P01-CostOverrun'!$J$5:$J$54)</f>
        <v>0.18796887580447455</v>
      </c>
      <c r="C66">
        <f>COUNTIF('P01-CostOverrun'!$C$5:$C$54,$A66)</f>
        <v>5</v>
      </c>
      <c r="D66" s="48">
        <f>SUMIF('P01-CostOverrun'!$C$5:$C$54,$A66,'P01-CostOverrun'!$F$5:$F$54)</f>
        <v>245312751</v>
      </c>
      <c r="E66" s="48">
        <f>SUMIF('P01-CostOverrun'!$C$5:$C$54,$A66,'P01-CostOverrun'!$G$5:$G$54)</f>
        <v>295064019</v>
      </c>
      <c r="F66" s="39">
        <f t="shared" ref="F66:F83" si="2">E66/D66-1</f>
        <v>0.20280750917835499</v>
      </c>
    </row>
    <row r="67" spans="1:6">
      <c r="A67" t="s">
        <v>149</v>
      </c>
      <c r="B67" s="39">
        <f>AVERAGEIF('P01-CostOverrun'!$C$5:$C$54,$A67,'P01-CostOverrun'!$J$5:$J$54)</f>
        <v>0.25865153397295104</v>
      </c>
      <c r="C67">
        <f>COUNTIF('P01-CostOverrun'!$C$5:$C$54,$A67)</f>
        <v>2</v>
      </c>
      <c r="D67" s="48">
        <f>SUMIF('P01-CostOverrun'!$C$5:$C$54,$A67,'P01-CostOverrun'!$F$5:$F$54)</f>
        <v>124452671</v>
      </c>
      <c r="E67" s="48">
        <f>SUMIF('P01-CostOverrun'!$C$5:$C$54,$A67,'P01-CostOverrun'!$G$5:$G$54)</f>
        <v>157142270</v>
      </c>
      <c r="F67" s="39">
        <f t="shared" si="2"/>
        <v>0.26266691375390416</v>
      </c>
    </row>
    <row r="68" spans="1:6">
      <c r="A68" t="s">
        <v>173</v>
      </c>
      <c r="B68" s="39">
        <f>AVERAGEIF('P01-CostOverrun'!$C$5:$C$54,$A68,'P01-CostOverrun'!$J$5:$J$54)</f>
        <v>0.33574516131380588</v>
      </c>
      <c r="C68">
        <f>COUNTIF('P01-CostOverrun'!$C$5:$C$54,$A68)</f>
        <v>1</v>
      </c>
      <c r="D68" s="48">
        <f>SUMIF('P01-CostOverrun'!$C$5:$C$54,$A68,'P01-CostOverrun'!$F$5:$F$54)</f>
        <v>58792612</v>
      </c>
      <c r="E68" s="48">
        <f>SUMIF('P01-CostOverrun'!$C$5:$C$54,$A68,'P01-CostOverrun'!$G$5:$G$54)</f>
        <v>78531947</v>
      </c>
      <c r="F68" s="39">
        <f t="shared" si="2"/>
        <v>0.33574516131380583</v>
      </c>
    </row>
    <row r="69" spans="1:6">
      <c r="A69" t="s">
        <v>136</v>
      </c>
      <c r="B69" s="39">
        <f>AVERAGEIF('P01-CostOverrun'!$C$5:$C$54,$A69,'P01-CostOverrun'!$J$5:$J$54)</f>
        <v>0.20901109838842766</v>
      </c>
      <c r="C69">
        <f>COUNTIF('P01-CostOverrun'!$C$5:$C$54,$A69)</f>
        <v>4</v>
      </c>
      <c r="D69" s="48">
        <f>SUMIF('P01-CostOverrun'!$C$5:$C$54,$A69,'P01-CostOverrun'!$F$5:$F$54)</f>
        <v>134555617</v>
      </c>
      <c r="E69" s="48">
        <f>SUMIF('P01-CostOverrun'!$C$5:$C$54,$A69,'P01-CostOverrun'!$G$5:$G$54)</f>
        <v>163376489</v>
      </c>
      <c r="F69" s="39">
        <f t="shared" si="2"/>
        <v>0.21419300540980024</v>
      </c>
    </row>
    <row r="70" spans="1:6">
      <c r="A70" t="s">
        <v>94</v>
      </c>
      <c r="B70" s="39">
        <f>AVERAGEIF('P01-CostOverrun'!$C$5:$C$54,$A70,'P01-CostOverrun'!$J$5:$J$54)</f>
        <v>0.20543072371113869</v>
      </c>
      <c r="C70">
        <f>COUNTIF('P01-CostOverrun'!$C$5:$C$54,$A70)</f>
        <v>3</v>
      </c>
      <c r="D70" s="48">
        <f>SUMIF('P01-CostOverrun'!$C$5:$C$54,$A70,'P01-CostOverrun'!$F$5:$F$54)</f>
        <v>166360502</v>
      </c>
      <c r="E70" s="48">
        <f>SUMIF('P01-CostOverrun'!$C$5:$C$54,$A70,'P01-CostOverrun'!$G$5:$G$54)</f>
        <v>202363636</v>
      </c>
      <c r="F70" s="39">
        <f t="shared" si="2"/>
        <v>0.21641635825311467</v>
      </c>
    </row>
    <row r="71" spans="1:6">
      <c r="A71" t="s">
        <v>126</v>
      </c>
      <c r="B71" s="39">
        <f>AVERAGEIF('P01-CostOverrun'!$C$5:$C$54,$A71,'P01-CostOverrun'!$J$5:$J$54)</f>
        <v>0.16715202899180862</v>
      </c>
      <c r="C71">
        <f>COUNTIF('P01-CostOverrun'!$C$5:$C$54,$A71)</f>
        <v>3</v>
      </c>
      <c r="D71" s="48">
        <f>SUMIF('P01-CostOverrun'!$C$5:$C$54,$A71,'P01-CostOverrun'!$F$5:$F$54)</f>
        <v>126142816</v>
      </c>
      <c r="E71" s="48">
        <f>SUMIF('P01-CostOverrun'!$C$5:$C$54,$A71,'P01-CostOverrun'!$G$5:$G$54)</f>
        <v>150895749</v>
      </c>
      <c r="F71" s="39">
        <f t="shared" si="2"/>
        <v>0.19622943093326861</v>
      </c>
    </row>
    <row r="72" spans="1:6">
      <c r="A72" t="s">
        <v>88</v>
      </c>
      <c r="B72" s="39">
        <f>AVERAGEIF('P01-CostOverrun'!$C$5:$C$54,$A72,'P01-CostOverrun'!$J$5:$J$54)</f>
        <v>0.15776247735349944</v>
      </c>
      <c r="C72">
        <f>COUNTIF('P01-CostOverrun'!$C$5:$C$54,$A72)</f>
        <v>6</v>
      </c>
      <c r="D72" s="48">
        <f>SUMIF('P01-CostOverrun'!$C$5:$C$54,$A72,'P01-CostOverrun'!$F$5:$F$54)</f>
        <v>282524903</v>
      </c>
      <c r="E72" s="48">
        <f>SUMIF('P01-CostOverrun'!$C$5:$C$54,$A72,'P01-CostOverrun'!$G$5:$G$54)</f>
        <v>334004416</v>
      </c>
      <c r="F72" s="39">
        <f t="shared" si="2"/>
        <v>0.18221230218420792</v>
      </c>
    </row>
    <row r="73" spans="1:6">
      <c r="A73" t="s">
        <v>208</v>
      </c>
      <c r="B73" s="39">
        <f>AVERAGEIF('P01-CostOverrun'!$C$5:$C$54,$A73,'P01-CostOverrun'!$J$5:$J$54)</f>
        <v>0.31097713145082723</v>
      </c>
      <c r="C73">
        <f>COUNTIF('P01-CostOverrun'!$C$5:$C$54,$A73)</f>
        <v>1</v>
      </c>
      <c r="D73" s="48">
        <f>SUMIF('P01-CostOverrun'!$C$5:$C$54,$A73,'P01-CostOverrun'!$F$5:$F$54)</f>
        <v>55826716</v>
      </c>
      <c r="E73" s="48">
        <f>SUMIF('P01-CostOverrun'!$C$5:$C$54,$A73,'P01-CostOverrun'!$G$5:$G$54)</f>
        <v>73187548</v>
      </c>
      <c r="F73" s="39">
        <f t="shared" si="2"/>
        <v>0.31097713145082717</v>
      </c>
    </row>
    <row r="74" spans="1:6">
      <c r="A74" t="s">
        <v>80</v>
      </c>
      <c r="B74" s="39">
        <f>AVERAGEIF('P01-CostOverrun'!$C$5:$C$54,$A74,'P01-CostOverrun'!$J$5:$J$54)</f>
        <v>0.1672567905095072</v>
      </c>
      <c r="C74">
        <f>COUNTIF('P01-CostOverrun'!$C$5:$C$54,$A74)</f>
        <v>4</v>
      </c>
      <c r="D74" s="48">
        <f>SUMIF('P01-CostOverrun'!$C$5:$C$54,$A74,'P01-CostOverrun'!$F$5:$F$54)</f>
        <v>178758813</v>
      </c>
      <c r="E74" s="48">
        <f>SUMIF('P01-CostOverrun'!$C$5:$C$54,$A74,'P01-CostOverrun'!$G$5:$G$54)</f>
        <v>210269197</v>
      </c>
      <c r="F74" s="39">
        <f t="shared" si="2"/>
        <v>0.17627317764747064</v>
      </c>
    </row>
    <row r="75" spans="1:6">
      <c r="A75" t="s">
        <v>110</v>
      </c>
      <c r="B75" s="39">
        <f>AVERAGEIF('P01-CostOverrun'!$C$5:$C$54,$A75,'P01-CostOverrun'!$J$5:$J$54)</f>
        <v>0.17248877733220103</v>
      </c>
      <c r="C75">
        <f>COUNTIF('P01-CostOverrun'!$C$5:$C$54,$A75)</f>
        <v>3</v>
      </c>
      <c r="D75" s="48">
        <f>SUMIF('P01-CostOverrun'!$C$5:$C$54,$A75,'P01-CostOverrun'!$F$5:$F$54)</f>
        <v>135595096</v>
      </c>
      <c r="E75" s="48">
        <f>SUMIF('P01-CostOverrun'!$C$5:$C$54,$A75,'P01-CostOverrun'!$G$5:$G$54)</f>
        <v>156962814</v>
      </c>
      <c r="F75" s="39">
        <f t="shared" si="2"/>
        <v>0.15758474038028636</v>
      </c>
    </row>
    <row r="76" spans="1:6">
      <c r="A76" t="s">
        <v>120</v>
      </c>
      <c r="B76" s="39">
        <f>AVERAGEIF('P01-CostOverrun'!$C$5:$C$54,$A76,'P01-CostOverrun'!$J$5:$J$54)</f>
        <v>0.1406238512367356</v>
      </c>
      <c r="C76">
        <f>COUNTIF('P01-CostOverrun'!$C$5:$C$54,$A76)</f>
        <v>3</v>
      </c>
      <c r="D76" s="48">
        <f>SUMIF('P01-CostOverrun'!$C$5:$C$54,$A76,'P01-CostOverrun'!$F$5:$F$54)</f>
        <v>148852192</v>
      </c>
      <c r="E76" s="48">
        <f>SUMIF('P01-CostOverrun'!$C$5:$C$54,$A76,'P01-CostOverrun'!$G$5:$G$54)</f>
        <v>173354770</v>
      </c>
      <c r="F76" s="39">
        <f t="shared" si="2"/>
        <v>0.16461012545922071</v>
      </c>
    </row>
    <row r="77" spans="1:6">
      <c r="A77" t="s">
        <v>143</v>
      </c>
      <c r="B77" s="39">
        <f>AVERAGEIF('P01-CostOverrun'!$C$5:$C$54,$A77,'P01-CostOverrun'!$J$5:$J$54)</f>
        <v>0.15078802322159501</v>
      </c>
      <c r="C77">
        <f>COUNTIF('P01-CostOverrun'!$C$5:$C$54,$A77)</f>
        <v>2</v>
      </c>
      <c r="D77" s="48">
        <f>SUMIF('P01-CostOverrun'!$C$5:$C$54,$A77,'P01-CostOverrun'!$F$5:$F$54)</f>
        <v>85200877</v>
      </c>
      <c r="E77" s="48">
        <f>SUMIF('P01-CostOverrun'!$C$5:$C$54,$A77,'P01-CostOverrun'!$G$5:$G$54)</f>
        <v>96242381</v>
      </c>
      <c r="F77" s="39">
        <f t="shared" si="2"/>
        <v>0.12959378340671313</v>
      </c>
    </row>
    <row r="78" spans="1:6">
      <c r="A78" t="s">
        <v>103</v>
      </c>
      <c r="B78" s="39">
        <f>AVERAGEIF('P01-CostOverrun'!$C$5:$C$54,$A78,'P01-CostOverrun'!$J$5:$J$54)</f>
        <v>0.11293848163584572</v>
      </c>
      <c r="C78">
        <f>COUNTIF('P01-CostOverrun'!$C$5:$C$54,$A78)</f>
        <v>2</v>
      </c>
      <c r="D78" s="48">
        <f>SUMIF('P01-CostOverrun'!$C$5:$C$54,$A78,'P01-CostOverrun'!$F$5:$F$54)</f>
        <v>55841056</v>
      </c>
      <c r="E78" s="48">
        <f>SUMIF('P01-CostOverrun'!$C$5:$C$54,$A78,'P01-CostOverrun'!$G$5:$G$54)</f>
        <v>62443180</v>
      </c>
      <c r="F78" s="39">
        <f t="shared" si="2"/>
        <v>0.11823064377579096</v>
      </c>
    </row>
    <row r="79" spans="1:6">
      <c r="A79" t="s">
        <v>116</v>
      </c>
      <c r="B79" s="39">
        <f>AVERAGEIF('P01-CostOverrun'!$C$5:$C$54,$A79,'P01-CostOverrun'!$J$5:$J$54)</f>
        <v>9.5679450916922773E-2</v>
      </c>
      <c r="C79">
        <f>COUNTIF('P01-CostOverrun'!$C$5:$C$54,$A79)</f>
        <v>5</v>
      </c>
      <c r="D79" s="48">
        <f>SUMIF('P01-CostOverrun'!$C$5:$C$54,$A79,'P01-CostOverrun'!$F$5:$F$54)</f>
        <v>163512448</v>
      </c>
      <c r="E79" s="48">
        <f>SUMIF('P01-CostOverrun'!$C$5:$C$54,$A79,'P01-CostOverrun'!$G$5:$G$54)</f>
        <v>173194884</v>
      </c>
      <c r="F79" s="39">
        <f t="shared" si="2"/>
        <v>5.9215283719561196E-2</v>
      </c>
    </row>
    <row r="80" spans="1:6">
      <c r="A80" t="s">
        <v>146</v>
      </c>
      <c r="B80" s="39">
        <f>AVERAGEIF('P01-CostOverrun'!$C$5:$C$54,$A80,'P01-CostOverrun'!$J$5:$J$54)</f>
        <v>0.25231279398864387</v>
      </c>
      <c r="C80">
        <f>COUNTIF('P01-CostOverrun'!$C$5:$C$54,$A80)</f>
        <v>1</v>
      </c>
      <c r="D80" s="48">
        <f>SUMIF('P01-CostOverrun'!$C$5:$C$54,$A80,'P01-CostOverrun'!$F$5:$F$54)</f>
        <v>14201654</v>
      </c>
      <c r="E80" s="48">
        <f>SUMIF('P01-CostOverrun'!$C$5:$C$54,$A80,'P01-CostOverrun'!$G$5:$G$54)</f>
        <v>17784913</v>
      </c>
      <c r="F80" s="39">
        <f t="shared" si="2"/>
        <v>0.25231279398864381</v>
      </c>
    </row>
    <row r="81" spans="1:6">
      <c r="A81" t="s">
        <v>184</v>
      </c>
      <c r="B81" s="39">
        <f>AVERAGEIF('P01-CostOverrun'!$C$5:$C$54,$A81,'P01-CostOverrun'!$J$5:$J$54)</f>
        <v>0.31216800023319985</v>
      </c>
      <c r="C81">
        <f>COUNTIF('P01-CostOverrun'!$C$5:$C$54,$A81)</f>
        <v>1</v>
      </c>
      <c r="D81" s="48">
        <f>SUMIF('P01-CostOverrun'!$C$5:$C$54,$A81,'P01-CostOverrun'!$F$5:$F$54)</f>
        <v>11046318</v>
      </c>
      <c r="E81" s="48">
        <f>SUMIF('P01-CostOverrun'!$C$5:$C$54,$A81,'P01-CostOverrun'!$G$5:$G$54)</f>
        <v>14494625</v>
      </c>
      <c r="F81" s="39">
        <f t="shared" si="2"/>
        <v>0.3121680002331999</v>
      </c>
    </row>
    <row r="82" spans="1:6">
      <c r="A82" t="s">
        <v>99</v>
      </c>
      <c r="B82" s="39">
        <f>AVERAGEIF('P01-CostOverrun'!$C$5:$C$54,$A82,'P01-CostOverrun'!$J$5:$J$54)</f>
        <v>5.0976818113437884E-2</v>
      </c>
      <c r="C82">
        <f>COUNTIF('P01-CostOverrun'!$C$5:$C$54,$A82)</f>
        <v>3</v>
      </c>
      <c r="D82" s="48">
        <f>SUMIF('P01-CostOverrun'!$C$5:$C$54,$A82,'P01-CostOverrun'!$F$5:$F$54)</f>
        <v>150280924</v>
      </c>
      <c r="E82" s="48">
        <f>SUMIF('P01-CostOverrun'!$C$5:$C$54,$A82,'P01-CostOverrun'!$G$5:$G$54)</f>
        <v>157943991</v>
      </c>
      <c r="F82" s="39">
        <f t="shared" si="2"/>
        <v>5.099161487721493E-2</v>
      </c>
    </row>
    <row r="83" spans="1:6">
      <c r="A83" t="s">
        <v>203</v>
      </c>
      <c r="B83" s="39">
        <f>AVERAGEIF('P01-CostOverrun'!$C$5:$C$54,$A83,'P01-CostOverrun'!$J$5:$J$54)</f>
        <v>-2.9764705796882351E-2</v>
      </c>
      <c r="C83">
        <f>COUNTIF('P01-CostOverrun'!$C$5:$C$54,$A83)</f>
        <v>1</v>
      </c>
      <c r="D83" s="48">
        <f>SUMIF('P01-CostOverrun'!$C$5:$C$54,$A83,'P01-CostOverrun'!$F$5:$F$54)</f>
        <v>15141087</v>
      </c>
      <c r="E83" s="48">
        <f>SUMIF('P01-CostOverrun'!$C$5:$C$54,$A83,'P01-CostOverrun'!$G$5:$G$54)</f>
        <v>14690417</v>
      </c>
      <c r="F83" s="39">
        <f t="shared" si="2"/>
        <v>-2.9764705796882396E-2</v>
      </c>
    </row>
    <row r="84" spans="1:6">
      <c r="A84" s="44" t="str">
        <f>"ANSWER: "&amp;INDEX($A$66:$A$83,MATCH(MIN($B$66:$B$83),$B$66:$B$83,0))&amp;" is the most cost-efficient city (avg overrun "&amp;TEXT(MIN($B$66:$B$83),"0.0%")&amp;"), while "&amp;INDEX($A$66:$A$83,MATCH(MAX($B$66:$B$83),$B$66:$B$83,0))&amp;" is the least efficient ("&amp;TEXT(MAX($B$66:$B$83),"0.0%")&amp;"). Note: small samples per city."</f>
        <v>ANSWER: Gold Coast is the most cost-efficient city (avg overrun -3.0%), while Sydney is the least efficient (33.6%). Note: small samples per city.</v>
      </c>
    </row>
    <row r="86" spans="1:6">
      <c r="A86" s="41" t="s">
        <v>1322</v>
      </c>
      <c r="B86" s="41"/>
      <c r="C86" s="41"/>
      <c r="D86" s="41"/>
      <c r="E86" s="41"/>
      <c r="F86" s="41"/>
    </row>
    <row r="87" spans="1:6">
      <c r="A87" s="42" t="s">
        <v>266</v>
      </c>
    </row>
    <row r="88" spans="1:6">
      <c r="A88" s="43" t="s">
        <v>220</v>
      </c>
      <c r="B88" s="43" t="s">
        <v>221</v>
      </c>
      <c r="C88" s="43" t="s">
        <v>1323</v>
      </c>
      <c r="D88" s="43" t="s">
        <v>1324</v>
      </c>
      <c r="E88" s="43" t="s">
        <v>1325</v>
      </c>
      <c r="F88" s="43" t="s">
        <v>1326</v>
      </c>
    </row>
    <row r="89" spans="1:6">
      <c r="A89" t="s">
        <v>231</v>
      </c>
      <c r="B89" t="str">
        <f>INDEX('P02-MaterialPrice'!$C$5:$C$94,MATCH($A89,'P02-MaterialPrice'!$B$5:$B$94,0))</f>
        <v>sqm</v>
      </c>
      <c r="C89" s="39">
        <f>AVERAGEIF('P02-MaterialPrice'!$B$5:$B$94,$A89,'P02-MaterialPrice'!$H$5:$H$94)</f>
        <v>2.5200000000000007E-2</v>
      </c>
      <c r="D89">
        <f>COUNTIF('P02-MaterialPrice'!$B$5:$B$94,$A89)</f>
        <v>10</v>
      </c>
      <c r="E89" s="50">
        <f>AVERAGEIF('P02-MaterialPrice'!$B$5:$B$94,$A89,'P02-MaterialPrice'!$D$5:$D$94)</f>
        <v>15</v>
      </c>
      <c r="F89" s="50">
        <f>AVERAGEIF('P02-MaterialPrice'!$B$5:$B$94,$A89,'P02-MaterialPrice'!$E$5:$E$94)</f>
        <v>15.377999999999997</v>
      </c>
    </row>
    <row r="90" spans="1:6">
      <c r="A90" t="s">
        <v>229</v>
      </c>
      <c r="B90" t="str">
        <f>INDEX('P02-MaterialPrice'!$C$5:$C$94,MATCH($A90,'P02-MaterialPrice'!$B$5:$B$94,0))</f>
        <v>MT</v>
      </c>
      <c r="C90" s="39">
        <f>AVERAGEIF('P02-MaterialPrice'!$B$5:$B$94,$A90,'P02-MaterialPrice'!$H$5:$H$94)</f>
        <v>0.11856862745098039</v>
      </c>
      <c r="D90">
        <f>COUNTIF('P02-MaterialPrice'!$B$5:$B$94,$A90)</f>
        <v>6</v>
      </c>
      <c r="E90" s="50">
        <f>AVERAGEIF('P02-MaterialPrice'!$B$5:$B$94,$A90,'P02-MaterialPrice'!$D$5:$D$94)</f>
        <v>85</v>
      </c>
      <c r="F90" s="50">
        <f>AVERAGEIF('P02-MaterialPrice'!$B$5:$B$94,$A90,'P02-MaterialPrice'!$E$5:$E$94)</f>
        <v>95.078333333333319</v>
      </c>
    </row>
    <row r="91" spans="1:6">
      <c r="A91" t="s">
        <v>233</v>
      </c>
      <c r="B91" t="str">
        <f>INDEX('P02-MaterialPrice'!$C$5:$C$94,MATCH($A91,'P02-MaterialPrice'!$B$5:$B$94,0))</f>
        <v>sqm</v>
      </c>
      <c r="C91" s="39">
        <f>AVERAGEIF('P02-MaterialPrice'!$B$5:$B$94,$A91,'P02-MaterialPrice'!$H$5:$H$94)</f>
        <v>0.11697916666666666</v>
      </c>
      <c r="D91">
        <f>COUNTIF('P02-MaterialPrice'!$B$5:$B$94,$A91)</f>
        <v>8</v>
      </c>
      <c r="E91" s="50">
        <f>AVERAGEIF('P02-MaterialPrice'!$B$5:$B$94,$A91,'P02-MaterialPrice'!$D$5:$D$94)</f>
        <v>120</v>
      </c>
      <c r="F91" s="50">
        <f>AVERAGEIF('P02-MaterialPrice'!$B$5:$B$94,$A91,'P02-MaterialPrice'!$E$5:$E$94)</f>
        <v>134.03749999999999</v>
      </c>
    </row>
    <row r="92" spans="1:6">
      <c r="A92" t="s">
        <v>243</v>
      </c>
      <c r="B92" t="str">
        <f>INDEX('P02-MaterialPrice'!$C$5:$C$94,MATCH($A92,'P02-MaterialPrice'!$B$5:$B$94,0))</f>
        <v>1000 nos</v>
      </c>
      <c r="C92" s="39">
        <f>AVERAGEIF('P02-MaterialPrice'!$B$5:$B$94,$A92,'P02-MaterialPrice'!$H$5:$H$94)</f>
        <v>7.7399122807017537E-2</v>
      </c>
      <c r="D92">
        <f>COUNTIF('P02-MaterialPrice'!$B$5:$B$94,$A92)</f>
        <v>6</v>
      </c>
      <c r="E92" s="50">
        <f>AVERAGEIF('P02-MaterialPrice'!$B$5:$B$94,$A92,'P02-MaterialPrice'!$D$5:$D$94)</f>
        <v>380</v>
      </c>
      <c r="F92" s="50">
        <f>AVERAGEIF('P02-MaterialPrice'!$B$5:$B$94,$A92,'P02-MaterialPrice'!$E$5:$E$94)</f>
        <v>409.41166666666669</v>
      </c>
    </row>
    <row r="93" spans="1:6">
      <c r="A93" t="s">
        <v>249</v>
      </c>
      <c r="B93" t="str">
        <f>INDEX('P02-MaterialPrice'!$C$5:$C$94,MATCH($A93,'P02-MaterialPrice'!$B$5:$B$94,0))</f>
        <v>sqm</v>
      </c>
      <c r="C93" s="39">
        <f>AVERAGEIF('P02-MaterialPrice'!$B$5:$B$94,$A93,'P02-MaterialPrice'!$H$5:$H$94)</f>
        <v>8.3611111111111081E-2</v>
      </c>
      <c r="D93">
        <f>COUNTIF('P02-MaterialPrice'!$B$5:$B$94,$A93)</f>
        <v>6</v>
      </c>
      <c r="E93" s="50">
        <f>AVERAGEIF('P02-MaterialPrice'!$B$5:$B$94,$A93,'P02-MaterialPrice'!$D$5:$D$94)</f>
        <v>18</v>
      </c>
      <c r="F93" s="50">
        <f>AVERAGEIF('P02-MaterialPrice'!$B$5:$B$94,$A93,'P02-MaterialPrice'!$E$5:$E$94)</f>
        <v>19.504999999999999</v>
      </c>
    </row>
    <row r="94" spans="1:6">
      <c r="A94" t="s">
        <v>241</v>
      </c>
      <c r="B94" t="str">
        <f>INDEX('P02-MaterialPrice'!$C$5:$C$94,MATCH($A94,'P02-MaterialPrice'!$B$5:$B$94,0))</f>
        <v>m</v>
      </c>
      <c r="C94" s="39">
        <f>AVERAGEIF('P02-MaterialPrice'!$B$5:$B$94,$A94,'P02-MaterialPrice'!$H$5:$H$94)</f>
        <v>3.0416666666666654E-2</v>
      </c>
      <c r="D94">
        <f>COUNTIF('P02-MaterialPrice'!$B$5:$B$94,$A94)</f>
        <v>8</v>
      </c>
      <c r="E94" s="50">
        <f>AVERAGEIF('P02-MaterialPrice'!$B$5:$B$94,$A94,'P02-MaterialPrice'!$D$5:$D$94)</f>
        <v>3</v>
      </c>
      <c r="F94" s="50">
        <f>AVERAGEIF('P02-MaterialPrice'!$B$5:$B$94,$A94,'P02-MaterialPrice'!$E$5:$E$94)</f>
        <v>3.0912500000000005</v>
      </c>
    </row>
    <row r="95" spans="1:6">
      <c r="A95" t="s">
        <v>237</v>
      </c>
      <c r="B95" t="str">
        <f>INDEX('P02-MaterialPrice'!$C$5:$C$94,MATCH($A95,'P02-MaterialPrice'!$B$5:$B$94,0))</f>
        <v>cum</v>
      </c>
      <c r="C95" s="39">
        <f>AVERAGEIF('P02-MaterialPrice'!$B$5:$B$94,$A95,'P02-MaterialPrice'!$H$5:$H$94)</f>
        <v>9.5199999999999993E-2</v>
      </c>
      <c r="D95">
        <f>COUNTIF('P02-MaterialPrice'!$B$5:$B$94,$A95)</f>
        <v>4</v>
      </c>
      <c r="E95" s="50">
        <f>AVERAGEIF('P02-MaterialPrice'!$B$5:$B$94,$A95,'P02-MaterialPrice'!$D$5:$D$94)</f>
        <v>25</v>
      </c>
      <c r="F95" s="50">
        <f>AVERAGEIF('P02-MaterialPrice'!$B$5:$B$94,$A95,'P02-MaterialPrice'!$E$5:$E$94)</f>
        <v>27.38</v>
      </c>
    </row>
    <row r="96" spans="1:6">
      <c r="A96" t="s">
        <v>245</v>
      </c>
      <c r="B96" t="str">
        <f>INDEX('P02-MaterialPrice'!$C$5:$C$94,MATCH($A96,'P02-MaterialPrice'!$B$5:$B$94,0))</f>
        <v>MT</v>
      </c>
      <c r="C96" s="39">
        <f>AVERAGEIF('P02-MaterialPrice'!$B$5:$B$94,$A96,'P02-MaterialPrice'!$H$5:$H$94)</f>
        <v>6.9677192982456157E-2</v>
      </c>
      <c r="D96">
        <f>COUNTIF('P02-MaterialPrice'!$B$5:$B$94,$A96)</f>
        <v>6</v>
      </c>
      <c r="E96" s="50">
        <f>AVERAGEIF('P02-MaterialPrice'!$B$5:$B$94,$A96,'P02-MaterialPrice'!$D$5:$D$94)</f>
        <v>950</v>
      </c>
      <c r="F96" s="50">
        <f>AVERAGEIF('P02-MaterialPrice'!$B$5:$B$94,$A96,'P02-MaterialPrice'!$E$5:$E$94)</f>
        <v>1016.1933333333335</v>
      </c>
    </row>
    <row r="97" spans="1:6">
      <c r="A97" t="s">
        <v>255</v>
      </c>
      <c r="B97" t="str">
        <f>INDEX('P02-MaterialPrice'!$C$5:$C$94,MATCH($A97,'P02-MaterialPrice'!$B$5:$B$94,0))</f>
        <v>cum</v>
      </c>
      <c r="C97" s="39">
        <f>AVERAGEIF('P02-MaterialPrice'!$B$5:$B$94,$A97,'P02-MaterialPrice'!$H$5:$H$94)</f>
        <v>0.14609090909090908</v>
      </c>
      <c r="D97">
        <f>COUNTIF('P02-MaterialPrice'!$B$5:$B$94,$A97)</f>
        <v>5</v>
      </c>
      <c r="E97" s="50">
        <f>AVERAGEIF('P02-MaterialPrice'!$B$5:$B$94,$A97,'P02-MaterialPrice'!$D$5:$D$94)</f>
        <v>22</v>
      </c>
      <c r="F97" s="50">
        <f>AVERAGEIF('P02-MaterialPrice'!$B$5:$B$94,$A97,'P02-MaterialPrice'!$E$5:$E$94)</f>
        <v>25.213999999999999</v>
      </c>
    </row>
    <row r="98" spans="1:6">
      <c r="A98" t="s">
        <v>260</v>
      </c>
      <c r="B98" t="str">
        <f>INDEX('P02-MaterialPrice'!$C$5:$C$94,MATCH($A98,'P02-MaterialPrice'!$B$5:$B$94,0))</f>
        <v>m</v>
      </c>
      <c r="C98" s="39">
        <f>AVERAGEIF('P02-MaterialPrice'!$B$5:$B$94,$A98,'P02-MaterialPrice'!$H$5:$H$94)</f>
        <v>9.9374999999999991E-2</v>
      </c>
      <c r="D98">
        <f>COUNTIF('P02-MaterialPrice'!$B$5:$B$94,$A98)</f>
        <v>4</v>
      </c>
      <c r="E98" s="50">
        <f>AVERAGEIF('P02-MaterialPrice'!$B$5:$B$94,$A98,'P02-MaterialPrice'!$D$5:$D$94)</f>
        <v>12</v>
      </c>
      <c r="F98" s="50">
        <f>AVERAGEIF('P02-MaterialPrice'!$B$5:$B$94,$A98,'P02-MaterialPrice'!$E$5:$E$94)</f>
        <v>13.192500000000001</v>
      </c>
    </row>
    <row r="99" spans="1:6">
      <c r="A99" t="s">
        <v>250</v>
      </c>
      <c r="B99" t="str">
        <f>INDEX('P02-MaterialPrice'!$C$5:$C$94,MATCH($A99,'P02-MaterialPrice'!$B$5:$B$94,0))</f>
        <v>cum</v>
      </c>
      <c r="C99" s="39">
        <f>AVERAGEIF('P02-MaterialPrice'!$B$5:$B$94,$A99,'P02-MaterialPrice'!$H$5:$H$94)</f>
        <v>0.14779999999999999</v>
      </c>
      <c r="D99">
        <f>COUNTIF('P02-MaterialPrice'!$B$5:$B$94,$A99)</f>
        <v>4</v>
      </c>
      <c r="E99" s="50">
        <f>AVERAGEIF('P02-MaterialPrice'!$B$5:$B$94,$A99,'P02-MaterialPrice'!$D$5:$D$94)</f>
        <v>75</v>
      </c>
      <c r="F99" s="50">
        <f>AVERAGEIF('P02-MaterialPrice'!$B$5:$B$94,$A99,'P02-MaterialPrice'!$E$5:$E$94)</f>
        <v>86.084999999999994</v>
      </c>
    </row>
    <row r="100" spans="1:6">
      <c r="A100" t="s">
        <v>227</v>
      </c>
      <c r="B100" t="str">
        <f>INDEX('P02-MaterialPrice'!$C$5:$C$94,MATCH($A100,'P02-MaterialPrice'!$B$5:$B$94,0))</f>
        <v>sqm</v>
      </c>
      <c r="C100" s="39">
        <f>AVERAGEIF('P02-MaterialPrice'!$B$5:$B$94,$A100,'P02-MaterialPrice'!$H$5:$H$94)</f>
        <v>4.3934210526315812E-2</v>
      </c>
      <c r="D100">
        <f>COUNTIF('P02-MaterialPrice'!$B$5:$B$94,$A100)</f>
        <v>8</v>
      </c>
      <c r="E100" s="50">
        <f>AVERAGEIF('P02-MaterialPrice'!$B$5:$B$94,$A100,'P02-MaterialPrice'!$D$5:$D$94)</f>
        <v>95</v>
      </c>
      <c r="F100" s="50">
        <f>AVERAGEIF('P02-MaterialPrice'!$B$5:$B$94,$A100,'P02-MaterialPrice'!$E$5:$E$94)</f>
        <v>99.173750000000013</v>
      </c>
    </row>
    <row r="101" spans="1:6">
      <c r="A101" t="s">
        <v>239</v>
      </c>
      <c r="B101" t="str">
        <f>INDEX('P02-MaterialPrice'!$C$5:$C$94,MATCH($A101,'P02-MaterialPrice'!$B$5:$B$94,0))</f>
        <v>m</v>
      </c>
      <c r="C101" s="39">
        <f>AVERAGEIF('P02-MaterialPrice'!$B$5:$B$94,$A101,'P02-MaterialPrice'!$H$5:$H$94)</f>
        <v>1.9249999999999989E-2</v>
      </c>
      <c r="D101">
        <f>COUNTIF('P02-MaterialPrice'!$B$5:$B$94,$A101)</f>
        <v>5</v>
      </c>
      <c r="E101" s="50">
        <f>AVERAGEIF('P02-MaterialPrice'!$B$5:$B$94,$A101,'P02-MaterialPrice'!$D$5:$D$94)</f>
        <v>8</v>
      </c>
      <c r="F101" s="50">
        <f>AVERAGEIF('P02-MaterialPrice'!$B$5:$B$94,$A101,'P02-MaterialPrice'!$E$5:$E$94)</f>
        <v>8.1539999999999999</v>
      </c>
    </row>
    <row r="102" spans="1:6">
      <c r="A102" t="s">
        <v>234</v>
      </c>
      <c r="B102" t="str">
        <f>INDEX('P02-MaterialPrice'!$C$5:$C$94,MATCH($A102,'P02-MaterialPrice'!$B$5:$B$94,0))</f>
        <v>sheet</v>
      </c>
      <c r="C102" s="39">
        <f>AVERAGEIF('P02-MaterialPrice'!$B$5:$B$94,$A102,'P02-MaterialPrice'!$H$5:$H$94)</f>
        <v>9.2555555555555558E-2</v>
      </c>
      <c r="D102">
        <f>COUNTIF('P02-MaterialPrice'!$B$5:$B$94,$A102)</f>
        <v>6</v>
      </c>
      <c r="E102" s="50">
        <f>AVERAGEIF('P02-MaterialPrice'!$B$5:$B$94,$A102,'P02-MaterialPrice'!$D$5:$D$94)</f>
        <v>45</v>
      </c>
      <c r="F102" s="50">
        <f>AVERAGEIF('P02-MaterialPrice'!$B$5:$B$94,$A102,'P02-MaterialPrice'!$E$5:$E$94)</f>
        <v>49.164999999999999</v>
      </c>
    </row>
    <row r="103" spans="1:6">
      <c r="A103" t="s">
        <v>246</v>
      </c>
      <c r="B103" t="str">
        <f>INDEX('P02-MaterialPrice'!$C$5:$C$94,MATCH($A103,'P02-MaterialPrice'!$B$5:$B$94,0))</f>
        <v>MT</v>
      </c>
      <c r="C103" s="39">
        <f>AVERAGEIF('P02-MaterialPrice'!$B$5:$B$94,$A103,'P02-MaterialPrice'!$H$5:$H$94)</f>
        <v>3.9138461538461539E-2</v>
      </c>
      <c r="D103">
        <f>COUNTIF('P02-MaterialPrice'!$B$5:$B$94,$A103)</f>
        <v>4</v>
      </c>
      <c r="E103" s="50">
        <f>AVERAGEIF('P02-MaterialPrice'!$B$5:$B$94,$A103,'P02-MaterialPrice'!$D$5:$D$94)</f>
        <v>650</v>
      </c>
      <c r="F103" s="50">
        <f>AVERAGEIF('P02-MaterialPrice'!$B$5:$B$94,$A103,'P02-MaterialPrice'!$E$5:$E$94)</f>
        <v>675.43999999999994</v>
      </c>
    </row>
    <row r="104" spans="1:6">
      <c r="A104" s="44" t="str">
        <f>"ANSWER: "&amp;INDEX($A$89:$A$103,MATCH(MAX($C$89:$C$103),$C$89:$C$103,0))&amp;" shows the highest average price increase at "&amp;TEXT(MAX($C$89:$C$103),"0.0%")&amp;"; the lowest is "&amp;INDEX($A$89:$A$103,MATCH(MIN($C$89:$C$103),$C$89:$C$103,0))&amp;" at "&amp;TEXT(MIN($C$89:$C$103),"0.0%")&amp;"."</f>
        <v>ANSWER: RMC M30 shows the highest average price increase at 14.8%; the lowest is Copper Wiring at 1.9%.</v>
      </c>
    </row>
    <row r="106" spans="1:6">
      <c r="A106" s="42" t="s">
        <v>1327</v>
      </c>
    </row>
    <row r="107" spans="1:6">
      <c r="A107" s="43" t="s">
        <v>219</v>
      </c>
      <c r="B107" s="43" t="s">
        <v>1328</v>
      </c>
      <c r="C107" s="43" t="s">
        <v>1329</v>
      </c>
      <c r="D107" s="43" t="s">
        <v>1269</v>
      </c>
    </row>
    <row r="108" spans="1:6">
      <c r="A108" t="s">
        <v>226</v>
      </c>
      <c r="B108" s="50" t="e">
        <f>IFERROR(AVERAGEIFS('P02-MaterialPrice'!$E$5:$E$94,'P02-MaterialPrice'!$B$5:$B$94,"TMT Steel (Fe500)",'P02-MaterialPrice'!$A$5:$A$94,$A108),NA())</f>
        <v>#N/A</v>
      </c>
      <c r="C108" s="50">
        <f>IFERROR(AVERAGEIFS('P02-MaterialPrice'!$E$5:$E$94,'P02-MaterialPrice'!$B$5:$B$94,"Cement (OPC 53)",'P02-MaterialPrice'!$A$5:$A$94,$A108),NA())</f>
        <v>96.77</v>
      </c>
      <c r="D108" s="50">
        <v>1</v>
      </c>
    </row>
    <row r="109" spans="1:6">
      <c r="A109" t="s">
        <v>236</v>
      </c>
      <c r="B109" s="50" t="e">
        <f>IFERROR(AVERAGEIFS('P02-MaterialPrice'!$E$5:$E$94,'P02-MaterialPrice'!$B$5:$B$94,"TMT Steel (Fe500)",'P02-MaterialPrice'!$A$5:$A$94,$A109),NA())</f>
        <v>#N/A</v>
      </c>
      <c r="C109" s="50">
        <f>IFERROR(AVERAGEIFS('P02-MaterialPrice'!$E$5:$E$94,'P02-MaterialPrice'!$B$5:$B$94,"Cement (OPC 53)",'P02-MaterialPrice'!$A$5:$A$94,$A109),NA())</f>
        <v>94.59</v>
      </c>
      <c r="D109" s="50">
        <v>2</v>
      </c>
    </row>
    <row r="110" spans="1:6">
      <c r="A110" t="s">
        <v>242</v>
      </c>
      <c r="B110" s="50">
        <f>IFERROR(AVERAGEIFS('P02-MaterialPrice'!$E$5:$E$94,'P02-MaterialPrice'!$B$5:$B$94,"TMT Steel (Fe500)",'P02-MaterialPrice'!$A$5:$A$94,$A110),NA())</f>
        <v>710.14</v>
      </c>
      <c r="C110" s="50" t="e">
        <f>IFERROR(AVERAGEIFS('P02-MaterialPrice'!$E$5:$E$94,'P02-MaterialPrice'!$B$5:$B$94,"Cement (OPC 53)",'P02-MaterialPrice'!$A$5:$A$94,$A110),NA())</f>
        <v>#N/A</v>
      </c>
      <c r="D110" s="50">
        <v>3</v>
      </c>
    </row>
    <row r="111" spans="1:6">
      <c r="A111" t="s">
        <v>247</v>
      </c>
      <c r="B111" s="50" t="e">
        <f>IFERROR(AVERAGEIFS('P02-MaterialPrice'!$E$5:$E$94,'P02-MaterialPrice'!$B$5:$B$94,"TMT Steel (Fe500)",'P02-MaterialPrice'!$A$5:$A$94,$A111),NA())</f>
        <v>#N/A</v>
      </c>
      <c r="C111" s="50" t="e">
        <f>IFERROR(AVERAGEIFS('P02-MaterialPrice'!$E$5:$E$94,'P02-MaterialPrice'!$B$5:$B$94,"Cement (OPC 53)",'P02-MaterialPrice'!$A$5:$A$94,$A111),NA())</f>
        <v>#N/A</v>
      </c>
      <c r="D111" s="50">
        <v>4</v>
      </c>
    </row>
    <row r="112" spans="1:6">
      <c r="A112" t="s">
        <v>248</v>
      </c>
      <c r="B112" s="50" t="e">
        <f>IFERROR(AVERAGEIFS('P02-MaterialPrice'!$E$5:$E$94,'P02-MaterialPrice'!$B$5:$B$94,"TMT Steel (Fe500)",'P02-MaterialPrice'!$A$5:$A$94,$A112),NA())</f>
        <v>#N/A</v>
      </c>
      <c r="C112" s="50" t="e">
        <f>IFERROR(AVERAGEIFS('P02-MaterialPrice'!$E$5:$E$94,'P02-MaterialPrice'!$B$5:$B$94,"Cement (OPC 53)",'P02-MaterialPrice'!$A$5:$A$94,$A112),NA())</f>
        <v>#N/A</v>
      </c>
      <c r="D112" s="50">
        <v>5</v>
      </c>
    </row>
    <row r="113" spans="1:4">
      <c r="A113" t="s">
        <v>251</v>
      </c>
      <c r="B113" s="50" t="e">
        <f>IFERROR(AVERAGEIFS('P02-MaterialPrice'!$E$5:$E$94,'P02-MaterialPrice'!$B$5:$B$94,"TMT Steel (Fe500)",'P02-MaterialPrice'!$A$5:$A$94,$A113),NA())</f>
        <v>#N/A</v>
      </c>
      <c r="C113" s="50">
        <f>IFERROR(AVERAGEIFS('P02-MaterialPrice'!$E$5:$E$94,'P02-MaterialPrice'!$B$5:$B$94,"Cement (OPC 53)",'P02-MaterialPrice'!$A$5:$A$94,$A113),NA())</f>
        <v>81.11</v>
      </c>
      <c r="D113" s="50">
        <v>6</v>
      </c>
    </row>
    <row r="114" spans="1:4">
      <c r="A114" t="s">
        <v>252</v>
      </c>
      <c r="B114" s="50" t="e">
        <f>IFERROR(AVERAGEIFS('P02-MaterialPrice'!$E$5:$E$94,'P02-MaterialPrice'!$B$5:$B$94,"TMT Steel (Fe500)",'P02-MaterialPrice'!$A$5:$A$94,$A114),NA())</f>
        <v>#N/A</v>
      </c>
      <c r="C114" s="50" t="e">
        <f>IFERROR(AVERAGEIFS('P02-MaterialPrice'!$E$5:$E$94,'P02-MaterialPrice'!$B$5:$B$94,"Cement (OPC 53)",'P02-MaterialPrice'!$A$5:$A$94,$A114),NA())</f>
        <v>#N/A</v>
      </c>
      <c r="D114" s="50">
        <v>7</v>
      </c>
    </row>
    <row r="115" spans="1:4">
      <c r="A115" t="s">
        <v>253</v>
      </c>
      <c r="B115" s="50" t="e">
        <f>IFERROR(AVERAGEIFS('P02-MaterialPrice'!$E$5:$E$94,'P02-MaterialPrice'!$B$5:$B$94,"TMT Steel (Fe500)",'P02-MaterialPrice'!$A$5:$A$94,$A115),NA())</f>
        <v>#N/A</v>
      </c>
      <c r="C115" s="50" t="e">
        <f>IFERROR(AVERAGEIFS('P02-MaterialPrice'!$E$5:$E$94,'P02-MaterialPrice'!$B$5:$B$94,"Cement (OPC 53)",'P02-MaterialPrice'!$A$5:$A$94,$A115),NA())</f>
        <v>#N/A</v>
      </c>
      <c r="D115" s="50">
        <v>8</v>
      </c>
    </row>
    <row r="116" spans="1:4">
      <c r="A116" t="s">
        <v>254</v>
      </c>
      <c r="B116" s="50" t="e">
        <f>IFERROR(AVERAGEIFS('P02-MaterialPrice'!$E$5:$E$94,'P02-MaterialPrice'!$B$5:$B$94,"TMT Steel (Fe500)",'P02-MaterialPrice'!$A$5:$A$94,$A116),NA())</f>
        <v>#N/A</v>
      </c>
      <c r="C116" s="50">
        <f>IFERROR(AVERAGEIFS('P02-MaterialPrice'!$E$5:$E$94,'P02-MaterialPrice'!$B$5:$B$94,"Cement (OPC 53)",'P02-MaterialPrice'!$A$5:$A$94,$A116),NA())</f>
        <v>105.52</v>
      </c>
      <c r="D116" s="50">
        <v>9</v>
      </c>
    </row>
    <row r="117" spans="1:4">
      <c r="A117" t="s">
        <v>256</v>
      </c>
      <c r="B117" s="50" t="e">
        <f>IFERROR(AVERAGEIFS('P02-MaterialPrice'!$E$5:$E$94,'P02-MaterialPrice'!$B$5:$B$94,"TMT Steel (Fe500)",'P02-MaterialPrice'!$A$5:$A$94,$A117),NA())</f>
        <v>#N/A</v>
      </c>
      <c r="C117" s="50" t="e">
        <f>IFERROR(AVERAGEIFS('P02-MaterialPrice'!$E$5:$E$94,'P02-MaterialPrice'!$B$5:$B$94,"Cement (OPC 53)",'P02-MaterialPrice'!$A$5:$A$94,$A117),NA())</f>
        <v>#N/A</v>
      </c>
      <c r="D117" s="50">
        <v>10</v>
      </c>
    </row>
    <row r="118" spans="1:4">
      <c r="A118" t="s">
        <v>257</v>
      </c>
      <c r="B118" s="50" t="e">
        <f>IFERROR(AVERAGEIFS('P02-MaterialPrice'!$E$5:$E$94,'P02-MaterialPrice'!$B$5:$B$94,"TMT Steel (Fe500)",'P02-MaterialPrice'!$A$5:$A$94,$A118),NA())</f>
        <v>#N/A</v>
      </c>
      <c r="C118" s="50" t="e">
        <f>IFERROR(AVERAGEIFS('P02-MaterialPrice'!$E$5:$E$94,'P02-MaterialPrice'!$B$5:$B$94,"Cement (OPC 53)",'P02-MaterialPrice'!$A$5:$A$94,$A118),NA())</f>
        <v>#N/A</v>
      </c>
      <c r="D118" s="50">
        <v>11</v>
      </c>
    </row>
    <row r="119" spans="1:4">
      <c r="A119" t="s">
        <v>258</v>
      </c>
      <c r="B119" s="50" t="e">
        <f>IFERROR(AVERAGEIFS('P02-MaterialPrice'!$E$5:$E$94,'P02-MaterialPrice'!$B$5:$B$94,"TMT Steel (Fe500)",'P02-MaterialPrice'!$A$5:$A$94,$A119),NA())</f>
        <v>#N/A</v>
      </c>
      <c r="C119" s="50">
        <f>IFERROR(AVERAGEIFS('P02-MaterialPrice'!$E$5:$E$94,'P02-MaterialPrice'!$B$5:$B$94,"Cement (OPC 53)",'P02-MaterialPrice'!$A$5:$A$94,$A119),NA())</f>
        <v>90.44</v>
      </c>
      <c r="D119" s="50">
        <v>12</v>
      </c>
    </row>
    <row r="120" spans="1:4">
      <c r="A120" t="s">
        <v>259</v>
      </c>
      <c r="B120" s="50">
        <f>IFERROR(AVERAGEIFS('P02-MaterialPrice'!$E$5:$E$94,'P02-MaterialPrice'!$B$5:$B$94,"TMT Steel (Fe500)",'P02-MaterialPrice'!$A$5:$A$94,$A120),NA())</f>
        <v>607.52</v>
      </c>
      <c r="C120" s="50" t="e">
        <f>IFERROR(AVERAGEIFS('P02-MaterialPrice'!$E$5:$E$94,'P02-MaterialPrice'!$B$5:$B$94,"Cement (OPC 53)",'P02-MaterialPrice'!$A$5:$A$94,$A120),NA())</f>
        <v>#N/A</v>
      </c>
      <c r="D120" s="50">
        <v>13</v>
      </c>
    </row>
    <row r="121" spans="1:4">
      <c r="A121" t="s">
        <v>261</v>
      </c>
      <c r="B121" s="50">
        <f>IFERROR(AVERAGEIFS('P02-MaterialPrice'!$E$5:$E$94,'P02-MaterialPrice'!$B$5:$B$94,"TMT Steel (Fe500)",'P02-MaterialPrice'!$A$5:$A$94,$A121),NA())</f>
        <v>688.19</v>
      </c>
      <c r="C121" s="50" t="e">
        <f>IFERROR(AVERAGEIFS('P02-MaterialPrice'!$E$5:$E$94,'P02-MaterialPrice'!$B$5:$B$94,"Cement (OPC 53)",'P02-MaterialPrice'!$A$5:$A$94,$A121),NA())</f>
        <v>#N/A</v>
      </c>
      <c r="D121" s="50">
        <v>14</v>
      </c>
    </row>
    <row r="122" spans="1:4">
      <c r="A122" t="s">
        <v>262</v>
      </c>
      <c r="B122" s="50" t="e">
        <f>IFERROR(AVERAGEIFS('P02-MaterialPrice'!$E$5:$E$94,'P02-MaterialPrice'!$B$5:$B$94,"TMT Steel (Fe500)",'P02-MaterialPrice'!$A$5:$A$94,$A122),NA())</f>
        <v>#N/A</v>
      </c>
      <c r="C122" s="50" t="e">
        <f>IFERROR(AVERAGEIFS('P02-MaterialPrice'!$E$5:$E$94,'P02-MaterialPrice'!$B$5:$B$94,"Cement (OPC 53)",'P02-MaterialPrice'!$A$5:$A$94,$A122),NA())</f>
        <v>#N/A</v>
      </c>
      <c r="D122" s="50">
        <v>15</v>
      </c>
    </row>
    <row r="123" spans="1:4">
      <c r="A123" t="s">
        <v>263</v>
      </c>
      <c r="B123" s="50" t="e">
        <f>IFERROR(AVERAGEIFS('P02-MaterialPrice'!$E$5:$E$94,'P02-MaterialPrice'!$B$5:$B$94,"TMT Steel (Fe500)",'P02-MaterialPrice'!$A$5:$A$94,$A123),NA())</f>
        <v>#N/A</v>
      </c>
      <c r="C123" s="50" t="e">
        <f>IFERROR(AVERAGEIFS('P02-MaterialPrice'!$E$5:$E$94,'P02-MaterialPrice'!$B$5:$B$94,"Cement (OPC 53)",'P02-MaterialPrice'!$A$5:$A$94,$A123),NA())</f>
        <v>#N/A</v>
      </c>
      <c r="D123" s="50">
        <v>16</v>
      </c>
    </row>
    <row r="124" spans="1:4">
      <c r="A124" t="s">
        <v>264</v>
      </c>
      <c r="B124" s="50" t="e">
        <f>IFERROR(AVERAGEIFS('P02-MaterialPrice'!$E$5:$E$94,'P02-MaterialPrice'!$B$5:$B$94,"TMT Steel (Fe500)",'P02-MaterialPrice'!$A$5:$A$94,$A124),NA())</f>
        <v>#N/A</v>
      </c>
      <c r="C124" s="50">
        <f>IFERROR(AVERAGEIFS('P02-MaterialPrice'!$E$5:$E$94,'P02-MaterialPrice'!$B$5:$B$94,"Cement (OPC 53)",'P02-MaterialPrice'!$A$5:$A$94,$A124),NA())</f>
        <v>102.04</v>
      </c>
      <c r="D124" s="50">
        <v>17</v>
      </c>
    </row>
    <row r="125" spans="1:4">
      <c r="A125" t="s">
        <v>265</v>
      </c>
      <c r="B125" s="50">
        <f>IFERROR(AVERAGEIFS('P02-MaterialPrice'!$E$5:$E$94,'P02-MaterialPrice'!$B$5:$B$94,"TMT Steel (Fe500)",'P02-MaterialPrice'!$A$5:$A$94,$A125),NA())</f>
        <v>695.91</v>
      </c>
      <c r="C125" s="50" t="e">
        <f>IFERROR(AVERAGEIFS('P02-MaterialPrice'!$E$5:$E$94,'P02-MaterialPrice'!$B$5:$B$94,"Cement (OPC 53)",'P02-MaterialPrice'!$A$5:$A$94,$A125),NA())</f>
        <v>#N/A</v>
      </c>
      <c r="D125" s="50">
        <v>18</v>
      </c>
    </row>
    <row r="126" spans="1:4">
      <c r="A126" s="44" t="str" cm="1">
        <f t="array" ref="A126">"ANSWER: Both series trend upward overall but the dataset is sampled — only "&amp;COUNT($B$108:$B$125)&amp;" of 18 months carry a TMT Steel price and "&amp;COUNT($C$108:$C$125)&amp;" carry a Cement price (#N/A = no data that month). TMT Steel averages "&amp;TEXT(AVERAGE(IF(ISNUMBER($B$108:$B$125),$B$108:$B$125)),"""$""#,##0")&amp;"/MT (avg change "&amp;TEXT($C$103,"0.0%")&amp;") and Cement "&amp;TEXT(AVERAGE(IF(ISNUMBER($C$108:$C$125),$C$108:$C$125)),"""$""#,##0")&amp;"/MT (avg change "&amp;TEXT($C$90,"0.0%")&amp;"). See the line chart to the right."</f>
        <v>ANSWER: Both series trend upward overall but the dataset is sampled — only 4 of 18 months carry a TMT Steel price and 6 carry a Cement price (#N/A = no data that month). TMT Steel averages $675/MT (avg change 3.9%) and Cement $95/MT (avg change 11.9%). See the line chart to the right.</v>
      </c>
    </row>
    <row r="128" spans="1:4">
      <c r="A128" s="42" t="s">
        <v>1330</v>
      </c>
    </row>
    <row r="129" spans="1:6">
      <c r="A129" s="43" t="s">
        <v>71</v>
      </c>
      <c r="B129" s="43" t="s">
        <v>1331</v>
      </c>
      <c r="C129" s="43" t="s">
        <v>1323</v>
      </c>
      <c r="D129" s="43" t="s">
        <v>1332</v>
      </c>
      <c r="E129" s="43" t="s">
        <v>1333</v>
      </c>
      <c r="F129" s="43" t="s">
        <v>1324</v>
      </c>
    </row>
    <row r="130" spans="1:6">
      <c r="A130" t="s">
        <v>95</v>
      </c>
      <c r="B130" s="39" cm="1">
        <f t="array" ref="B130">STDEV(IF('P02-MaterialPrice'!$G$5:$G$94=$A130,'P02-MaterialPrice'!$H$5:$H$94))</f>
        <v>9.2102807435095038E-2</v>
      </c>
      <c r="C130" s="39">
        <f>AVERAGEIF('P02-MaterialPrice'!$G$5:$G$94,$A130,'P02-MaterialPrice'!$H$5:$H$94)</f>
        <v>7.8753840391400196E-2</v>
      </c>
      <c r="D130" s="39">
        <f>_xlfn.MINIFS('P02-MaterialPrice'!$H$5:$H$94,'P02-MaterialPrice'!$G$5:$G$94,$A130)</f>
        <v>-7.3333333333333403E-2</v>
      </c>
      <c r="E130" s="39">
        <f>_xlfn.MAXIFS('P02-MaterialPrice'!$H$5:$H$94,'P02-MaterialPrice'!$G$5:$G$94,$A130)</f>
        <v>0.23316666666666658</v>
      </c>
      <c r="F130">
        <f>COUNTIF('P02-MaterialPrice'!$G$5:$G$94,$A130)</f>
        <v>33</v>
      </c>
    </row>
    <row r="131" spans="1:6">
      <c r="A131" t="s">
        <v>81</v>
      </c>
      <c r="B131" s="39" cm="1">
        <f t="array" ref="B131">STDEV(IF('P02-MaterialPrice'!$G$5:$G$94=$A131,'P02-MaterialPrice'!$H$5:$H$94))</f>
        <v>9.7922415236652322E-2</v>
      </c>
      <c r="C131" s="39">
        <f>AVERAGEIF('P02-MaterialPrice'!$G$5:$G$94,$A131,'P02-MaterialPrice'!$H$5:$H$94)</f>
        <v>7.0880220478982056E-2</v>
      </c>
      <c r="D131" s="39">
        <f>_xlfn.MINIFS('P02-MaterialPrice'!$H$5:$H$94,'P02-MaterialPrice'!$G$5:$G$94,$A131)</f>
        <v>-7.8888888888888981E-2</v>
      </c>
      <c r="E131" s="39">
        <f>_xlfn.MAXIFS('P02-MaterialPrice'!$H$5:$H$94,'P02-MaterialPrice'!$G$5:$G$94,$A131)</f>
        <v>0.2486666666666667</v>
      </c>
      <c r="F131">
        <f>COUNTIF('P02-MaterialPrice'!$G$5:$G$94,$A131)</f>
        <v>39</v>
      </c>
    </row>
    <row r="132" spans="1:6">
      <c r="A132" t="s">
        <v>111</v>
      </c>
      <c r="B132" s="39" cm="1">
        <f t="array" ref="B132">STDEV(IF('P02-MaterialPrice'!$G$5:$G$94=$A132,'P02-MaterialPrice'!$H$5:$H$94))</f>
        <v>8.9924745734892925E-2</v>
      </c>
      <c r="C132" s="39">
        <f>AVERAGEIF('P02-MaterialPrice'!$G$5:$G$94,$A132,'P02-MaterialPrice'!$H$5:$H$94)</f>
        <v>7.9059059462877834E-2</v>
      </c>
      <c r="D132" s="39">
        <f>_xlfn.MINIFS('P02-MaterialPrice'!$H$5:$H$94,'P02-MaterialPrice'!$G$5:$G$94,$A132)</f>
        <v>-7.947368421052628E-2</v>
      </c>
      <c r="E132" s="39">
        <f>_xlfn.MAXIFS('P02-MaterialPrice'!$H$5:$H$94,'P02-MaterialPrice'!$G$5:$G$94,$A132)</f>
        <v>0.23073684210526318</v>
      </c>
      <c r="F132">
        <f>COUNTIF('P02-MaterialPrice'!$G$5:$G$94,$A132)</f>
        <v>18</v>
      </c>
    </row>
    <row r="133" spans="1:6">
      <c r="A133" s="44" t="str">
        <f>"ANSWER: "&amp;INDEX($A$130:$A$132,MATCH(MAX($B$130:$B$132),$B$130:$B$132,0))&amp;" has the most volatile material pricing (std dev of price change = "&amp;TEXT(MAX($B$130:$B$132),"0.0%")&amp;" pts), the least volatile is "&amp;INDEX($A$130:$A$132,MATCH(MIN($B$130:$B$132),$B$130:$B$132,0))&amp;" at "&amp;TEXT(MIN($B$130:$B$132),"0.0%")&amp;"."</f>
        <v>ANSWER: India has the most volatile material pricing (std dev of price change = 9.8% pts), the least volatile is New Zealand at 9.0%.</v>
      </c>
    </row>
    <row r="135" spans="1:6">
      <c r="A135" s="42" t="s">
        <v>1334</v>
      </c>
    </row>
    <row r="136" spans="1:6">
      <c r="A136" s="43" t="s">
        <v>1309</v>
      </c>
      <c r="B136" s="43" t="s">
        <v>220</v>
      </c>
      <c r="C136" s="43" t="s">
        <v>1323</v>
      </c>
      <c r="D136" s="43" t="s">
        <v>1335</v>
      </c>
      <c r="E136" s="43" t="s">
        <v>1326</v>
      </c>
      <c r="F136" s="43" t="s">
        <v>221</v>
      </c>
    </row>
    <row r="137" spans="1:6">
      <c r="A137">
        <v>1</v>
      </c>
      <c r="B137" t="str">
        <f>INDEX($A$89:$A$103,MATCH($C137,$C$89:$C$103,0))</f>
        <v>RMC M30</v>
      </c>
      <c r="C137" s="39">
        <f>LARGE($C$89:$C$103,$A137)</f>
        <v>0.14779999999999999</v>
      </c>
      <c r="D137" t="str">
        <f>IF($C137&gt;0.15,"PROCUREMENT RISK — HIGH","Monitor")</f>
        <v>Monitor</v>
      </c>
      <c r="E137" s="50">
        <f>INDEX($F$89:$F$103,MATCH($C137,$C$89:$C$103,0))</f>
        <v>86.084999999999994</v>
      </c>
      <c r="F137" t="str">
        <f>INDEX($B$89:$B$103,MATCH($C137,$C$89:$C$103,0))</f>
        <v>cum</v>
      </c>
    </row>
    <row r="138" spans="1:6">
      <c r="A138">
        <v>2</v>
      </c>
      <c r="B138" t="str">
        <f>INDEX($A$89:$A$103,MATCH($C138,$C$89:$C$103,0))</f>
        <v>Aggregate (20mm)</v>
      </c>
      <c r="C138" s="39">
        <f>LARGE($C$89:$C$103,$A138)</f>
        <v>0.14609090909090908</v>
      </c>
      <c r="D138" t="str">
        <f>IF($C138&gt;0.15,"PROCUREMENT RISK — HIGH","Monitor")</f>
        <v>Monitor</v>
      </c>
      <c r="E138" s="50">
        <f>INDEX($F$89:$F$103,MATCH($C138,$C$89:$C$103,0))</f>
        <v>25.213999999999999</v>
      </c>
      <c r="F138" t="str">
        <f>INDEX($B$89:$B$103,MATCH($C138,$C$89:$C$103,0))</f>
        <v>cum</v>
      </c>
    </row>
    <row r="139" spans="1:6">
      <c r="A139">
        <v>3</v>
      </c>
      <c r="B139" t="str">
        <f>INDEX($A$89:$A$103,MATCH($C139,$C$89:$C$103,0))</f>
        <v>Cement (OPC 53)</v>
      </c>
      <c r="C139" s="39">
        <f>LARGE($C$89:$C$103,$A139)</f>
        <v>0.11856862745098039</v>
      </c>
      <c r="D139" t="str">
        <f>IF($C139&gt;0.15,"PROCUREMENT RISK — HIGH","Monitor")</f>
        <v>Monitor</v>
      </c>
      <c r="E139" s="50">
        <f>INDEX($F$89:$F$103,MATCH($C139,$C$89:$C$103,0))</f>
        <v>95.078333333333319</v>
      </c>
      <c r="F139" t="str">
        <f>INDEX($B$89:$B$103,MATCH($C139,$C$89:$C$103,0))</f>
        <v>MT</v>
      </c>
    </row>
    <row r="140" spans="1:6">
      <c r="A140" s="44" t="str">
        <f>"ANSWER: No material's AVERAGE increase exceeds 15% (highest is "&amp;$B$137&amp;" at "&amp;TEXT($C$137,"0.0%")&amp;"), though "&amp;COUNTIF('P02-MaterialPrice'!$H$5:$H$94,"&gt;0.15")&amp;" of 90 individual monthly records are above 15%. Treat the top 3 — "&amp;$B$137&amp;" ("&amp;TEXT($C$137,"0.0%")&amp;"), "&amp;$B$138&amp;" ("&amp;TEXT($C$138,"0.0%")&amp;"), "&amp;$B$139&amp;" ("&amp;TEXT($C$139,"0.0%")&amp;") — as procurement risk and forward-buy / lock rates."</f>
        <v>ANSWER: No material's AVERAGE increase exceeds 15% (highest is RMC M30 at 14.8%), though 20 of 90 individual monthly records are above 15%. Treat the top 3 — RMC M30 (14.8%), Aggregate (20mm) (14.6%), Cement (OPC 53) (11.9%) — as procurement risk and forward-buy / lock rates.</v>
      </c>
    </row>
    <row r="142" spans="1:6">
      <c r="A142" s="42" t="s">
        <v>1336</v>
      </c>
    </row>
    <row r="143" spans="1:6">
      <c r="A143" t="s">
        <v>1337</v>
      </c>
    </row>
    <row r="144" spans="1:6">
      <c r="A144" t="s">
        <v>1338</v>
      </c>
      <c r="B144" s="39">
        <f>AVERAGE('P02-MaterialPrice'!$H$5:$H$94)</f>
        <v>7.5402982243647859E-2</v>
      </c>
      <c r="C144" t="s">
        <v>1339</v>
      </c>
      <c r="D144" s="39">
        <f>MEDIAN('P02-MaterialPrice'!$H$5:$H$94)</f>
        <v>7.1990909090909078E-2</v>
      </c>
      <c r="E144" t="s">
        <v>1340</v>
      </c>
      <c r="F144">
        <f>COUNTIF($C$89:$C$103,"&gt;"&amp;$B$144)</f>
        <v>9</v>
      </c>
    </row>
    <row r="145" spans="1:6">
      <c r="A145" s="44" t="str">
        <f>"ANSWER: The portfolio-wide average material price change is "&amp;TEXT($B$144,"0.0%")&amp;" (median "&amp;TEXT($D$144,"0.0%")&amp;"). "&amp;$F$144&amp;" of 15 materials sit above that average — see column C of the Q1 table for the material-by-material figures."</f>
        <v>ANSWER: The portfolio-wide average material price change is 7.5% (median 7.2%). 9 of 15 materials sit above that average — see column C of the Q1 table for the material-by-material figures.</v>
      </c>
    </row>
    <row r="147" spans="1:6">
      <c r="A147" s="42" t="s">
        <v>1341</v>
      </c>
    </row>
    <row r="148" spans="1:6">
      <c r="A148" s="43" t="s">
        <v>2</v>
      </c>
      <c r="B148" s="43" t="s">
        <v>1342</v>
      </c>
      <c r="C148" s="43" t="s">
        <v>1269</v>
      </c>
      <c r="D148" s="43" t="s">
        <v>1343</v>
      </c>
    </row>
    <row r="149" spans="1:6">
      <c r="A149">
        <v>1</v>
      </c>
      <c r="B149" t="str">
        <f>TEXT(DATE(2024,$C149,1),"yyyy-mm")</f>
        <v>2024-03</v>
      </c>
      <c r="C149" cm="1">
        <f t="array" ref="C149">_xlfn.AGGREGATE(15,6,(YEAR(DATEVALUE('P02-MaterialPrice'!$A$5:$A$94&amp;"-01"))-2024)*12+MONTH(DATEVALUE('P02-MaterialPrice'!$A$5:$A$94&amp;"-01"))/('P02-MaterialPrice'!$B$5:$B$94="TMT Steel (Fe500)")/1,$A149)</f>
        <v>3</v>
      </c>
      <c r="D149" s="50" cm="1">
        <f t="array" ref="D149">SUMPRODUCT(('P02-MaterialPrice'!$B$5:$B$94="TMT Steel (Fe500)")*((YEAR(DATEVALUE('P02-MaterialPrice'!$A$5:$A$94&amp;"-01"))-2024)*12+MONTH(DATEVALUE('P02-MaterialPrice'!$A$5:$A$94&amp;"-01"))=$C149)*'P02-MaterialPrice'!$E$5:$E$94)</f>
        <v>710.14</v>
      </c>
    </row>
    <row r="150" spans="1:6">
      <c r="A150">
        <v>2</v>
      </c>
      <c r="B150" t="str">
        <f>TEXT(DATE(2024,$C150,1),"yyyy-mm")</f>
        <v>2025-01</v>
      </c>
      <c r="C150" cm="1">
        <f t="array" ref="C150">_xlfn.AGGREGATE(15,6,(YEAR(DATEVALUE('P02-MaterialPrice'!$A$5:$A$94&amp;"-01"))-2024)*12+MONTH(DATEVALUE('P02-MaterialPrice'!$A$5:$A$94&amp;"-01"))/('P02-MaterialPrice'!$B$5:$B$94="TMT Steel (Fe500)")/1,$A150)</f>
        <v>13</v>
      </c>
      <c r="D150" s="50" cm="1">
        <f t="array" ref="D150">SUMPRODUCT(('P02-MaterialPrice'!$B$5:$B$94="TMT Steel (Fe500)")*((YEAR(DATEVALUE('P02-MaterialPrice'!$A$5:$A$94&amp;"-01"))-2024)*12+MONTH(DATEVALUE('P02-MaterialPrice'!$A$5:$A$94&amp;"-01"))=$C150)*'P02-MaterialPrice'!$E$5:$E$94)</f>
        <v>607.52</v>
      </c>
    </row>
    <row r="151" spans="1:6">
      <c r="A151">
        <v>3</v>
      </c>
      <c r="B151" t="str">
        <f>TEXT(DATE(2024,$C151,1),"yyyy-mm")</f>
        <v>2025-02</v>
      </c>
      <c r="C151" cm="1">
        <f t="array" ref="C151">_xlfn.AGGREGATE(15,6,(YEAR(DATEVALUE('P02-MaterialPrice'!$A$5:$A$94&amp;"-01"))-2024)*12+MONTH(DATEVALUE('P02-MaterialPrice'!$A$5:$A$94&amp;"-01"))/('P02-MaterialPrice'!$B$5:$B$94="TMT Steel (Fe500)")/1,$A151)</f>
        <v>14</v>
      </c>
      <c r="D151" s="50" cm="1">
        <f t="array" ref="D151">SUMPRODUCT(('P02-MaterialPrice'!$B$5:$B$94="TMT Steel (Fe500)")*((YEAR(DATEVALUE('P02-MaterialPrice'!$A$5:$A$94&amp;"-01"))-2024)*12+MONTH(DATEVALUE('P02-MaterialPrice'!$A$5:$A$94&amp;"-01"))=$C151)*'P02-MaterialPrice'!$E$5:$E$94)</f>
        <v>688.19</v>
      </c>
    </row>
    <row r="152" spans="1:6">
      <c r="A152">
        <v>4</v>
      </c>
      <c r="B152" t="str">
        <f>TEXT(DATE(2024,$C152,1),"yyyy-mm")</f>
        <v>2025-06</v>
      </c>
      <c r="C152" cm="1">
        <f t="array" ref="C152">_xlfn.AGGREGATE(15,6,(YEAR(DATEVALUE('P02-MaterialPrice'!$A$5:$A$94&amp;"-01"))-2024)*12+MONTH(DATEVALUE('P02-MaterialPrice'!$A$5:$A$94&amp;"-01"))/('P02-MaterialPrice'!$B$5:$B$94="TMT Steel (Fe500)")/1,$A152)</f>
        <v>18</v>
      </c>
      <c r="D152" s="50" cm="1">
        <f t="array" ref="D152">SUMPRODUCT(('P02-MaterialPrice'!$B$5:$B$94="TMT Steel (Fe500)")*((YEAR(DATEVALUE('P02-MaterialPrice'!$A$5:$A$94&amp;"-01"))-2024)*12+MONTH(DATEVALUE('P02-MaterialPrice'!$A$5:$A$94&amp;"-01"))=$C152)*'P02-MaterialPrice'!$E$5:$E$94)</f>
        <v>695.91</v>
      </c>
    </row>
    <row r="153" spans="1:6">
      <c r="A153" t="s">
        <v>1344</v>
      </c>
      <c r="B153" s="50">
        <f>SLOPE($D$149:$D$152,$C$149:$C$152)</f>
        <v>-1.9008196721311474</v>
      </c>
      <c r="C153" t="s">
        <v>1345</v>
      </c>
      <c r="D153" s="50">
        <f>INTERCEPT($D$149:$D$152,$C$149:$C$152)</f>
        <v>698.24983606557373</v>
      </c>
    </row>
    <row r="154" spans="1:6">
      <c r="A154" t="s">
        <v>1346</v>
      </c>
      <c r="B154">
        <f>MAX($C$149:$C$152)</f>
        <v>18</v>
      </c>
      <c r="C154" t="s">
        <v>1347</v>
      </c>
      <c r="D154">
        <f>B154+3</f>
        <v>21</v>
      </c>
    </row>
    <row r="155" spans="1:6">
      <c r="A155" t="s">
        <v>1348</v>
      </c>
      <c r="B155" s="50">
        <f>$B$153*$D$154+$D$153</f>
        <v>658.33262295081965</v>
      </c>
      <c r="C155" t="s">
        <v>1349</v>
      </c>
      <c r="D155" s="47">
        <v>500</v>
      </c>
    </row>
    <row r="156" spans="1:6">
      <c r="A156" t="s">
        <v>1350</v>
      </c>
      <c r="B156" s="48">
        <f>$B$155*$D$155</f>
        <v>329166.31147540984</v>
      </c>
      <c r="C156" t="s">
        <v>1351</v>
      </c>
      <c r="D156" s="48">
        <f>INDEX($D$149:$D$152,MATCH($B$154,$C$149:$C$152,0))*$D$155</f>
        <v>347955</v>
      </c>
    </row>
    <row r="157" spans="1:6">
      <c r="A157" s="44" t="str">
        <f>"ANSWER: Fitting a linear trend to the 4 observed TMT Steel price points gives a slope of "&amp;TEXT($B$153,"$0.00")&amp;"/MT per month. Projected price for next quarter (month index "&amp;$D$154&amp;") is "&amp;TEXT($B$155,"""$""#,##0")&amp;"/MT, so 500 MT ≈ "&amp;TEXT($B$156,"""$""#,##0")&amp;" (vs "&amp;TEXT($D$156,"""$""#,##0")&amp;" at the latest observed price). Caveat: only 4 data points — treat as indicative."</f>
        <v>ANSWER: Fitting a linear trend to the 4 observed TMT Steel price points gives a slope of -$1.90/MT per month. Projected price for next quarter (month index 21) is $658/MT, so 500 MT ≈ $3,29,166 (vs $3,47,955 at the latest observed price). Caveat: only 4 data points — treat as indicative.</v>
      </c>
    </row>
    <row r="159" spans="1:6">
      <c r="A159" s="41" t="s">
        <v>1352</v>
      </c>
      <c r="B159" s="41"/>
      <c r="C159" s="41"/>
      <c r="D159" s="41"/>
      <c r="E159" s="41"/>
      <c r="F159" s="41"/>
    </row>
    <row r="160" spans="1:6">
      <c r="A160" s="42" t="s">
        <v>319</v>
      </c>
    </row>
    <row r="161" spans="1:6">
      <c r="A161" s="43" t="s">
        <v>68</v>
      </c>
      <c r="B161" s="43" t="s">
        <v>1353</v>
      </c>
      <c r="C161" s="43" t="s">
        <v>1354</v>
      </c>
      <c r="D161" s="43" t="s">
        <v>1305</v>
      </c>
      <c r="E161" s="43" t="s">
        <v>1306</v>
      </c>
      <c r="F161" s="43" t="s">
        <v>1355</v>
      </c>
    </row>
    <row r="162" spans="1:6">
      <c r="A162" t="s">
        <v>283</v>
      </c>
      <c r="B162" s="48">
        <f>SUMIF('P03-BOQVariance'!$A$5:$A$76,$A162,'P03-BOQVariance'!$H$5:$H$76)</f>
        <v>5686239.7999999998</v>
      </c>
      <c r="C162" s="48">
        <f>SUMIF('P03-BOQVariance'!$A$5:$A$76,$A162,'P03-BOQVariance'!$I$5:$I$76)</f>
        <v>6061894.8200000012</v>
      </c>
      <c r="D162" s="48">
        <f>C162-B162</f>
        <v>375655.02000000142</v>
      </c>
      <c r="E162" s="39">
        <f>D162/B162</f>
        <v>6.6063872297471765E-2</v>
      </c>
      <c r="F162">
        <f>COUNTIF('P03-BOQVariance'!$A$5:$A$76,$A162)</f>
        <v>24</v>
      </c>
    </row>
    <row r="163" spans="1:6">
      <c r="A163" t="s">
        <v>317</v>
      </c>
      <c r="B163" s="48">
        <f>SUMIF('P03-BOQVariance'!$A$5:$A$76,$A163,'P03-BOQVariance'!$H$5:$H$76)</f>
        <v>5691799.9000000004</v>
      </c>
      <c r="C163" s="48">
        <f>SUMIF('P03-BOQVariance'!$A$5:$A$76,$A163,'P03-BOQVariance'!$I$5:$I$76)</f>
        <v>6408709.8499999996</v>
      </c>
      <c r="D163" s="48">
        <f>C163-B163</f>
        <v>716909.94999999925</v>
      </c>
      <c r="E163" s="39">
        <f>D163/B163</f>
        <v>0.12595487589084065</v>
      </c>
      <c r="F163">
        <f>COUNTIF('P03-BOQVariance'!$A$5:$A$76,$A163)</f>
        <v>24</v>
      </c>
    </row>
    <row r="164" spans="1:6">
      <c r="A164" t="s">
        <v>318</v>
      </c>
      <c r="B164" s="48">
        <f>SUMIF('P03-BOQVariance'!$A$5:$A$76,$A164,'P03-BOQVariance'!$H$5:$H$76)</f>
        <v>4619527.8900000006</v>
      </c>
      <c r="C164" s="48">
        <f>SUMIF('P03-BOQVariance'!$A$5:$A$76,$A164,'P03-BOQVariance'!$I$5:$I$76)</f>
        <v>5117552.2400000012</v>
      </c>
      <c r="D164" s="48">
        <f>C164-B164</f>
        <v>498024.35000000056</v>
      </c>
      <c r="E164" s="39">
        <f>D164/B164</f>
        <v>0.10780849512308074</v>
      </c>
      <c r="F164">
        <f>COUNTIF('P03-BOQVariance'!$A$5:$A$76,$A164)</f>
        <v>24</v>
      </c>
    </row>
    <row r="165" spans="1:6">
      <c r="A165" s="36" t="s">
        <v>1307</v>
      </c>
      <c r="B165" s="49">
        <f>SUM(B162:B164)</f>
        <v>15997567.59</v>
      </c>
      <c r="C165" s="49">
        <f>SUM(C162:C164)</f>
        <v>17588156.910000004</v>
      </c>
      <c r="D165" s="49">
        <f>C165-B165</f>
        <v>1590589.320000004</v>
      </c>
      <c r="E165" s="45">
        <f>D165/B165</f>
        <v>9.9426947943903263E-2</v>
      </c>
      <c r="F165" s="36">
        <f>SUM(F162:F164)</f>
        <v>72</v>
      </c>
    </row>
    <row r="166" spans="1:6">
      <c r="A166" s="44" t="str">
        <f>"ANSWER: "&amp;INDEX($A$162:$A$164,MATCH(MAX($D$162:$D$164),$D$162:$D$164,0))&amp;" has the highest total BOQ variance at "&amp;TEXT(MAX($D$162:$D$164),"""$""#,##0")&amp;" ("&amp;TEXT(INDEX($E$162:$E$164,MATCH(MAX($D$162:$D$164),$D$162:$D$164,0)),"0.0%")&amp;" over BOQ). All three projects combined are "&amp;TEXT($D$165,"""$""#,##0")&amp;" ("&amp;TEXT($E$165,"0.0%")&amp;") above BOQ."</f>
        <v>ANSWER: WT-OFF-SYD-02 has the highest total BOQ variance at $7,16,910 (12.6% over BOQ). All three projects combined are $15,90,589 (9.9%) above BOQ.</v>
      </c>
    </row>
    <row r="168" spans="1:6">
      <c r="A168" s="42" t="s">
        <v>320</v>
      </c>
    </row>
    <row r="169" spans="1:6">
      <c r="A169" s="43" t="s">
        <v>1356</v>
      </c>
      <c r="B169" s="43" t="s">
        <v>283</v>
      </c>
      <c r="C169" s="43" t="s">
        <v>317</v>
      </c>
      <c r="D169" s="43" t="s">
        <v>318</v>
      </c>
      <c r="E169" s="43" t="s">
        <v>1357</v>
      </c>
      <c r="F169" s="43" t="s">
        <v>1358</v>
      </c>
    </row>
    <row r="170" spans="1:6">
      <c r="A170" t="s">
        <v>284</v>
      </c>
      <c r="B170" s="39">
        <f>IFERROR(AVERAGEIFS('P03-BOQVariance'!$K$5:$K$76,'P03-BOQVariance'!$B$5:$B$76,$A170,'P03-BOQVariance'!$A$5:$A$76,B$169),"-")</f>
        <v>0.13631471422892108</v>
      </c>
      <c r="C170" s="39">
        <f>IFERROR(AVERAGEIFS('P03-BOQVariance'!$K$5:$K$76,'P03-BOQVariance'!$B$5:$B$76,$A170,'P03-BOQVariance'!$A$5:$A$76,C$169),"-")</f>
        <v>0.12689335477029387</v>
      </c>
      <c r="D170" s="39">
        <f>IFERROR(AVERAGEIFS('P03-BOQVariance'!$K$5:$K$76,'P03-BOQVariance'!$B$5:$B$76,$A170,'P03-BOQVariance'!$A$5:$A$76,D$169),"-")</f>
        <v>2.5584857918462267E-2</v>
      </c>
      <c r="E170" s="39">
        <f>AVERAGEIF('P03-BOQVariance'!$B$5:$B$76,$A170,'P03-BOQVariance'!$K$5:$K$76)</f>
        <v>9.6264308972559054E-2</v>
      </c>
      <c r="F170">
        <f>COUNTIF($B170:$D170,"&gt;0")</f>
        <v>3</v>
      </c>
    </row>
    <row r="171" spans="1:6">
      <c r="A171" t="s">
        <v>300</v>
      </c>
      <c r="B171" s="39">
        <f>IFERROR(AVERAGEIFS('P03-BOQVariance'!$K$5:$K$76,'P03-BOQVariance'!$B$5:$B$76,$A171,'P03-BOQVariance'!$A$5:$A$76,B$169),"-")</f>
        <v>5.4365945916400024E-2</v>
      </c>
      <c r="C171" s="39">
        <f>IFERROR(AVERAGEIFS('P03-BOQVariance'!$K$5:$K$76,'P03-BOQVariance'!$B$5:$B$76,$A171,'P03-BOQVariance'!$A$5:$A$76,C$169),"-")</f>
        <v>0.14529125304060236</v>
      </c>
      <c r="D171" s="39">
        <f>IFERROR(AVERAGEIFS('P03-BOQVariance'!$K$5:$K$76,'P03-BOQVariance'!$B$5:$B$76,$A171,'P03-BOQVariance'!$A$5:$A$76,D$169),"-")</f>
        <v>0.13383069377978904</v>
      </c>
      <c r="E171" s="39">
        <f>AVERAGEIF('P03-BOQVariance'!$B$5:$B$76,$A171,'P03-BOQVariance'!$K$5:$K$76)</f>
        <v>0.11116263091226382</v>
      </c>
      <c r="F171">
        <f>COUNTIF($B171:$D171,"&gt;0")</f>
        <v>3</v>
      </c>
    </row>
    <row r="172" spans="1:6">
      <c r="A172" t="s">
        <v>306</v>
      </c>
      <c r="B172" s="39">
        <f>IFERROR(AVERAGEIFS('P03-BOQVariance'!$K$5:$K$76,'P03-BOQVariance'!$B$5:$B$76,$A172,'P03-BOQVariance'!$A$5:$A$76,B$169),"-")</f>
        <v>-3.7988954686413279E-2</v>
      </c>
      <c r="C172" s="39">
        <f>IFERROR(AVERAGEIFS('P03-BOQVariance'!$K$5:$K$76,'P03-BOQVariance'!$B$5:$B$76,$A172,'P03-BOQVariance'!$A$5:$A$76,C$169),"-")</f>
        <v>0.20311374173206639</v>
      </c>
      <c r="D172" s="39">
        <f>IFERROR(AVERAGEIFS('P03-BOQVariance'!$K$5:$K$76,'P03-BOQVariance'!$B$5:$B$76,$A172,'P03-BOQVariance'!$A$5:$A$76,D$169),"-")</f>
        <v>0.16649673812729715</v>
      </c>
      <c r="E172" s="39">
        <f>AVERAGEIF('P03-BOQVariance'!$B$5:$B$76,$A172,'P03-BOQVariance'!$K$5:$K$76)</f>
        <v>0.11054050839098339</v>
      </c>
      <c r="F172">
        <f>COUNTIF($B172:$D172,"&gt;0")</f>
        <v>2</v>
      </c>
    </row>
    <row r="173" spans="1:6">
      <c r="A173" t="s">
        <v>294</v>
      </c>
      <c r="B173" s="39">
        <f>IFERROR(AVERAGEIFS('P03-BOQVariance'!$K$5:$K$76,'P03-BOQVariance'!$B$5:$B$76,$A173,'P03-BOQVariance'!$A$5:$A$76,B$169),"-")</f>
        <v>4.9469818746694524E-2</v>
      </c>
      <c r="C173" s="39">
        <f>IFERROR(AVERAGEIFS('P03-BOQVariance'!$K$5:$K$76,'P03-BOQVariance'!$B$5:$B$76,$A173,'P03-BOQVariance'!$A$5:$A$76,C$169),"-")</f>
        <v>0.11898909784267311</v>
      </c>
      <c r="D173" s="39">
        <f>IFERROR(AVERAGEIFS('P03-BOQVariance'!$K$5:$K$76,'P03-BOQVariance'!$B$5:$B$76,$A173,'P03-BOQVariance'!$A$5:$A$76,D$169),"-")</f>
        <v>5.4206722354845416E-2</v>
      </c>
      <c r="E173" s="39">
        <f>AVERAGEIF('P03-BOQVariance'!$B$5:$B$76,$A173,'P03-BOQVariance'!$K$5:$K$76)</f>
        <v>7.4221879648071018E-2</v>
      </c>
      <c r="F173">
        <f>COUNTIF($B173:$D173,"&gt;0")</f>
        <v>3</v>
      </c>
    </row>
    <row r="174" spans="1:6">
      <c r="A174" t="s">
        <v>311</v>
      </c>
      <c r="B174" s="39">
        <f>IFERROR(AVERAGEIFS('P03-BOQVariance'!$K$5:$K$76,'P03-BOQVariance'!$B$5:$B$76,$A174,'P03-BOQVariance'!$A$5:$A$76,B$169),"-")</f>
        <v>7.6789476751611491E-2</v>
      </c>
      <c r="C174" s="39">
        <f>IFERROR(AVERAGEIFS('P03-BOQVariance'!$K$5:$K$76,'P03-BOQVariance'!$B$5:$B$76,$A174,'P03-BOQVariance'!$A$5:$A$76,C$169),"-")</f>
        <v>0.11713877762587799</v>
      </c>
      <c r="D174" s="39">
        <f>IFERROR(AVERAGEIFS('P03-BOQVariance'!$K$5:$K$76,'P03-BOQVariance'!$B$5:$B$76,$A174,'P03-BOQVariance'!$A$5:$A$76,D$169),"-")</f>
        <v>0.10686438462912395</v>
      </c>
      <c r="E174" s="39">
        <f>AVERAGEIF('P03-BOQVariance'!$B$5:$B$76,$A174,'P03-BOQVariance'!$K$5:$K$76)</f>
        <v>0.10026421300220449</v>
      </c>
      <c r="F174">
        <f>COUNTIF($B174:$D174,"&gt;0")</f>
        <v>3</v>
      </c>
    </row>
    <row r="175" spans="1:6">
      <c r="A175" s="44" t="str">
        <f>"ANSWER: "&amp;INDEX($A$170:$A$174,MATCH(MAX($E$170:$E$174),$E$170:$E$174,0))&amp;" is the worst offender — average quantity variance of "&amp;TEXT(MAX($E$170:$E$174),"0.0%")&amp;" and over BOQ in "&amp;INDEX($F$170:$F$174,MATCH(MAX($E$170:$E$174),$E$170:$E$174,0))&amp;" of 3 projects. "&amp;COUNTIF($F$170:$F$174,3)&amp;" of 5 trades exceed BOQ in all three projects."</f>
        <v>ANSWER: MEP - Electrical is the worst offender — average quantity variance of 11.1% and over BOQ in 3 of 3 projects. 4 of 5 trades exceed BOQ in all three projects.</v>
      </c>
    </row>
    <row r="177" spans="1:6">
      <c r="A177" s="42" t="s">
        <v>1359</v>
      </c>
    </row>
    <row r="178" spans="1:6">
      <c r="A178" s="43" t="s">
        <v>1309</v>
      </c>
      <c r="B178" s="43" t="s">
        <v>68</v>
      </c>
      <c r="C178" s="43" t="s">
        <v>274</v>
      </c>
      <c r="D178" s="43" t="s">
        <v>1360</v>
      </c>
      <c r="E178" s="43" t="s">
        <v>1361</v>
      </c>
      <c r="F178" s="43" t="s">
        <v>1362</v>
      </c>
    </row>
    <row r="179" spans="1:6">
      <c r="A179">
        <v>1</v>
      </c>
      <c r="B179" t="str">
        <f>INDEX('P03-BOQVariance'!$A$5:$A$76,MATCH($E179,'P03-BOQVariance'!$K$5:$K$76,0))</f>
        <v>WT-HOS-AKL-03</v>
      </c>
      <c r="C179" t="str">
        <f>INDEX('P03-BOQVariance'!$B$5:$B$76,MATCH($E179,'P03-BOQVariance'!$K$5:$K$76,0))</f>
        <v>Civil &amp; Structure</v>
      </c>
      <c r="D179" t="str">
        <f>INDEX('P03-BOQVariance'!$C$5:$C$76,MATCH($E179,'P03-BOQVariance'!$K$5:$K$76,0))</f>
        <v>Plastering</v>
      </c>
      <c r="E179" s="39">
        <f>LARGE('P03-BOQVariance'!$K$5:$K$76,$A179)</f>
        <v>0.28940356630457059</v>
      </c>
      <c r="F179" s="48">
        <f>INDEX('P03-BOQVariance'!$M$5:$M$76,MATCH($E179,'P03-BOQVariance'!$K$5:$K$76,0))</f>
        <v>151507.6</v>
      </c>
    </row>
    <row r="180" spans="1:6">
      <c r="A180">
        <v>2</v>
      </c>
      <c r="B180" t="str">
        <f>INDEX('P03-BOQVariance'!$A$5:$A$76,MATCH($E180,'P03-BOQVariance'!$K$5:$K$76,0))</f>
        <v>WT-OFF-SYD-02</v>
      </c>
      <c r="C180" t="str">
        <f>INDEX('P03-BOQVariance'!$B$5:$B$76,MATCH($E180,'P03-BOQVariance'!$K$5:$K$76,0))</f>
        <v>MEP - Electrical</v>
      </c>
      <c r="D180" t="str">
        <f>INDEX('P03-BOQVariance'!$C$5:$C$76,MATCH($E180,'P03-BOQVariance'!$K$5:$K$76,0))</f>
        <v>LT Panels</v>
      </c>
      <c r="E180" s="39">
        <f>LARGE('P03-BOQVariance'!$K$5:$K$76,$A180)</f>
        <v>0.28445883441258096</v>
      </c>
      <c r="F180" s="48">
        <f>INDEX('P03-BOQVariance'!$M$5:$M$76,MATCH($E180,'P03-BOQVariance'!$K$5:$K$76,0))</f>
        <v>70934.100000000006</v>
      </c>
    </row>
    <row r="181" spans="1:6">
      <c r="A181">
        <v>3</v>
      </c>
      <c r="B181" t="str">
        <f>INDEX('P03-BOQVariance'!$A$5:$A$76,MATCH($E181,'P03-BOQVariance'!$K$5:$K$76,0))</f>
        <v>WT-DC-MUM-01</v>
      </c>
      <c r="C181" t="str">
        <f>INDEX('P03-BOQVariance'!$B$5:$B$76,MATCH($E181,'P03-BOQVariance'!$K$5:$K$76,0))</f>
        <v>Civil &amp; Structure</v>
      </c>
      <c r="D181" t="str">
        <f>INDEX('P03-BOQVariance'!$C$5:$C$76,MATCH($E181,'P03-BOQVariance'!$K$5:$K$76,0))</f>
        <v>Excavation</v>
      </c>
      <c r="E181" s="39">
        <f>LARGE('P03-BOQVariance'!$K$5:$K$76,$A181)</f>
        <v>0.27746319365798416</v>
      </c>
      <c r="F181" s="48">
        <f>INDEX('P03-BOQVariance'!$M$5:$M$76,MATCH($E181,'P03-BOQVariance'!$K$5:$K$76,0))</f>
        <v>131440.05000000002</v>
      </c>
    </row>
    <row r="182" spans="1:6">
      <c r="A182">
        <v>4</v>
      </c>
      <c r="B182" t="str">
        <f>INDEX('P03-BOQVariance'!$A$5:$A$76,MATCH($E182,'P03-BOQVariance'!$K$5:$K$76,0))</f>
        <v>WT-HOS-AKL-03</v>
      </c>
      <c r="C182" t="str">
        <f>INDEX('P03-BOQVariance'!$B$5:$B$76,MATCH($E182,'P03-BOQVariance'!$K$5:$K$76,0))</f>
        <v>MEP - Electrical</v>
      </c>
      <c r="D182" t="str">
        <f>INDEX('P03-BOQVariance'!$C$5:$C$76,MATCH($E182,'P03-BOQVariance'!$K$5:$K$76,0))</f>
        <v>Conduit Laying</v>
      </c>
      <c r="E182" s="39">
        <f>LARGE('P03-BOQVariance'!$K$5:$K$76,$A182)</f>
        <v>0.27703862660944206</v>
      </c>
      <c r="F182" s="48">
        <f>INDEX('P03-BOQVariance'!$M$5:$M$76,MATCH($E182,'P03-BOQVariance'!$K$5:$K$76,0))</f>
        <v>27898.51</v>
      </c>
    </row>
    <row r="183" spans="1:6">
      <c r="A183">
        <v>5</v>
      </c>
      <c r="B183" t="str">
        <f>INDEX('P03-BOQVariance'!$A$5:$A$76,MATCH($E183,'P03-BOQVariance'!$K$5:$K$76,0))</f>
        <v>WT-HOS-AKL-03</v>
      </c>
      <c r="C183" t="str">
        <f>INDEX('P03-BOQVariance'!$B$5:$B$76,MATCH($E183,'P03-BOQVariance'!$K$5:$K$76,0))</f>
        <v>Interior Fit-out</v>
      </c>
      <c r="D183" t="str">
        <f>INDEX('P03-BOQVariance'!$C$5:$C$76,MATCH($E183,'P03-BOQVariance'!$K$5:$K$76,0))</f>
        <v>False Ceiling</v>
      </c>
      <c r="E183" s="39">
        <f>LARGE('P03-BOQVariance'!$K$5:$K$76,$A183)</f>
        <v>0.27610208816705334</v>
      </c>
      <c r="F183" s="48">
        <f>INDEX('P03-BOQVariance'!$M$5:$M$76,MATCH($E183,'P03-BOQVariance'!$K$5:$K$76,0))</f>
        <v>10833.76</v>
      </c>
    </row>
    <row r="184" spans="1:6">
      <c r="A184" s="44" t="str">
        <f>"ANSWER: The worst item is "&amp;$D$179&amp;" ("&amp;$C$179&amp;", "&amp;$B$179&amp;") at "&amp;TEXT($E$179,"0.0%")&amp;" over BOQ, costing "&amp;TEXT($F$179,"""$""#,##0")&amp;". The top 5 items alone add "&amp;TEXT(SUM($F$179:$F$183),"""$""#,##0")&amp;" of overrun."</f>
        <v>ANSWER: The worst item is Plastering (Civil &amp; Structure, WT-HOS-AKL-03) at 28.9% over BOQ, costing $1,51,508. The top 5 items alone add $3,92,614 of overrun.</v>
      </c>
    </row>
    <row r="186" spans="1:6">
      <c r="A186" s="42" t="s">
        <v>1363</v>
      </c>
    </row>
    <row r="187" spans="1:6">
      <c r="A187" s="43" t="s">
        <v>68</v>
      </c>
      <c r="B187" s="43" t="s">
        <v>1364</v>
      </c>
      <c r="C187" s="43" t="s">
        <v>1365</v>
      </c>
      <c r="D187" s="43" t="s">
        <v>1366</v>
      </c>
      <c r="E187" s="43" t="s">
        <v>1367</v>
      </c>
      <c r="F187" s="43" t="s">
        <v>1368</v>
      </c>
    </row>
    <row r="188" spans="1:6">
      <c r="A188" t="s">
        <v>283</v>
      </c>
      <c r="B188" s="48" cm="1">
        <f t="array" ref="B188">SUMPRODUCT(('P03-BOQVariance'!$A$5:$A$76=$A188)*(('P03-BOQVariance'!$I$5:$I$76-'P03-BOQVariance'!$H$5:$H$76)&gt;0)*('P03-BOQVariance'!$I$5:$I$76-'P03-BOQVariance'!$H$5:$H$76))</f>
        <v>502032.70000000019</v>
      </c>
      <c r="C188" s="48" cm="1">
        <f t="array" ref="C188">SUMPRODUCT(('P03-BOQVariance'!$A$5:$A$76=$A188)*(('P03-BOQVariance'!$I$5:$I$76-'P03-BOQVariance'!$H$5:$H$76)&lt;0)*('P03-BOQVariance'!$I$5:$I$76-'P03-BOQVariance'!$H$5:$H$76))</f>
        <v>-126377.68000000004</v>
      </c>
      <c r="D188" s="48">
        <f>B188+C188</f>
        <v>375655.02000000014</v>
      </c>
      <c r="E188" cm="1">
        <f t="array" ref="E188">SUMPRODUCT(('P03-BOQVariance'!$A$5:$A$76=$A188)*(('P03-BOQVariance'!$I$5:$I$76-'P03-BOQVariance'!$H$5:$H$76)&gt;0)*1)</f>
        <v>16</v>
      </c>
      <c r="F188" cm="1">
        <f t="array" ref="F188">SUMPRODUCT(('P03-BOQVariance'!$A$5:$A$76=$A188)*(('P03-BOQVariance'!$I$5:$I$76-'P03-BOQVariance'!$H$5:$H$76)&lt;0)*1)</f>
        <v>8</v>
      </c>
    </row>
    <row r="189" spans="1:6">
      <c r="A189" t="s">
        <v>317</v>
      </c>
      <c r="B189" s="48" cm="1">
        <f t="array" ref="B189">SUMPRODUCT(('P03-BOQVariance'!$A$5:$A$76=$A189)*(('P03-BOQVariance'!$I$5:$I$76-'P03-BOQVariance'!$H$5:$H$76)&gt;0)*('P03-BOQVariance'!$I$5:$I$76-'P03-BOQVariance'!$H$5:$H$76))</f>
        <v>768547.75000000012</v>
      </c>
      <c r="C189" s="48" cm="1">
        <f t="array" ref="C189">SUMPRODUCT(('P03-BOQVariance'!$A$5:$A$76=$A189)*(('P03-BOQVariance'!$I$5:$I$76-'P03-BOQVariance'!$H$5:$H$76)&lt;0)*('P03-BOQVariance'!$I$5:$I$76-'P03-BOQVariance'!$H$5:$H$76))</f>
        <v>-51637.799999999988</v>
      </c>
      <c r="D189" s="48">
        <f>B189+C189</f>
        <v>716909.95000000019</v>
      </c>
      <c r="E189" cm="1">
        <f t="array" ref="E189">SUMPRODUCT(('P03-BOQVariance'!$A$5:$A$76=$A189)*(('P03-BOQVariance'!$I$5:$I$76-'P03-BOQVariance'!$H$5:$H$76)&gt;0)*1)</f>
        <v>21</v>
      </c>
      <c r="F189" cm="1">
        <f t="array" ref="F189">SUMPRODUCT(('P03-BOQVariance'!$A$5:$A$76=$A189)*(('P03-BOQVariance'!$I$5:$I$76-'P03-BOQVariance'!$H$5:$H$76)&lt;0)*1)</f>
        <v>3</v>
      </c>
    </row>
    <row r="190" spans="1:6">
      <c r="A190" t="s">
        <v>318</v>
      </c>
      <c r="B190" s="48" cm="1">
        <f t="array" ref="B190">SUMPRODUCT(('P03-BOQVariance'!$A$5:$A$76=$A190)*(('P03-BOQVariance'!$I$5:$I$76-'P03-BOQVariance'!$H$5:$H$76)&gt;0)*('P03-BOQVariance'!$I$5:$I$76-'P03-BOQVariance'!$H$5:$H$76))</f>
        <v>557911.04000000004</v>
      </c>
      <c r="C190" s="48" cm="1">
        <f t="array" ref="C190">SUMPRODUCT(('P03-BOQVariance'!$A$5:$A$76=$A190)*(('P03-BOQVariance'!$I$5:$I$76-'P03-BOQVariance'!$H$5:$H$76)&lt;0)*('P03-BOQVariance'!$I$5:$I$76-'P03-BOQVariance'!$H$5:$H$76))</f>
        <v>-59886.689999999988</v>
      </c>
      <c r="D190" s="48">
        <f>B190+C190</f>
        <v>498024.35000000003</v>
      </c>
      <c r="E190" cm="1">
        <f t="array" ref="E190">SUMPRODUCT(('P03-BOQVariance'!$A$5:$A$76=$A190)*(('P03-BOQVariance'!$I$5:$I$76-'P03-BOQVariance'!$H$5:$H$76)&gt;0)*1)</f>
        <v>16</v>
      </c>
      <c r="F190" cm="1">
        <f t="array" ref="F190">SUMPRODUCT(('P03-BOQVariance'!$A$5:$A$76=$A190)*(('P03-BOQVariance'!$I$5:$I$76-'P03-BOQVariance'!$H$5:$H$76)&lt;0)*1)</f>
        <v>8</v>
      </c>
    </row>
    <row r="191" spans="1:6">
      <c r="A191" s="36" t="s">
        <v>1307</v>
      </c>
      <c r="B191" s="49">
        <f>SUM(B188:B190)</f>
        <v>1828491.4900000002</v>
      </c>
      <c r="C191" s="49">
        <f>SUM(C188:C190)</f>
        <v>-237902.17000000004</v>
      </c>
      <c r="D191" s="49">
        <f>B191+C191</f>
        <v>1590589.3200000003</v>
      </c>
      <c r="E191" s="36">
        <f>SUM(E188:E190)</f>
        <v>53</v>
      </c>
      <c r="F191" s="36">
        <f>SUM(F188:F190)</f>
        <v>19</v>
      </c>
    </row>
    <row r="192" spans="1:6">
      <c r="A192" s="44" t="str">
        <f>"ANSWER: Gross overrun impact is "&amp;TEXT($B$191,"""$""#,##0")&amp;" against "&amp;TEXT(ABS($C$191),"""$""#,##0")&amp;" of savings, a net "&amp;TEXT($D$191,"""$""#,##0")&amp;" across the three projects. Worst project: "&amp;INDEX($A$188:$A$190,MATCH(MAX($D$188:$D$190),$D$188:$D$190,0))&amp;" at "&amp;TEXT(MAX($D$188:$D$190),"""$""#,##0")&amp;" net."</f>
        <v>ANSWER: Gross overrun impact is $18,28,491 against $2,37,902 of savings, a net $15,90,589 across the three projects. Worst project: WT-OFF-SYD-02 at $7,16,910 net.</v>
      </c>
    </row>
    <row r="194" spans="1:6">
      <c r="A194" s="42" t="s">
        <v>1369</v>
      </c>
    </row>
    <row r="195" spans="1:6">
      <c r="A195" s="43" t="s">
        <v>274</v>
      </c>
      <c r="B195" s="43" t="s">
        <v>1370</v>
      </c>
      <c r="C195" s="43" t="s">
        <v>1371</v>
      </c>
      <c r="D195" s="43" t="s">
        <v>1305</v>
      </c>
      <c r="E195" s="43" t="s">
        <v>1306</v>
      </c>
      <c r="F195" s="43" t="s">
        <v>1372</v>
      </c>
    </row>
    <row r="196" spans="1:6">
      <c r="A196" t="s">
        <v>284</v>
      </c>
      <c r="B196" s="48">
        <f>SUMIFS('P03-BOQVariance'!$H$5:$H$76,'P03-BOQVariance'!$A$5:$A$76,"WT-DC-MUM-01",'P03-BOQVariance'!$B$5:$B$76,$A196)</f>
        <v>1893094.2999999998</v>
      </c>
      <c r="C196" s="48">
        <f>SUMIFS('P03-BOQVariance'!$I$5:$I$76,'P03-BOQVariance'!$A$5:$A$76,"WT-DC-MUM-01",'P03-BOQVariance'!$B$5:$B$76,$A196)</f>
        <v>2132023.62</v>
      </c>
      <c r="D196" s="48">
        <f t="shared" ref="D196:D201" si="3">C196-B196</f>
        <v>238929.3200000003</v>
      </c>
      <c r="E196" s="39">
        <f>IFERROR(D196/B196,"-")</f>
        <v>0.12621099751871859</v>
      </c>
      <c r="F196">
        <f>COUNTIFS('P03-BOQVariance'!$A$5:$A$76,"WT-DC-MUM-01",'P03-BOQVariance'!$B$5:$B$76,$A196)</f>
        <v>6</v>
      </c>
    </row>
    <row r="197" spans="1:6">
      <c r="A197" t="s">
        <v>300</v>
      </c>
      <c r="B197" s="48">
        <f>SUMIFS('P03-BOQVariance'!$H$5:$H$76,'P03-BOQVariance'!$A$5:$A$76,"WT-DC-MUM-01",'P03-BOQVariance'!$B$5:$B$76,$A197)</f>
        <v>986727.76</v>
      </c>
      <c r="C197" s="48">
        <f>SUMIFS('P03-BOQVariance'!$I$5:$I$76,'P03-BOQVariance'!$A$5:$A$76,"WT-DC-MUM-01",'P03-BOQVariance'!$B$5:$B$76,$A197)</f>
        <v>1007358.05</v>
      </c>
      <c r="D197" s="48">
        <f t="shared" si="3"/>
        <v>20630.290000000037</v>
      </c>
      <c r="E197" s="39">
        <f>IFERROR(D197/B197,"-")</f>
        <v>2.0907783115375243E-2</v>
      </c>
      <c r="F197">
        <f>COUNTIFS('P03-BOQVariance'!$A$5:$A$76,"WT-DC-MUM-01",'P03-BOQVariance'!$B$5:$B$76,$A197)</f>
        <v>5</v>
      </c>
    </row>
    <row r="198" spans="1:6">
      <c r="A198" t="s">
        <v>306</v>
      </c>
      <c r="B198" s="48">
        <f>SUMIFS('P03-BOQVariance'!$H$5:$H$76,'P03-BOQVariance'!$A$5:$A$76,"WT-DC-MUM-01",'P03-BOQVariance'!$B$5:$B$76,$A198)</f>
        <v>765988.47</v>
      </c>
      <c r="C198" s="48">
        <f>SUMIFS('P03-BOQVariance'!$I$5:$I$76,'P03-BOQVariance'!$A$5:$A$76,"WT-DC-MUM-01",'P03-BOQVariance'!$B$5:$B$76,$A198)</f>
        <v>756568.97</v>
      </c>
      <c r="D198" s="48">
        <f t="shared" si="3"/>
        <v>-9419.5</v>
      </c>
      <c r="E198" s="39">
        <f>IFERROR(D198/B198,"-")</f>
        <v>-1.2297182488921799E-2</v>
      </c>
      <c r="F198">
        <f>COUNTIFS('P03-BOQVariance'!$A$5:$A$76,"WT-DC-MUM-01",'P03-BOQVariance'!$B$5:$B$76,$A198)</f>
        <v>4</v>
      </c>
    </row>
    <row r="199" spans="1:6">
      <c r="A199" t="s">
        <v>294</v>
      </c>
      <c r="B199" s="48">
        <f>SUMIFS('P03-BOQVariance'!$H$5:$H$76,'P03-BOQVariance'!$A$5:$A$76,"WT-DC-MUM-01",'P03-BOQVariance'!$B$5:$B$76,$A199)</f>
        <v>837434.33</v>
      </c>
      <c r="C199" s="48">
        <f>SUMIFS('P03-BOQVariance'!$I$5:$I$76,'P03-BOQVariance'!$A$5:$A$76,"WT-DC-MUM-01",'P03-BOQVariance'!$B$5:$B$76,$A199)</f>
        <v>874041.79</v>
      </c>
      <c r="D199" s="48">
        <f t="shared" si="3"/>
        <v>36607.460000000079</v>
      </c>
      <c r="E199" s="39">
        <f>IFERROR(D199/B199,"-")</f>
        <v>4.3713827686046834E-2</v>
      </c>
      <c r="F199">
        <f>COUNTIFS('P03-BOQVariance'!$A$5:$A$76,"WT-DC-MUM-01",'P03-BOQVariance'!$B$5:$B$76,$A199)</f>
        <v>4</v>
      </c>
    </row>
    <row r="200" spans="1:6">
      <c r="A200" t="s">
        <v>311</v>
      </c>
      <c r="B200" s="48">
        <f>SUMIFS('P03-BOQVariance'!$H$5:$H$76,'P03-BOQVariance'!$A$5:$A$76,"WT-DC-MUM-01",'P03-BOQVariance'!$B$5:$B$76,$A200)</f>
        <v>1202994.94</v>
      </c>
      <c r="C200" s="48">
        <f>SUMIFS('P03-BOQVariance'!$I$5:$I$76,'P03-BOQVariance'!$A$5:$A$76,"WT-DC-MUM-01",'P03-BOQVariance'!$B$5:$B$76,$A200)</f>
        <v>1291902.3899999999</v>
      </c>
      <c r="D200" s="48">
        <f t="shared" si="3"/>
        <v>88907.449999999953</v>
      </c>
      <c r="E200" s="39">
        <f>IFERROR(D200/B200,"-")</f>
        <v>7.390509057336514E-2</v>
      </c>
      <c r="F200">
        <f>COUNTIFS('P03-BOQVariance'!$A$5:$A$76,"WT-DC-MUM-01",'P03-BOQVariance'!$B$5:$B$76,$A200)</f>
        <v>5</v>
      </c>
    </row>
    <row r="201" spans="1:6">
      <c r="A201" s="36" t="s">
        <v>1307</v>
      </c>
      <c r="B201" s="49">
        <f>SUM(B196:B200)</f>
        <v>5686239.7999999989</v>
      </c>
      <c r="C201" s="49">
        <f>SUM(C196:C200)</f>
        <v>6061894.8199999994</v>
      </c>
      <c r="D201" s="49">
        <f t="shared" si="3"/>
        <v>375655.02000000048</v>
      </c>
      <c r="E201" s="45">
        <f>D201/B201</f>
        <v>6.6063872297471612E-2</v>
      </c>
      <c r="F201" s="36">
        <f>SUM(F196:F200)</f>
        <v>24</v>
      </c>
    </row>
    <row r="202" spans="1:6">
      <c r="A202" s="44" t="str">
        <f>"ANSWER: For WT-DC-MUM-01 the BOQ of "&amp;TEXT($B$201,"""$""#,##0")&amp;" has been measured at "&amp;TEXT($C$201,"""$""#,##0")&amp;", a "&amp;TEXT($D$201,"""$""#,##0")&amp;" ("&amp;TEXT($E$201,"0.0%")&amp;") build-up. The biggest contributor is "&amp;INDEX($A$196:$A$200,MATCH(MAX($D$196:$D$200),$D$196:$D$200,0))&amp;" (+"&amp;TEXT(MAX($D$196:$D$200),"""$""#,##0")&amp;"). Chart to the right shows the BOQ-to-actual build-up by trade."</f>
        <v>ANSWER: For WT-DC-MUM-01 the BOQ of $56,86,240 has been measured at $60,61,895, a $3,75,655 (6.6%) build-up. The biggest contributor is Civil &amp; Structure (+$2,38,929). Chart to the right shows the BOQ-to-actual build-up by trade.</v>
      </c>
    </row>
    <row r="204" spans="1:6">
      <c r="A204" s="42" t="s">
        <v>1373</v>
      </c>
    </row>
    <row r="205" spans="1:6">
      <c r="A205" s="43" t="s">
        <v>1374</v>
      </c>
      <c r="B205" s="43" t="s">
        <v>1375</v>
      </c>
    </row>
    <row r="206" spans="1:6">
      <c r="A206" t="s">
        <v>1376</v>
      </c>
      <c r="B206">
        <f>COUNTIF('P03-BOQVariance'!$J$5:$J$76,"&lt;0")</f>
        <v>19</v>
      </c>
      <c r="C206" t="s">
        <v>1377</v>
      </c>
      <c r="D206">
        <f>COUNT('P03-BOQVariance'!$J$5:$J$76)</f>
        <v>72</v>
      </c>
    </row>
    <row r="207" spans="1:6">
      <c r="A207" t="s">
        <v>1378</v>
      </c>
      <c r="B207" s="48" cm="1">
        <f t="array" ref="B207">ABS(SUMPRODUCT((('P03-BOQVariance'!$I$5:$I$76-'P03-BOQVariance'!$H$5:$H$76)&lt;0)*('P03-BOQVariance'!$I$5:$I$76-'P03-BOQVariance'!$H$5:$H$76)))</f>
        <v>237902.16999999998</v>
      </c>
      <c r="C207" t="s">
        <v>1379</v>
      </c>
      <c r="D207" s="48">
        <f>B207/B206</f>
        <v>12521.166842105262</v>
      </c>
    </row>
    <row r="208" spans="1:6">
      <c r="A208" t="s">
        <v>1382</v>
      </c>
      <c r="B208" t="str" cm="1">
        <f t="array" ref="B208">INDEX('P03-BOQVariance'!$C$5:$C$76,MATCH(-$D$208,('P03-BOQVariance'!$I$5:$I$76-'P03-BOQVariance'!$H$5:$H$76),0))</f>
        <v>GI Piping</v>
      </c>
      <c r="C208" t="s">
        <v>1380</v>
      </c>
      <c r="D208" s="48" cm="1">
        <f t="array" ref="D208">ABS(_xlfn.AGGREGATE(15,6,('P03-BOQVariance'!$I$5:$I$76-'P03-BOQVariance'!$H$5:$H$76)/((('P03-BOQVariance'!$I$5:$I$76-'P03-BOQVariance'!$H$5:$H$76)&lt;0)*1),1))</f>
        <v>49998.130000000005</v>
      </c>
    </row>
    <row r="209" spans="1:6">
      <c r="A209" t="s">
        <v>1381</v>
      </c>
      <c r="B209" t="str" cm="1">
        <f t="array" ref="B209">INDEX('P03-BOQVariance'!$A$5:$A$76,MATCH(-$D$208,('P03-BOQVariance'!$I$5:$I$76-'P03-BOQVariance'!$H$5:$H$76),0))</f>
        <v>WT-DC-MUM-01</v>
      </c>
      <c r="C209" t="str" cm="1">
        <f t="array" ref="C209">INDEX('P03-BOQVariance'!$B$5:$B$76,MATCH(-$D$208,('P03-BOQVariance'!$I$5:$I$76-'P03-BOQVariance'!$H$5:$H$76),0))</f>
        <v>MEP - Plumbing</v>
      </c>
    </row>
    <row r="210" spans="1:6">
      <c r="A210" s="44" t="str">
        <f>"ANSWER: "&amp;$B$206&amp;" of "&amp;$D$206&amp;" BOQ items came in under quantity, saving "&amp;TEXT($B$207,"""$""#,##0")&amp;" in total ("&amp;TEXT($D$207,"""$""#,##0")&amp;" per item on average). The single largest saving is "&amp;$B$208&amp;" on "&amp;$B$209&amp;" ("&amp;$C$209&amp;") at "&amp;TEXT($D$208,"""$""#,##0")&amp;". Note: the source sheet's Overrun_Impact column records only positive overruns, so savings here are computed as Actual Amount minus BOQ Amount."</f>
        <v>ANSWER: 19 of 72 BOQ items came in under quantity, saving $2,37,902 in total ($12,521 per item on average). The single largest saving is GI Piping on WT-DC-MUM-01 (MEP - Plumbing) at $49,998. Note: the source sheet's Overrun_Impact column records only positive overruns, so savings here are computed as Actual Amount minus BOQ Amount.</v>
      </c>
    </row>
    <row r="212" spans="1:6">
      <c r="A212" s="41" t="s">
        <v>1383</v>
      </c>
      <c r="B212" s="41"/>
      <c r="C212" s="41"/>
      <c r="D212" s="41"/>
      <c r="E212" s="41"/>
      <c r="F212" s="41"/>
    </row>
    <row r="213" spans="1:6">
      <c r="A213" s="42" t="s">
        <v>397</v>
      </c>
    </row>
    <row r="214" spans="1:6">
      <c r="A214" s="43" t="s">
        <v>274</v>
      </c>
      <c r="B214" s="43" t="s">
        <v>1384</v>
      </c>
      <c r="C214" s="43" t="s">
        <v>1385</v>
      </c>
      <c r="D214" s="43" t="s">
        <v>1386</v>
      </c>
      <c r="E214" s="43" t="s">
        <v>1387</v>
      </c>
      <c r="F214" s="43" t="s">
        <v>1388</v>
      </c>
    </row>
    <row r="215" spans="1:6">
      <c r="A215" t="s">
        <v>284</v>
      </c>
      <c r="B215" s="22">
        <f>AVERAGEIF('P04-LabourProd'!$C$5:$C$84,$A215,'P04-LabourProd'!$I$5:$I$84)</f>
        <v>3.5419657331959788</v>
      </c>
      <c r="C215">
        <f>COUNTIF('P04-LabourProd'!$C$5:$C$84,$A215)</f>
        <v>13</v>
      </c>
      <c r="D215" s="51" cm="1">
        <f t="array" ref="D215">SUMPRODUCT(('P04-LabourProd'!$C$5:$C$84=$A215)*('P04-LabourProd'!$D$5:$D$84*'P04-LabourProd'!$E$5:$E$84))</f>
        <v>2548.7000000000003</v>
      </c>
      <c r="E215" s="51">
        <f>SUMIF('P04-LabourProd'!$C$5:$C$84,$A215,'P04-LabourProd'!$F$5:$F$84)</f>
        <v>7863.9999999999991</v>
      </c>
      <c r="F215" s="22">
        <f t="shared" ref="F215:F220" si="4">E215/D215</f>
        <v>3.0854945658571031</v>
      </c>
    </row>
    <row r="216" spans="1:6">
      <c r="A216" t="s">
        <v>300</v>
      </c>
      <c r="B216" s="22">
        <f>AVERAGEIF('P04-LabourProd'!$C$5:$C$84,$A216,'P04-LabourProd'!$I$5:$I$84)</f>
        <v>3.0066486427553256</v>
      </c>
      <c r="C216">
        <f>COUNTIF('P04-LabourProd'!$C$5:$C$84,$A216)</f>
        <v>13</v>
      </c>
      <c r="D216" s="51" cm="1">
        <f t="array" ref="D216">SUMPRODUCT(('P04-LabourProd'!$C$5:$C$84=$A216)*('P04-LabourProd'!$D$5:$D$84*'P04-LabourProd'!$E$5:$E$84))</f>
        <v>2840.8999999999996</v>
      </c>
      <c r="E216" s="51">
        <f>SUMIF('P04-LabourProd'!$C$5:$C$84,$A216,'P04-LabourProd'!$F$5:$F$84)</f>
        <v>8642.1</v>
      </c>
      <c r="F216" s="22">
        <f t="shared" si="4"/>
        <v>3.042028934492591</v>
      </c>
    </row>
    <row r="217" spans="1:6">
      <c r="A217" t="s">
        <v>306</v>
      </c>
      <c r="B217" s="22">
        <f>AVERAGEIF('P04-LabourProd'!$C$5:$C$84,$A217,'P04-LabourProd'!$I$5:$I$84)</f>
        <v>2.233621400753854</v>
      </c>
      <c r="C217">
        <f>COUNTIF('P04-LabourProd'!$C$5:$C$84,$A217)</f>
        <v>14</v>
      </c>
      <c r="D217" s="51" cm="1">
        <f t="array" ref="D217">SUMPRODUCT(('P04-LabourProd'!$C$5:$C$84=$A217)*('P04-LabourProd'!$D$5:$D$84*'P04-LabourProd'!$E$5:$E$84))</f>
        <v>2724.3999999999996</v>
      </c>
      <c r="E217" s="51">
        <f>SUMIF('P04-LabourProd'!$C$5:$C$84,$A217,'P04-LabourProd'!$F$5:$F$84)</f>
        <v>5585.4</v>
      </c>
      <c r="F217" s="22">
        <f t="shared" si="4"/>
        <v>2.050139480252533</v>
      </c>
    </row>
    <row r="218" spans="1:6">
      <c r="A218" t="s">
        <v>294</v>
      </c>
      <c r="B218" s="22">
        <f>AVERAGEIF('P04-LabourProd'!$C$5:$C$84,$A218,'P04-LabourProd'!$I$5:$I$84)</f>
        <v>2.8316314679449435</v>
      </c>
      <c r="C218">
        <f>COUNTIF('P04-LabourProd'!$C$5:$C$84,$A218)</f>
        <v>12</v>
      </c>
      <c r="D218" s="51" cm="1">
        <f t="array" ref="D218">SUMPRODUCT(('P04-LabourProd'!$C$5:$C$84=$A218)*('P04-LabourProd'!$D$5:$D$84*'P04-LabourProd'!$E$5:$E$84))</f>
        <v>2686.5</v>
      </c>
      <c r="E218" s="51">
        <f>SUMIF('P04-LabourProd'!$C$5:$C$84,$A218,'P04-LabourProd'!$F$5:$F$84)</f>
        <v>7532.1999999999989</v>
      </c>
      <c r="F218" s="22">
        <f t="shared" si="4"/>
        <v>2.8037223152801038</v>
      </c>
    </row>
    <row r="219" spans="1:6">
      <c r="A219" t="s">
        <v>334</v>
      </c>
      <c r="B219" s="22">
        <f>AVERAGEIF('P04-LabourProd'!$C$5:$C$84,$A219,'P04-LabourProd'!$I$5:$I$84)</f>
        <v>3.1030490430538764</v>
      </c>
      <c r="C219">
        <f>COUNTIF('P04-LabourProd'!$C$5:$C$84,$A219)</f>
        <v>13</v>
      </c>
      <c r="D219" s="51" cm="1">
        <f t="array" ref="D219">SUMPRODUCT(('P04-LabourProd'!$C$5:$C$84=$A219)*('P04-LabourProd'!$D$5:$D$84*'P04-LabourProd'!$E$5:$E$84))</f>
        <v>2035.8</v>
      </c>
      <c r="E219" s="51">
        <f>SUMIF('P04-LabourProd'!$C$5:$C$84,$A219,'P04-LabourProd'!$F$5:$F$84)</f>
        <v>6205.9000000000005</v>
      </c>
      <c r="F219" s="22">
        <f t="shared" si="4"/>
        <v>3.0483839276942728</v>
      </c>
    </row>
    <row r="220" spans="1:6">
      <c r="A220" t="s">
        <v>311</v>
      </c>
      <c r="B220" s="22">
        <f>AVERAGEIF('P04-LabourProd'!$C$5:$C$84,$A220,'P04-LabourProd'!$I$5:$I$84)</f>
        <v>3.4295886700845348</v>
      </c>
      <c r="C220">
        <f>COUNTIF('P04-LabourProd'!$C$5:$C$84,$A220)</f>
        <v>15</v>
      </c>
      <c r="D220" s="51" cm="1">
        <f t="array" ref="D220">SUMPRODUCT(('P04-LabourProd'!$C$5:$C$84=$A220)*('P04-LabourProd'!$D$5:$D$84*'P04-LabourProd'!$E$5:$E$84))</f>
        <v>2605.3000000000002</v>
      </c>
      <c r="E220" s="51">
        <f>SUMIF('P04-LabourProd'!$C$5:$C$84,$A220,'P04-LabourProd'!$F$5:$F$84)</f>
        <v>8735.9</v>
      </c>
      <c r="F220" s="22">
        <f t="shared" si="4"/>
        <v>3.3531263194257854</v>
      </c>
    </row>
    <row r="221" spans="1:6">
      <c r="A221" s="44" t="str">
        <f>"ANSWER: "&amp;INDEX($A$215:$A$220,MATCH(MAX($B$215:$B$220),$B$215:$B$220,0))&amp;" has the highest average productivity at "&amp;TEXT(MAX($B$215:$B$220),"0.00")&amp;" units per man-hour; the lowest is "&amp;INDEX($A$215:$A$220,MATCH(MIN($B$215:$B$220),$B$215:$B$220,0))&amp;" at "&amp;TEXT(MIN($B$215:$B$220),"0.00")&amp;". Note: output units differ by trade (cum, rmt, sqm), so compare within a trade rather than across."</f>
        <v>ANSWER: Civil &amp; Structure has the highest average productivity at 3.54 units per man-hour; the lowest is MEP - Plumbing at 2.23. Note: output units differ by trade (cum, rmt, sqm), so compare within a trade rather than across.</v>
      </c>
    </row>
    <row r="223" spans="1:6">
      <c r="A223" s="42" t="s">
        <v>398</v>
      </c>
    </row>
    <row r="224" spans="1:6">
      <c r="A224" s="43" t="s">
        <v>1389</v>
      </c>
      <c r="B224" s="43" t="s">
        <v>1316</v>
      </c>
      <c r="C224" s="43" t="s">
        <v>1385</v>
      </c>
      <c r="D224" s="43" t="s">
        <v>1384</v>
      </c>
      <c r="E224" s="43" t="s">
        <v>1386</v>
      </c>
      <c r="F224" s="43" t="s">
        <v>1387</v>
      </c>
    </row>
    <row r="225" spans="1:6">
      <c r="A225" t="s">
        <v>81</v>
      </c>
      <c r="B225" t="s">
        <v>1390</v>
      </c>
      <c r="C225">
        <f>COUNTIF('P04-LabourProd'!$B$5:$B$84,"WT-DC-MUM-01")+COUNTIF('P04-LabourProd'!$B$5:$B$84,"WT-ITP-BLR-04")</f>
        <v>43</v>
      </c>
      <c r="D225" s="22" cm="1">
        <f t="array" ref="D225">SUMPRODUCT((('P04-LabourProd'!$B$5:$B$84="WT-DC-MUM-01")+('P04-LabourProd'!$B$5:$B$84="WT-ITP-BLR-04"))*'P04-LabourProd'!$I$5:$I$84)/C225</f>
        <v>3.2471035296527093</v>
      </c>
      <c r="E225" s="51" cm="1">
        <f t="array" ref="E225">SUMPRODUCT((('P04-LabourProd'!$B$5:$B$84="WT-DC-MUM-01")+('P04-LabourProd'!$B$5:$B$84="WT-ITP-BLR-04"))*('P04-LabourProd'!$D$5:$D$84*'P04-LabourProd'!$E$5:$E$84))</f>
        <v>8139.7</v>
      </c>
      <c r="F225" s="51">
        <f>SUMIF('P04-LabourProd'!$B$5:$B$84,"WT-DC-MUM-01",'P04-LabourProd'!$F$5:$F$84)+SUMIF('P04-LabourProd'!$B$5:$B$84,"WT-ITP-BLR-04",'P04-LabourProd'!$F$5:$F$84)</f>
        <v>24780.999999999996</v>
      </c>
    </row>
    <row r="226" spans="1:6">
      <c r="A226" t="s">
        <v>95</v>
      </c>
      <c r="B226" t="s">
        <v>317</v>
      </c>
      <c r="C226">
        <f>COUNTIF('P04-LabourProd'!$B$5:$B$84,"WT-OFF-SYD-02")</f>
        <v>16</v>
      </c>
      <c r="D226" s="22">
        <f>AVERAGEIF('P04-LabourProd'!$B$5:$B$84,"WT-OFF-SYD-02",'P04-LabourProd'!$I$5:$I$84)</f>
        <v>3.0498317018105663</v>
      </c>
      <c r="E226" s="51" cm="1">
        <f t="array" ref="E226">SUMPRODUCT(('P04-LabourProd'!$B$5:$B$84="WT-OFF-SYD-02")*('P04-LabourProd'!$D$5:$D$84*'P04-LabourProd'!$E$5:$E$84))</f>
        <v>3201.0000000000005</v>
      </c>
      <c r="F226" s="51">
        <f>SUMIF('P04-LabourProd'!$B$5:$B$84,"WT-OFF-SYD-02",'P04-LabourProd'!$F$5:$F$84)</f>
        <v>10094.1</v>
      </c>
    </row>
    <row r="227" spans="1:6">
      <c r="A227" t="s">
        <v>111</v>
      </c>
      <c r="B227" t="s">
        <v>318</v>
      </c>
      <c r="C227">
        <f>COUNTIF('P04-LabourProd'!$B$5:$B$84,"WT-HOS-AKL-03")</f>
        <v>21</v>
      </c>
      <c r="D227" s="22">
        <f>AVERAGEIF('P04-LabourProd'!$B$5:$B$84,"WT-HOS-AKL-03",'P04-LabourProd'!$I$5:$I$84)</f>
        <v>2.5591891771520516</v>
      </c>
      <c r="E227" s="51" cm="1">
        <f t="array" ref="E227">SUMPRODUCT(('P04-LabourProd'!$B$5:$B$84="WT-HOS-AKL-03")*('P04-LabourProd'!$D$5:$D$84*'P04-LabourProd'!$E$5:$E$84))</f>
        <v>4100.8999999999996</v>
      </c>
      <c r="F227" s="51">
        <f>SUMIF('P04-LabourProd'!$B$5:$B$84,"WT-HOS-AKL-03",'P04-LabourProd'!$F$5:$F$84)</f>
        <v>9690.3999999999978</v>
      </c>
    </row>
    <row r="228" spans="1:6">
      <c r="A228" t="s">
        <v>1391</v>
      </c>
      <c r="B228" s="22">
        <f>D225-D226</f>
        <v>0.19727182784214303</v>
      </c>
      <c r="C228" t="s">
        <v>1392</v>
      </c>
      <c r="D228" s="39">
        <f>D225/D226-1</f>
        <v>6.4682856999955352E-2</v>
      </c>
    </row>
    <row r="229" spans="1:6">
      <c r="A229" s="44" t="str">
        <f>"ANSWER: India-based projects average "&amp;TEXT($D$225,"0.00")&amp;" units/man-hour vs Australia at "&amp;TEXT($D$226,"0.00")&amp;" — a gap of "&amp;TEXT($B$228,"0.00")&amp;" ("&amp;TEXT($D$228,"0.0%")&amp;"). "&amp;IF(ABS($D$228)&lt;0.05,"The difference is immaterial (&lt;5%) and within sampling noise.","India is "&amp;IF($D$228&gt;0,"more","less")&amp;" productive on this sample, but the two countries run different trade mixes and output units, so the gap is indicative only.")</f>
        <v>ANSWER: India-based projects average 3.25 units/man-hour vs Australia at 3.05 — a gap of 0.20 (6.5%). India is more productive on this sample, but the two countries run different trade mixes and output units, so the gap is indicative only.</v>
      </c>
    </row>
    <row r="231" spans="1:6">
      <c r="A231" s="42" t="s">
        <v>1393</v>
      </c>
    </row>
    <row r="232" spans="1:6">
      <c r="A232" s="43" t="s">
        <v>274</v>
      </c>
      <c r="B232" s="43" t="s">
        <v>1394</v>
      </c>
      <c r="C232" s="43" t="s">
        <v>1339</v>
      </c>
      <c r="D232" s="43" t="s">
        <v>1395</v>
      </c>
      <c r="E232" s="43" t="s">
        <v>1396</v>
      </c>
      <c r="F232" s="43" t="s">
        <v>1397</v>
      </c>
    </row>
    <row r="233" spans="1:6">
      <c r="A233" t="s">
        <v>284</v>
      </c>
      <c r="B233" s="22">
        <f>_xlfn.MINIFS('P04-LabourProd'!$I$5:$I$84,'P04-LabourProd'!$C$5:$C$84,$A233)</f>
        <v>0.32695035460992911</v>
      </c>
      <c r="C233" s="22" cm="1">
        <f t="array" ref="C233">MEDIAN(IF('P04-LabourProd'!$C$5:$C$84=$A233,'P04-LabourProd'!$I$5:$I$84))</f>
        <v>3.9617918313570484</v>
      </c>
      <c r="D233" s="22">
        <f>_xlfn.MAXIFS('P04-LabourProd'!$I$5:$I$84,'P04-LabourProd'!$C$5:$C$84,$A233)</f>
        <v>7.0794029850746263</v>
      </c>
      <c r="E233" s="22" cm="1">
        <f t="array" ref="E233">STDEV(IF('P04-LabourProd'!$C$5:$C$84=$A233,'P04-LabourProd'!$I$5:$I$84))</f>
        <v>1.9964981291701234</v>
      </c>
      <c r="F233" s="39">
        <f>E233/AVERAGEIF('P04-LabourProd'!$C$5:$C$84,$A233,'P04-LabourProd'!$I$5:$I$84)</f>
        <v>0.56366952126570902</v>
      </c>
    </row>
    <row r="234" spans="1:6">
      <c r="A234" t="s">
        <v>300</v>
      </c>
      <c r="B234" s="22">
        <f>_xlfn.MINIFS('P04-LabourProd'!$I$5:$I$84,'P04-LabourProd'!$C$5:$C$84,$A234)</f>
        <v>0.48567119155354455</v>
      </c>
      <c r="C234" s="22" cm="1">
        <f t="array" ref="C234">MEDIAN(IF('P04-LabourProd'!$C$5:$C$84=$A234,'P04-LabourProd'!$I$5:$I$84))</f>
        <v>2.3250000000000002</v>
      </c>
      <c r="D234" s="22">
        <f>_xlfn.MAXIFS('P04-LabourProd'!$I$5:$I$84,'P04-LabourProd'!$C$5:$C$84,$A234)</f>
        <v>6.6490541422048279</v>
      </c>
      <c r="E234" s="22" cm="1">
        <f t="array" ref="E234">STDEV(IF('P04-LabourProd'!$C$5:$C$84=$A234,'P04-LabourProd'!$I$5:$I$84))</f>
        <v>1.9614250683160221</v>
      </c>
      <c r="F234" s="39">
        <f>E234/AVERAGEIF('P04-LabourProd'!$C$5:$C$84,$A234,'P04-LabourProd'!$I$5:$I$84)</f>
        <v>0.65236258085632204</v>
      </c>
    </row>
    <row r="235" spans="1:6">
      <c r="A235" t="s">
        <v>306</v>
      </c>
      <c r="B235" s="22">
        <f>_xlfn.MINIFS('P04-LabourProd'!$I$5:$I$84,'P04-LabourProd'!$C$5:$C$84,$A235)</f>
        <v>0.27</v>
      </c>
      <c r="C235" s="22" cm="1">
        <f t="array" ref="C235">MEDIAN(IF('P04-LabourProd'!$C$5:$C$84=$A235,'P04-LabourProd'!$I$5:$I$84))</f>
        <v>1.7284217100422634</v>
      </c>
      <c r="D235" s="22">
        <f>_xlfn.MAXIFS('P04-LabourProd'!$I$5:$I$84,'P04-LabourProd'!$C$5:$C$84,$A235)</f>
        <v>5.1778872468527641</v>
      </c>
      <c r="E235" s="22" cm="1">
        <f t="array" ref="E235">STDEV(IF('P04-LabourProd'!$C$5:$C$84=$A235,'P04-LabourProd'!$I$5:$I$84))</f>
        <v>1.5879864703220927</v>
      </c>
      <c r="F235" s="39">
        <f>E235/AVERAGEIF('P04-LabourProd'!$C$5:$C$84,$A235,'P04-LabourProd'!$I$5:$I$84)</f>
        <v>0.71094701626074253</v>
      </c>
    </row>
    <row r="236" spans="1:6">
      <c r="A236" t="s">
        <v>294</v>
      </c>
      <c r="B236" s="22">
        <f>_xlfn.MINIFS('P04-LabourProd'!$I$5:$I$84,'P04-LabourProd'!$C$5:$C$84,$A236)</f>
        <v>0.52113271344040579</v>
      </c>
      <c r="C236" s="22" cm="1">
        <f t="array" ref="C236">MEDIAN(IF('P04-LabourProd'!$C$5:$C$84=$A236,'P04-LabourProd'!$I$5:$I$84))</f>
        <v>2.9683878194630884</v>
      </c>
      <c r="D236" s="22">
        <f>_xlfn.MAXIFS('P04-LabourProd'!$I$5:$I$84,'P04-LabourProd'!$C$5:$C$84,$A236)</f>
        <v>4.2199095022624435</v>
      </c>
      <c r="E236" s="22" cm="1">
        <f t="array" ref="E236">STDEV(IF('P04-LabourProd'!$C$5:$C$84=$A236,'P04-LabourProd'!$I$5:$I$84))</f>
        <v>1.128213604097376</v>
      </c>
      <c r="F236" s="39">
        <f>E236/AVERAGEIF('P04-LabourProd'!$C$5:$C$84,$A236,'P04-LabourProd'!$I$5:$I$84)</f>
        <v>0.39843235847219094</v>
      </c>
    </row>
    <row r="237" spans="1:6">
      <c r="A237" t="s">
        <v>334</v>
      </c>
      <c r="B237" s="22">
        <f>_xlfn.MINIFS('P04-LabourProd'!$I$5:$I$84,'P04-LabourProd'!$C$5:$C$84,$A237)</f>
        <v>0.23240740740740742</v>
      </c>
      <c r="C237" s="22" cm="1">
        <f t="array" ref="C237">MEDIAN(IF('P04-LabourProd'!$C$5:$C$84=$A237,'P04-LabourProd'!$I$5:$I$84))</f>
        <v>3.3027950310559007</v>
      </c>
      <c r="D237" s="22">
        <f>_xlfn.MAXIFS('P04-LabourProd'!$I$5:$I$84,'P04-LabourProd'!$C$5:$C$84,$A237)</f>
        <v>5.7642543859649136</v>
      </c>
      <c r="E237" s="22" cm="1">
        <f t="array" ref="E237">STDEV(IF('P04-LabourProd'!$C$5:$C$84=$A237,'P04-LabourProd'!$I$5:$I$84))</f>
        <v>1.8013443899464197</v>
      </c>
      <c r="F237" s="39">
        <f>E237/AVERAGEIF('P04-LabourProd'!$C$5:$C$84,$A237,'P04-LabourProd'!$I$5:$I$84)</f>
        <v>0.58050786982522851</v>
      </c>
    </row>
    <row r="238" spans="1:6">
      <c r="A238" t="s">
        <v>311</v>
      </c>
      <c r="B238" s="22">
        <f>_xlfn.MINIFS('P04-LabourProd'!$I$5:$I$84,'P04-LabourProd'!$C$5:$C$84,$A238)</f>
        <v>1.3351254480286738</v>
      </c>
      <c r="C238" s="22" cm="1">
        <f t="array" ref="C238">MEDIAN(IF('P04-LabourProd'!$C$5:$C$84=$A238,'P04-LabourProd'!$I$5:$I$84))</f>
        <v>3.4834586466165414</v>
      </c>
      <c r="D238" s="22">
        <f>_xlfn.MAXIFS('P04-LabourProd'!$I$5:$I$84,'P04-LabourProd'!$C$5:$C$84,$A238)</f>
        <v>5.7540322580645151</v>
      </c>
      <c r="E238" s="22" cm="1">
        <f t="array" ref="E238">STDEV(IF('P04-LabourProd'!$C$5:$C$84=$A238,'P04-LabourProd'!$I$5:$I$84))</f>
        <v>1.4766187511449393</v>
      </c>
      <c r="F238" s="39">
        <f>E238/AVERAGEIF('P04-LabourProd'!$C$5:$C$84,$A238,'P04-LabourProd'!$I$5:$I$84)</f>
        <v>0.4305527260528717</v>
      </c>
    </row>
    <row r="239" spans="1:6">
      <c r="A239" s="44" t="str">
        <f>"ANSWER: "&amp;INDEX($A$233:$A$238,MATCH(MAX($E$233:$E$238),$E$233:$E$238,0))&amp;" shows the most variance (std dev "&amp;TEXT(MAX($E$233:$E$238),"0.00")&amp;", CV "&amp;TEXT(INDEX($F$233:$F$238,MATCH(MAX($E$233:$E$238),$E$233:$E$238,0)),"0.0%")&amp;"); the most consistent is "&amp;INDEX($A$233:$A$238,MATCH(MIN($E$233:$E$238),$E$233:$E$238,0))&amp;" (std dev "&amp;TEXT(MIN($E$233:$E$238),"0.00")&amp;"). High variance points to unstable crew mix or interrupted work fronts."</f>
        <v>ANSWER: Civil &amp; Structure shows the most variance (std dev 2.00, CV 56.4%); the most consistent is MEP - HVAC (std dev 1.13). High variance points to unstable crew mix or interrupted work fronts.</v>
      </c>
    </row>
    <row r="241" spans="1:6">
      <c r="A241" s="42" t="s">
        <v>400</v>
      </c>
    </row>
    <row r="242" spans="1:6">
      <c r="A242" t="s">
        <v>1398</v>
      </c>
      <c r="B242" s="51">
        <f>PERCENTILE('P04-LabourProd'!$I$5:$I$84,0.25)</f>
        <v>1.5048545037849852</v>
      </c>
      <c r="C242" t="s">
        <v>1399</v>
      </c>
      <c r="D242">
        <f>COUNTIF('P04-LabourProd'!$I$5:$I$84,"&lt;"&amp;$B$242)</f>
        <v>20</v>
      </c>
      <c r="E242" t="s">
        <v>1400</v>
      </c>
      <c r="F242">
        <f>COUNT('P04-LabourProd'!$I$5:$I$84)</f>
        <v>80</v>
      </c>
    </row>
    <row r="243" spans="1:6">
      <c r="A243" s="43" t="s">
        <v>1401</v>
      </c>
      <c r="B243" s="43" t="s">
        <v>327</v>
      </c>
      <c r="C243" s="43" t="s">
        <v>274</v>
      </c>
      <c r="D243" s="43" t="s">
        <v>68</v>
      </c>
      <c r="E243" s="43" t="s">
        <v>1402</v>
      </c>
      <c r="F243" s="43" t="s">
        <v>1403</v>
      </c>
    </row>
    <row r="244" spans="1:6">
      <c r="A244">
        <v>1</v>
      </c>
      <c r="B244" t="str">
        <f>INDEX('P04-LabourProd'!$A$5:$A$84,MATCH($E244,'P04-LabourProd'!$I$5:$I$84,0))</f>
        <v>2025-01-08</v>
      </c>
      <c r="C244" t="str">
        <f>INDEX('P04-LabourProd'!$C$5:$C$84,MATCH($E244,'P04-LabourProd'!$I$5:$I$84,0))</f>
        <v>Facade &amp; Cladding</v>
      </c>
      <c r="D244" t="str">
        <f>INDEX('P04-LabourProd'!$B$5:$B$84,MATCH($E244,'P04-LabourProd'!$I$5:$I$84,0))</f>
        <v>WT-OFF-SYD-02</v>
      </c>
      <c r="E244" s="51">
        <f>SMALL('P04-LabourProd'!$I$5:$I$84,$A244)</f>
        <v>0.23240740740740742</v>
      </c>
      <c r="F244">
        <f>INDEX('P04-LabourProd'!$D$5:$D$84,MATCH($E244,'P04-LabourProd'!$I$5:$I$84,0))</f>
        <v>15</v>
      </c>
    </row>
    <row r="245" spans="1:6">
      <c r="A245">
        <v>2</v>
      </c>
      <c r="B245" t="str">
        <f>INDEX('P04-LabourProd'!$A$5:$A$84,MATCH($E245,'P04-LabourProd'!$I$5:$I$84,0))</f>
        <v>2025-01-21</v>
      </c>
      <c r="C245" t="str">
        <f>INDEX('P04-LabourProd'!$C$5:$C$84,MATCH($E245,'P04-LabourProd'!$I$5:$I$84,0))</f>
        <v>MEP - Plumbing</v>
      </c>
      <c r="D245" t="str">
        <f>INDEX('P04-LabourProd'!$B$5:$B$84,MATCH($E245,'P04-LabourProd'!$I$5:$I$84,0))</f>
        <v>WT-DC-MUM-01</v>
      </c>
      <c r="E245" s="51">
        <f>SMALL('P04-LabourProd'!$I$5:$I$84,$A245)</f>
        <v>0.27</v>
      </c>
      <c r="F245">
        <f>INDEX('P04-LabourProd'!$D$5:$D$84,MATCH($E245,'P04-LabourProd'!$I$5:$I$84,0))</f>
        <v>25</v>
      </c>
    </row>
    <row r="246" spans="1:6">
      <c r="A246">
        <v>3</v>
      </c>
      <c r="B246" t="str">
        <f>INDEX('P04-LabourProd'!$A$5:$A$84,MATCH($E246,'P04-LabourProd'!$I$5:$I$84,0))</f>
        <v>2025-05-09</v>
      </c>
      <c r="C246" t="str">
        <f>INDEX('P04-LabourProd'!$C$5:$C$84,MATCH($E246,'P04-LabourProd'!$I$5:$I$84,0))</f>
        <v>Civil &amp; Structure</v>
      </c>
      <c r="D246" t="str">
        <f>INDEX('P04-LabourProd'!$B$5:$B$84,MATCH($E246,'P04-LabourProd'!$I$5:$I$84,0))</f>
        <v>WT-HOS-AKL-03</v>
      </c>
      <c r="E246" s="51">
        <f>SMALL('P04-LabourProd'!$I$5:$I$84,$A246)</f>
        <v>0.32695035460992911</v>
      </c>
      <c r="F246">
        <f>INDEX('P04-LabourProd'!$D$5:$D$84,MATCH($E246,'P04-LabourProd'!$I$5:$I$84,0))</f>
        <v>30</v>
      </c>
    </row>
    <row r="247" spans="1:6">
      <c r="A247">
        <v>4</v>
      </c>
      <c r="B247" t="str">
        <f>INDEX('P04-LabourProd'!$A$5:$A$84,MATCH($E247,'P04-LabourProd'!$I$5:$I$84,0))</f>
        <v>2025-04-01</v>
      </c>
      <c r="C247" t="str">
        <f>INDEX('P04-LabourProd'!$C$5:$C$84,MATCH($E247,'P04-LabourProd'!$I$5:$I$84,0))</f>
        <v>MEP - Electrical</v>
      </c>
      <c r="D247" t="str">
        <f>INDEX('P04-LabourProd'!$B$5:$B$84,MATCH($E247,'P04-LabourProd'!$I$5:$I$84,0))</f>
        <v>WT-DC-MUM-01</v>
      </c>
      <c r="E247" s="51">
        <f>SMALL('P04-LabourProd'!$I$5:$I$84,$A247)</f>
        <v>0.48567119155354455</v>
      </c>
      <c r="F247">
        <f>INDEX('P04-LabourProd'!$D$5:$D$84,MATCH($E247,'P04-LabourProd'!$I$5:$I$84,0))</f>
        <v>34</v>
      </c>
    </row>
    <row r="248" spans="1:6">
      <c r="A248">
        <v>5</v>
      </c>
      <c r="B248" t="str">
        <f>INDEX('P04-LabourProd'!$A$5:$A$84,MATCH($E248,'P04-LabourProd'!$I$5:$I$84,0))</f>
        <v>2025-03-21</v>
      </c>
      <c r="C248" t="str">
        <f>INDEX('P04-LabourProd'!$C$5:$C$84,MATCH($E248,'P04-LabourProd'!$I$5:$I$84,0))</f>
        <v>MEP - HVAC</v>
      </c>
      <c r="D248" t="str">
        <f>INDEX('P04-LabourProd'!$B$5:$B$84,MATCH($E248,'P04-LabourProd'!$I$5:$I$84,0))</f>
        <v>WT-HOS-AKL-03</v>
      </c>
      <c r="E248" s="51">
        <f>SMALL('P04-LabourProd'!$I$5:$I$84,$A248)</f>
        <v>0.52113271344040579</v>
      </c>
      <c r="F248">
        <f>INDEX('P04-LabourProd'!$D$5:$D$84,MATCH($E248,'P04-LabourProd'!$I$5:$I$84,0))</f>
        <v>26</v>
      </c>
    </row>
    <row r="249" spans="1:6">
      <c r="A249">
        <v>6</v>
      </c>
      <c r="B249" t="str">
        <f>INDEX('P04-LabourProd'!$A$5:$A$84,MATCH($E249,'P04-LabourProd'!$I$5:$I$84,0))</f>
        <v>2025-05-16</v>
      </c>
      <c r="C249" t="str">
        <f>INDEX('P04-LabourProd'!$C$5:$C$84,MATCH($E249,'P04-LabourProd'!$I$5:$I$84,0))</f>
        <v>MEP - Plumbing</v>
      </c>
      <c r="D249" t="str">
        <f>INDEX('P04-LabourProd'!$B$5:$B$84,MATCH($E249,'P04-LabourProd'!$I$5:$I$84,0))</f>
        <v>WT-HOS-AKL-03</v>
      </c>
      <c r="E249" s="51">
        <f>SMALL('P04-LabourProd'!$I$5:$I$84,$A249)</f>
        <v>0.69755469755469757</v>
      </c>
      <c r="F249">
        <f>INDEX('P04-LabourProd'!$D$5:$D$84,MATCH($E249,'P04-LabourProd'!$I$5:$I$84,0))</f>
        <v>37</v>
      </c>
    </row>
    <row r="250" spans="1:6">
      <c r="A250">
        <v>7</v>
      </c>
      <c r="B250" t="str">
        <f>INDEX('P04-LabourProd'!$A$5:$A$84,MATCH($E250,'P04-LabourProd'!$I$5:$I$84,0))</f>
        <v>2025-01-17</v>
      </c>
      <c r="C250" t="str">
        <f>INDEX('P04-LabourProd'!$C$5:$C$84,MATCH($E250,'P04-LabourProd'!$I$5:$I$84,0))</f>
        <v>Facade &amp; Cladding</v>
      </c>
      <c r="D250" t="str">
        <f>INDEX('P04-LabourProd'!$B$5:$B$84,MATCH($E250,'P04-LabourProd'!$I$5:$I$84,0))</f>
        <v>WT-ITP-BLR-04</v>
      </c>
      <c r="E250" s="51">
        <f>SMALL('P04-LabourProd'!$I$5:$I$84,$A250)</f>
        <v>0.78100775193798455</v>
      </c>
      <c r="F250">
        <f>INDEX('P04-LabourProd'!$D$5:$D$84,MATCH($E250,'P04-LabourProd'!$I$5:$I$84,0))</f>
        <v>24</v>
      </c>
    </row>
    <row r="251" spans="1:6">
      <c r="A251">
        <v>8</v>
      </c>
      <c r="B251" t="str">
        <f>INDEX('P04-LabourProd'!$A$5:$A$84,MATCH($E251,'P04-LabourProd'!$I$5:$I$84,0))</f>
        <v>2025-01-08</v>
      </c>
      <c r="C251" t="str">
        <f>INDEX('P04-LabourProd'!$C$5:$C$84,MATCH($E251,'P04-LabourProd'!$I$5:$I$84,0))</f>
        <v>MEP - Plumbing</v>
      </c>
      <c r="D251" t="str">
        <f>INDEX('P04-LabourProd'!$B$5:$B$84,MATCH($E251,'P04-LabourProd'!$I$5:$I$84,0))</f>
        <v>WT-DC-MUM-01</v>
      </c>
      <c r="E251" s="51">
        <f>SMALL('P04-LabourProd'!$I$5:$I$84,$A251)</f>
        <v>0.81688311688311688</v>
      </c>
      <c r="F251">
        <f>INDEX('P04-LabourProd'!$D$5:$D$84,MATCH($E251,'P04-LabourProd'!$I$5:$I$84,0))</f>
        <v>30</v>
      </c>
    </row>
    <row r="252" spans="1:6">
      <c r="A252">
        <v>9</v>
      </c>
      <c r="B252" t="str">
        <f>INDEX('P04-LabourProd'!$A$5:$A$84,MATCH($E252,'P04-LabourProd'!$I$5:$I$84,0))</f>
        <v>2025-02-27</v>
      </c>
      <c r="C252" t="str">
        <f>INDEX('P04-LabourProd'!$C$5:$C$84,MATCH($E252,'P04-LabourProd'!$I$5:$I$84,0))</f>
        <v>MEP - Plumbing</v>
      </c>
      <c r="D252" t="str">
        <f>INDEX('P04-LabourProd'!$B$5:$B$84,MATCH($E252,'P04-LabourProd'!$I$5:$I$84,0))</f>
        <v>WT-DC-MUM-01</v>
      </c>
      <c r="E252" s="51">
        <f>SMALL('P04-LabourProd'!$I$5:$I$84,$A252)</f>
        <v>0.99321705426356599</v>
      </c>
      <c r="F252">
        <f>INDEX('P04-LabourProd'!$D$5:$D$84,MATCH($E252,'P04-LabourProd'!$I$5:$I$84,0))</f>
        <v>12</v>
      </c>
    </row>
    <row r="253" spans="1:6">
      <c r="A253">
        <v>10</v>
      </c>
      <c r="B253" t="str">
        <f>INDEX('P04-LabourProd'!$A$5:$A$84,MATCH($E253,'P04-LabourProd'!$I$5:$I$84,0))</f>
        <v>2025-04-17</v>
      </c>
      <c r="C253" t="str">
        <f>INDEX('P04-LabourProd'!$C$5:$C$84,MATCH($E253,'P04-LabourProd'!$I$5:$I$84,0))</f>
        <v>MEP - Plumbing</v>
      </c>
      <c r="D253" t="str">
        <f>INDEX('P04-LabourProd'!$B$5:$B$84,MATCH($E253,'P04-LabourProd'!$I$5:$I$84,0))</f>
        <v>WT-ITP-BLR-04</v>
      </c>
      <c r="E253" s="51">
        <f>SMALL('P04-LabourProd'!$I$5:$I$84,$A253)</f>
        <v>1.0365384615384614</v>
      </c>
      <c r="F253">
        <f>INDEX('P04-LabourProd'!$D$5:$D$84,MATCH($E253,'P04-LabourProd'!$I$5:$I$84,0))</f>
        <v>20</v>
      </c>
    </row>
    <row r="254" spans="1:6">
      <c r="A254" s="44" t="str">
        <f>"ANSWER: The 25th percentile is "&amp;TEXT($B$242,"0.00")&amp;" units/man-hour and "&amp;$D$242&amp;" of "&amp;$F$242&amp;" days fall below it. The 10 worst days are listed above; the single lowest was "&amp;$B$244&amp;" ("&amp;$C$244&amp;" on "&amp;$D$244&amp;") at "&amp;TEXT($E$244,"0.00")&amp;"."</f>
        <v>ANSWER: The 25th percentile is 1.50 units/man-hour and 20 of 80 days fall below it. The 10 worst days are listed above; the single lowest was 2025-01-08 (Facade &amp; Cladding on WT-OFF-SYD-02) at 0.23.</v>
      </c>
    </row>
    <row r="256" spans="1:6">
      <c r="A256" s="42" t="s">
        <v>1404</v>
      </c>
    </row>
    <row r="257" spans="1:6">
      <c r="A257" s="43" t="s">
        <v>1405</v>
      </c>
      <c r="B257" s="43" t="s">
        <v>1385</v>
      </c>
      <c r="C257" s="43" t="s">
        <v>1384</v>
      </c>
      <c r="D257" s="43" t="s">
        <v>1406</v>
      </c>
      <c r="E257" s="43" t="s">
        <v>1386</v>
      </c>
      <c r="F257" s="43" t="s">
        <v>1407</v>
      </c>
    </row>
    <row r="258" spans="1:6">
      <c r="A258" t="s">
        <v>1408</v>
      </c>
      <c r="B258">
        <f>COUNTIFS('P04-LabourProd'!$C$5:$C$84,"Civil &amp; Structure",'P04-LabourProd'!$D$5:$D$84,"&gt;"&amp;0,'P04-LabourProd'!$D$5:$D$84,"&lt;="&amp;10)</f>
        <v>0</v>
      </c>
      <c r="C258" s="51" t="str">
        <f>IFERROR(AVERAGEIFS('P04-LabourProd'!$I$5:$I$84,'P04-LabourProd'!$C$5:$C$84,"Civil &amp; Structure",'P04-LabourProd'!$D$5:$D$84,"&gt;"&amp;0,'P04-LabourProd'!$D$5:$D$84,"&lt;="&amp;10),"-")</f>
        <v>-</v>
      </c>
      <c r="D258" s="51" t="str">
        <f>IFERROR(AVERAGEIFS('P04-LabourProd'!$F$5:$F$84,'P04-LabourProd'!$C$5:$C$84,"Civil &amp; Structure",'P04-LabourProd'!$D$5:$D$84,"&gt;"&amp;0,'P04-LabourProd'!$D$5:$D$84,"&lt;="&amp;10),"-")</f>
        <v>-</v>
      </c>
      <c r="E258" s="51" cm="1">
        <f t="array" ref="E258">SUMPRODUCT(('P04-LabourProd'!$C$5:$C$84="Civil &amp; Structure")*('P04-LabourProd'!$D$5:$D$84&gt;0)*('P04-LabourProd'!$D$5:$D$84&lt;=10)*('P04-LabourProd'!$D$5:$D$84*'P04-LabourProd'!$E$5:$E$84))</f>
        <v>0</v>
      </c>
      <c r="F258" t="str">
        <f>IFERROR(AVERAGEIFS('P04-LabourProd'!$D$5:$D$84,'P04-LabourProd'!$C$5:$C$84,"Civil &amp; Structure",'P04-LabourProd'!$D$5:$D$84,"&gt;"&amp;0,'P04-LabourProd'!$D$5:$D$84,"&lt;="&amp;10),"-")</f>
        <v>-</v>
      </c>
    </row>
    <row r="259" spans="1:6">
      <c r="A259" t="s">
        <v>1409</v>
      </c>
      <c r="B259">
        <f>COUNTIFS('P04-LabourProd'!$C$5:$C$84,"Civil &amp; Structure",'P04-LabourProd'!$D$5:$D$84,"&gt;"&amp;10,'P04-LabourProd'!$D$5:$D$84,"&lt;="&amp;15)</f>
        <v>5</v>
      </c>
      <c r="C259" s="51">
        <f>IFERROR(AVERAGEIFS('P04-LabourProd'!$I$5:$I$84,'P04-LabourProd'!$C$5:$C$84,"Civil &amp; Structure",'P04-LabourProd'!$D$5:$D$84,"&gt;"&amp;10,'P04-LabourProd'!$D$5:$D$84,"&lt;="&amp;15),"-")</f>
        <v>4.1639752772018213</v>
      </c>
      <c r="D259" s="51">
        <f>IFERROR(AVERAGEIFS('P04-LabourProd'!$F$5:$F$84,'P04-LabourProd'!$C$5:$C$84,"Civil &amp; Structure",'P04-LabourProd'!$D$5:$D$84,"&gt;"&amp;10,'P04-LabourProd'!$D$5:$D$84,"&lt;="&amp;15),"-")</f>
        <v>407.84</v>
      </c>
      <c r="E259" s="51" cm="1">
        <f t="array" ref="E259">SUMPRODUCT(('P04-LabourProd'!$C$5:$C$84="Civil &amp; Structure")*('P04-LabourProd'!$D$5:$D$84&gt;10)*('P04-LabourProd'!$D$5:$D$84&lt;=15)*('P04-LabourProd'!$D$5:$D$84*'P04-LabourProd'!$E$5:$E$84))</f>
        <v>498.5</v>
      </c>
      <c r="F259">
        <f>IFERROR(AVERAGEIFS('P04-LabourProd'!$D$5:$D$84,'P04-LabourProd'!$C$5:$C$84,"Civil &amp; Structure",'P04-LabourProd'!$D$5:$D$84,"&gt;"&amp;10,'P04-LabourProd'!$D$5:$D$84,"&lt;="&amp;15),"-")</f>
        <v>13</v>
      </c>
    </row>
    <row r="260" spans="1:6">
      <c r="A260" t="s">
        <v>1410</v>
      </c>
      <c r="B260">
        <f>COUNTIFS('P04-LabourProd'!$C$5:$C$84,"Civil &amp; Structure",'P04-LabourProd'!$D$5:$D$84,"&gt;"&amp;15,'P04-LabourProd'!$D$5:$D$84,"&lt;="&amp;20)</f>
        <v>1</v>
      </c>
      <c r="C260" s="51">
        <f>IFERROR(AVERAGEIFS('P04-LabourProd'!$I$5:$I$84,'P04-LabourProd'!$C$5:$C$84,"Civil &amp; Structure",'P04-LabourProd'!$D$5:$D$84,"&gt;"&amp;15,'P04-LabourProd'!$D$5:$D$84,"&lt;="&amp;20),"-")</f>
        <v>2.6779220779220778</v>
      </c>
      <c r="D260" s="51">
        <f>IFERROR(AVERAGEIFS('P04-LabourProd'!$F$5:$F$84,'P04-LabourProd'!$C$5:$C$84,"Civil &amp; Structure",'P04-LabourProd'!$D$5:$D$84,"&gt;"&amp;15,'P04-LabourProd'!$D$5:$D$84,"&lt;="&amp;20),"-")</f>
        <v>412.4</v>
      </c>
      <c r="E260" s="51" cm="1">
        <f t="array" ref="E260">SUMPRODUCT(('P04-LabourProd'!$C$5:$C$84="Civil &amp; Structure")*('P04-LabourProd'!$D$5:$D$84&gt;15)*('P04-LabourProd'!$D$5:$D$84&lt;=20)*('P04-LabourProd'!$D$5:$D$84*'P04-LabourProd'!$E$5:$E$84))</f>
        <v>154</v>
      </c>
      <c r="F260">
        <f>IFERROR(AVERAGEIFS('P04-LabourProd'!$D$5:$D$84,'P04-LabourProd'!$C$5:$C$84,"Civil &amp; Structure",'P04-LabourProd'!$D$5:$D$84,"&gt;"&amp;15,'P04-LabourProd'!$D$5:$D$84,"&lt;="&amp;20),"-")</f>
        <v>20</v>
      </c>
    </row>
    <row r="261" spans="1:6">
      <c r="A261" t="s">
        <v>1411</v>
      </c>
      <c r="B261">
        <f>COUNTIFS('P04-LabourProd'!$C$5:$C$84,"Civil &amp; Structure",'P04-LabourProd'!$D$5:$D$84,"&gt;"&amp;20,'P04-LabourProd'!$D$5:$D$84,"&lt;="&amp;999)</f>
        <v>7</v>
      </c>
      <c r="C261" s="51">
        <f>IFERROR(AVERAGEIFS('P04-LabourProd'!$I$5:$I$84,'P04-LabourProd'!$C$5:$C$84,"Civil &amp; Structure",'P04-LabourProd'!$D$5:$D$84,"&gt;"&amp;20,'P04-LabourProd'!$D$5:$D$84,"&lt;="&amp;999),"-")</f>
        <v>3.2211080096595071</v>
      </c>
      <c r="D261" s="51">
        <f>IFERROR(AVERAGEIFS('P04-LabourProd'!$F$5:$F$84,'P04-LabourProd'!$C$5:$C$84,"Civil &amp; Structure",'P04-LabourProd'!$D$5:$D$84,"&gt;"&amp;20,'P04-LabourProd'!$D$5:$D$84,"&lt;="&amp;999),"-")</f>
        <v>773.19999999999993</v>
      </c>
      <c r="E261" s="51" cm="1">
        <f t="array" ref="E261">SUMPRODUCT(('P04-LabourProd'!$C$5:$C$84="Civil &amp; Structure")*('P04-LabourProd'!$D$5:$D$84&gt;20)*('P04-LabourProd'!$D$5:$D$84&lt;=999)*('P04-LabourProd'!$D$5:$D$84*'P04-LabourProd'!$E$5:$E$84))</f>
        <v>1896.2</v>
      </c>
      <c r="F261">
        <f>IFERROR(AVERAGEIFS('P04-LabourProd'!$D$5:$D$84,'P04-LabourProd'!$C$5:$C$84,"Civil &amp; Structure",'P04-LabourProd'!$D$5:$D$84,"&gt;"&amp;20,'P04-LabourProd'!$D$5:$D$84,"&lt;="&amp;999),"-")</f>
        <v>32.142857142857146</v>
      </c>
    </row>
    <row r="262" spans="1:6">
      <c r="A262" s="44" t="str">
        <f>"ANSWER: For Civil &amp; Structure the best-performing crew band is "&amp;INDEX($A$258:$A$261,MATCH(MAX($C$258:$C$261),$C$258:$C$261,0))&amp;" at "&amp;TEXT(MAX($C$258:$C$261),"0.00")&amp;" units/man-hour (avg crew "&amp;TEXT(INDEX($F$258:$F$261,MATCH(MAX($C$258:$C$261),$C$258:$C$261,0)),"0.0")&amp;" workers) versus "&amp;TEXT(MIN($C$258:$C$261),"0.00")&amp;" for the weakest band."</f>
        <v>ANSWER: For Civil &amp; Structure the best-performing crew band is Medium crew (11 to 15) at 4.16 units/man-hour (avg crew 13.0 workers) versus 2.68 for the weakest band.</v>
      </c>
    </row>
    <row r="264" spans="1:6">
      <c r="A264" s="42" t="s">
        <v>1412</v>
      </c>
    </row>
    <row r="265" spans="1:6">
      <c r="A265" s="43" t="s">
        <v>1309</v>
      </c>
      <c r="B265" s="43" t="s">
        <v>68</v>
      </c>
      <c r="C265" s="43" t="s">
        <v>1386</v>
      </c>
      <c r="D265" s="43" t="s">
        <v>1385</v>
      </c>
      <c r="E265" s="43" t="s">
        <v>1384</v>
      </c>
      <c r="F265" s="43" t="s">
        <v>1387</v>
      </c>
    </row>
    <row r="266" spans="1:6">
      <c r="A266">
        <v>1</v>
      </c>
      <c r="B266" t="str">
        <f>INDEX($A$271:$A$274,MATCH($C266,$B$271:$B$274,0))</f>
        <v>WT-DC-MUM-01</v>
      </c>
      <c r="C266" s="46">
        <f>LARGE($B$271:$B$274,$A266)</f>
        <v>4631.0999999999985</v>
      </c>
      <c r="D266">
        <f>COUNTIF('P04-LabourProd'!$B$5:$B$84,$B266)</f>
        <v>24</v>
      </c>
      <c r="E266">
        <f>AVERAGEIF('P04-LabourProd'!$B$5:$B$84,$B266,'P04-LabourProd'!$I$5:$I$84)</f>
        <v>3.1873981551991548</v>
      </c>
      <c r="F266" s="51">
        <f>SUMIF('P04-LabourProd'!$B$5:$B$84,$B266,'P04-LabourProd'!$F$5:$F$84)</f>
        <v>13574.899999999998</v>
      </c>
    </row>
    <row r="267" spans="1:6">
      <c r="A267">
        <v>2</v>
      </c>
      <c r="B267" t="str">
        <f>INDEX($A$271:$A$274,MATCH($C267,$B$271:$B$274,0))</f>
        <v>WT-HOS-AKL-03</v>
      </c>
      <c r="C267" s="46">
        <f>LARGE($B$271:$B$274,$A267)</f>
        <v>4100.8999999999996</v>
      </c>
      <c r="D267">
        <f>COUNTIF('P04-LabourProd'!$B$5:$B$84,$B267)</f>
        <v>21</v>
      </c>
      <c r="E267">
        <f>AVERAGEIF('P04-LabourProd'!$B$5:$B$84,$B267,'P04-LabourProd'!$I$5:$I$84)</f>
        <v>2.5591891771520516</v>
      </c>
      <c r="F267" s="51">
        <f>SUMIF('P04-LabourProd'!$B$5:$B$84,$B267,'P04-LabourProd'!$F$5:$F$84)</f>
        <v>9690.3999999999978</v>
      </c>
    </row>
    <row r="268" spans="1:6">
      <c r="A268">
        <v>3</v>
      </c>
      <c r="B268" t="str">
        <f>INDEX($A$271:$A$274,MATCH($C268,$B$271:$B$274,0))</f>
        <v>WT-ITP-BLR-04</v>
      </c>
      <c r="C268" s="46">
        <f>LARGE($B$271:$B$274,$A268)</f>
        <v>3508.6</v>
      </c>
      <c r="D268">
        <f>COUNTIF('P04-LabourProd'!$B$5:$B$84,$B268)</f>
        <v>19</v>
      </c>
      <c r="E268">
        <f>AVERAGEIF('P04-LabourProd'!$B$5:$B$84,$B268,'P04-LabourProd'!$I$5:$I$84)</f>
        <v>3.3225208447519381</v>
      </c>
      <c r="F268" s="51">
        <f>SUMIF('P04-LabourProd'!$B$5:$B$84,$B268,'P04-LabourProd'!$F$5:$F$84)</f>
        <v>11206.099999999999</v>
      </c>
    </row>
    <row r="269" spans="1:6">
      <c r="A269">
        <v>4</v>
      </c>
      <c r="B269" t="str">
        <f>INDEX($A$271:$A$274,MATCH($C269,$B$271:$B$274,0))</f>
        <v>WT-OFF-SYD-02</v>
      </c>
      <c r="C269" s="46">
        <f>LARGE($B$271:$B$274,$A269)</f>
        <v>3201.0000000000005</v>
      </c>
      <c r="D269">
        <f>COUNTIF('P04-LabourProd'!$B$5:$B$84,$B269)</f>
        <v>16</v>
      </c>
      <c r="E269">
        <f>AVERAGEIF('P04-LabourProd'!$B$5:$B$84,$B269,'P04-LabourProd'!$I$5:$I$84)</f>
        <v>3.0498317018105663</v>
      </c>
      <c r="F269" s="51">
        <f>SUMIF('P04-LabourProd'!$B$5:$B$84,$B269,'P04-LabourProd'!$F$5:$F$84)</f>
        <v>10094.1</v>
      </c>
    </row>
    <row r="270" spans="1:6">
      <c r="A270" s="44" t="str">
        <f>"ANSWER: "&amp;$B$266&amp;" consumes the most labour at "&amp;TEXT($C$266,"#,##0")&amp;" man-hours, then "&amp;$B$267&amp;" ("&amp;TEXT($C$267,"#,##0")&amp;"), "&amp;$B$268&amp;" ("&amp;TEXT($C$268,"#,##0")&amp;") and "&amp;$B$269&amp;" ("&amp;TEXT($C$269,"#,##0")&amp;"). Total across the four projects: "&amp;TEXT(SUM($C$266:$C$269),"#,##0")&amp;" man-hours."</f>
        <v>ANSWER: WT-DC-MUM-01 consumes the most labour at 4,631 man-hours, then WT-HOS-AKL-03 (4,101), WT-ITP-BLR-04 (3,509) and WT-OFF-SYD-02 (3,201). Total across the four projects: 15,442 man-hours.</v>
      </c>
    </row>
    <row r="271" spans="1:6">
      <c r="A271" s="52" t="s">
        <v>283</v>
      </c>
      <c r="B271" s="53" cm="1">
        <f t="array" ref="B271">SUMPRODUCT(('P04-LabourProd'!$B$5:$B$84=$A271)*('P04-LabourProd'!$D$5:$D$84*'P04-LabourProd'!$E$5:$E$84))</f>
        <v>4631.0999999999985</v>
      </c>
      <c r="C271" s="52" t="s">
        <v>1413</v>
      </c>
      <c r="D271" s="52"/>
      <c r="E271" s="52"/>
      <c r="F271" s="52"/>
    </row>
    <row r="272" spans="1:6">
      <c r="A272" s="52" t="s">
        <v>337</v>
      </c>
      <c r="B272" s="53" cm="1">
        <f t="array" ref="B272">SUMPRODUCT(('P04-LabourProd'!$B$5:$B$84=$A272)*('P04-LabourProd'!$D$5:$D$84*'P04-LabourProd'!$E$5:$E$84))</f>
        <v>3508.6</v>
      </c>
      <c r="C272" s="52" t="s">
        <v>1413</v>
      </c>
      <c r="D272" s="52"/>
      <c r="E272" s="52"/>
      <c r="F272" s="52"/>
    </row>
    <row r="273" spans="1:11">
      <c r="A273" s="52" t="s">
        <v>317</v>
      </c>
      <c r="B273" s="53" cm="1">
        <f t="array" ref="B273">SUMPRODUCT(('P04-LabourProd'!$B$5:$B$84=$A273)*('P04-LabourProd'!$D$5:$D$84*'P04-LabourProd'!$E$5:$E$84))</f>
        <v>3201.0000000000005</v>
      </c>
      <c r="C273" s="52" t="s">
        <v>1413</v>
      </c>
      <c r="D273" s="52"/>
      <c r="E273" s="52"/>
      <c r="F273" s="52"/>
    </row>
    <row r="274" spans="1:11">
      <c r="A274" s="52" t="s">
        <v>318</v>
      </c>
      <c r="B274" s="53" cm="1">
        <f t="array" ref="B274">SUMPRODUCT(('P04-LabourProd'!$B$5:$B$84=$A274)*('P04-LabourProd'!$D$5:$D$84*'P04-LabourProd'!$E$5:$E$84))</f>
        <v>4100.8999999999996</v>
      </c>
      <c r="C274" s="52" t="s">
        <v>1413</v>
      </c>
      <c r="D274" s="52"/>
      <c r="E274" s="52"/>
      <c r="F274" s="52"/>
    </row>
    <row r="276" spans="1:11">
      <c r="A276" s="41" t="s">
        <v>1414</v>
      </c>
      <c r="B276" s="41"/>
      <c r="C276" s="41"/>
      <c r="D276" s="41"/>
      <c r="E276" s="41"/>
      <c r="F276" s="41"/>
      <c r="G276" s="41"/>
      <c r="H276" s="41"/>
      <c r="I276" s="41"/>
      <c r="J276" s="41"/>
      <c r="K276" s="41"/>
    </row>
    <row r="277" spans="1:11">
      <c r="A277" s="42" t="s">
        <v>1415</v>
      </c>
    </row>
    <row r="278" spans="1:11">
      <c r="A278" s="43" t="s">
        <v>1416</v>
      </c>
      <c r="B278" s="43" t="s">
        <v>1417</v>
      </c>
      <c r="C278" s="43" t="s">
        <v>1418</v>
      </c>
      <c r="D278" s="43" t="s">
        <v>1419</v>
      </c>
      <c r="E278" s="43" t="s">
        <v>1420</v>
      </c>
      <c r="F278" s="43" t="s">
        <v>1421</v>
      </c>
      <c r="G278" s="43" t="s">
        <v>1422</v>
      </c>
      <c r="H278" s="43" t="s">
        <v>1423</v>
      </c>
      <c r="I278" s="43" t="s">
        <v>1441</v>
      </c>
    </row>
    <row r="279" spans="1:11">
      <c r="A279" t="s">
        <v>413</v>
      </c>
      <c r="B279" t="str" cm="1">
        <f t="array" ref="B279">INDEX('P05-TenderBid'!$B$5:$B$44,SUMPRODUCT(MAX(('P05-TenderBid'!$A$5:$A$44=$A279)*('P05-TenderBid'!$C$5:$C$44=$C279)*ROW('P05-TenderBid'!$C$5:$C$44)))-4)</f>
        <v>Contractor-D</v>
      </c>
      <c r="C279" s="48">
        <f>_xlfn.MINIFS('P05-TenderBid'!$C$5:$C$44,'P05-TenderBid'!$A$5:$A$44,$A279)</f>
        <v>3366658</v>
      </c>
      <c r="D279" t="str" cm="1">
        <f t="array" ref="D279">INDEX($B$290:$B$329,SUMPRODUCT(MAX(($A$290:$A$329=$A279)*($J$290:$J$329=$E279)*ROW($J$290:$J$329)))-289)</f>
        <v>Contractor-D</v>
      </c>
      <c r="E279" s="54">
        <f>_xlfn.MAXIFS($J$290:$J$329,$A$290:$A$329,$A279)</f>
        <v>80.427074578440056</v>
      </c>
      <c r="F279" s="48" cm="1">
        <f t="array" ref="F279">INDEX($C$290:$C$329,SUMPRODUCT(MAX(($A$290:$A$329=$A279)*($J$290:$J$329=$E279)*ROW($J$290:$J$329)))-289)</f>
        <v>4226208</v>
      </c>
      <c r="G279" s="48">
        <f>F279-C279</f>
        <v>859550</v>
      </c>
      <c r="H279">
        <f>COUNTIF('P05-TenderBid'!$A$5:$A$44,$A279)</f>
        <v>8</v>
      </c>
      <c r="I279" s="54" cm="1">
        <f t="array" ref="I279">INDEX($J$290:$J$329,SUMPRODUCT(MAX(($A$290:$A$329=$A279)*($C$290:$C$329=$C279)*ROW($J$290:$J$329)))-289)</f>
        <v>73.47652859960553</v>
      </c>
    </row>
    <row r="280" spans="1:11">
      <c r="A280" t="s">
        <v>420</v>
      </c>
      <c r="B280" t="str" cm="1">
        <f t="array" ref="B280">INDEX('P05-TenderBid'!$B$5:$B$44,SUMPRODUCT(MAX(('P05-TenderBid'!$A$5:$A$44=$A280)*('P05-TenderBid'!$C$5:$C$44=$C280)*ROW('P05-TenderBid'!$C$5:$C$44)))-4)</f>
        <v>Contractor-O</v>
      </c>
      <c r="C280" s="48">
        <f>_xlfn.MINIFS('P05-TenderBid'!$C$5:$C$44,'P05-TenderBid'!$A$5:$A$44,$A280)</f>
        <v>1360585</v>
      </c>
      <c r="D280" t="str" cm="1">
        <f t="array" ref="D280">INDEX($B$290:$B$329,SUMPRODUCT(MAX(($A$290:$A$329=$A280)*($J$290:$J$329=$E280)*ROW($J$290:$J$329)))-289)</f>
        <v>Contractor-N</v>
      </c>
      <c r="E280" s="54">
        <f>_xlfn.MAXIFS($J$290:$J$329,$A$290:$A$329,$A280)</f>
        <v>65.287717645775871</v>
      </c>
      <c r="F280" s="48" cm="1">
        <f t="array" ref="F280">INDEX($C$290:$C$329,SUMPRODUCT(MAX(($A$290:$A$329=$A280)*($J$290:$J$329=$E280)*ROW($J$290:$J$329)))-289)</f>
        <v>1664277</v>
      </c>
      <c r="G280" s="48">
        <f>F280-C280</f>
        <v>303692</v>
      </c>
      <c r="H280">
        <f>COUNTIF('P05-TenderBid'!$A$5:$A$44,$A280)</f>
        <v>8</v>
      </c>
      <c r="I280" s="54" cm="1">
        <f t="array" ref="I280">INDEX($J$290:$J$329,SUMPRODUCT(MAX(($A$290:$A$329=$A280)*($C$290:$C$329=$C280)*ROW($J$290:$J$329)))-289)</f>
        <v>61.282925935474474</v>
      </c>
    </row>
    <row r="281" spans="1:11">
      <c r="A281" t="s">
        <v>424</v>
      </c>
      <c r="B281" t="str" cm="1">
        <f t="array" ref="B281">INDEX('P05-TenderBid'!$B$5:$B$44,SUMPRODUCT(MAX(('P05-TenderBid'!$A$5:$A$44=$A281)*('P05-TenderBid'!$C$5:$C$44=$C281)*ROW('P05-TenderBid'!$C$5:$C$44)))-4)</f>
        <v>Contractor-M</v>
      </c>
      <c r="C281" s="48">
        <f>_xlfn.MINIFS('P05-TenderBid'!$C$5:$C$44,'P05-TenderBid'!$A$5:$A$44,$A281)</f>
        <v>2916771</v>
      </c>
      <c r="D281" t="str" cm="1">
        <f t="array" ref="D281">INDEX($B$290:$B$329,SUMPRODUCT(MAX(($A$290:$A$329=$A281)*($J$290:$J$329=$E281)*ROW($J$290:$J$329)))-289)</f>
        <v>Contractor-I</v>
      </c>
      <c r="E281" s="54">
        <f>_xlfn.MAXIFS($J$290:$J$329,$A$290:$A$329,$A281)</f>
        <v>76.768224932674158</v>
      </c>
      <c r="F281" s="48" cm="1">
        <f t="array" ref="F281">INDEX($C$290:$C$329,SUMPRODUCT(MAX(($A$290:$A$329=$A281)*($J$290:$J$329=$E281)*ROW($J$290:$J$329)))-289)</f>
        <v>3339940</v>
      </c>
      <c r="G281" s="48">
        <f>F281-C281</f>
        <v>423169</v>
      </c>
      <c r="H281">
        <f>COUNTIF('P05-TenderBid'!$A$5:$A$44,$A281)</f>
        <v>8</v>
      </c>
      <c r="I281" s="54" cm="1">
        <f t="array" ref="I281">INDEX($J$290:$J$329,SUMPRODUCT(MAX(($A$290:$A$329=$A281)*($C$290:$C$329=$C281)*ROW($J$290:$J$329)))-289)</f>
        <v>72.256915825262723</v>
      </c>
    </row>
    <row r="282" spans="1:11">
      <c r="A282" t="s">
        <v>311</v>
      </c>
      <c r="B282" t="str" cm="1">
        <f t="array" ref="B282">INDEX('P05-TenderBid'!$B$5:$B$44,SUMPRODUCT(MAX(('P05-TenderBid'!$A$5:$A$44=$A282)*('P05-TenderBid'!$C$5:$C$44=$C282)*ROW('P05-TenderBid'!$C$5:$C$44)))-4)</f>
        <v>Contractor-M</v>
      </c>
      <c r="C282" s="48">
        <f>_xlfn.MINIFS('P05-TenderBid'!$C$5:$C$44,'P05-TenderBid'!$A$5:$A$44,$A282)</f>
        <v>1631225</v>
      </c>
      <c r="D282" t="str" cm="1">
        <f t="array" ref="D282">INDEX($B$290:$B$329,SUMPRODUCT(MAX(($A$290:$A$329=$A282)*($J$290:$J$329=$E282)*ROW($J$290:$J$329)))-289)</f>
        <v>Contractor-M</v>
      </c>
      <c r="E282" s="54">
        <f>_xlfn.MAXIFS($J$290:$J$329,$A$290:$A$329,$A282)</f>
        <v>91.286225739589227</v>
      </c>
      <c r="F282" s="48" cm="1">
        <f t="array" ref="F282">INDEX($C$290:$C$329,SUMPRODUCT(MAX(($A$290:$A$329=$A282)*($J$290:$J$329=$E282)*ROW($J$290:$J$329)))-289)</f>
        <v>1631225</v>
      </c>
      <c r="G282" s="48">
        <f>F282-C282</f>
        <v>0</v>
      </c>
      <c r="H282">
        <f>COUNTIF('P05-TenderBid'!$A$5:$A$44,$A282)</f>
        <v>8</v>
      </c>
      <c r="I282" s="54" cm="1">
        <f t="array" ref="I282">INDEX($J$290:$J$329,SUMPRODUCT(MAX(($A$290:$A$329=$A282)*($C$290:$C$329=$C282)*ROW($J$290:$J$329)))-289)</f>
        <v>91.286225739589227</v>
      </c>
    </row>
    <row r="283" spans="1:11">
      <c r="A283" t="s">
        <v>428</v>
      </c>
      <c r="B283" t="str" cm="1">
        <f t="array" ref="B283">INDEX('P05-TenderBid'!$B$5:$B$44,SUMPRODUCT(MAX(('P05-TenderBid'!$A$5:$A$44=$A283)*('P05-TenderBid'!$C$5:$C$44=$C283)*ROW('P05-TenderBid'!$C$5:$C$44)))-4)</f>
        <v>Contractor-H</v>
      </c>
      <c r="C283" s="48">
        <f>_xlfn.MINIFS('P05-TenderBid'!$C$5:$C$44,'P05-TenderBid'!$A$5:$A$44,$A283)</f>
        <v>855300</v>
      </c>
      <c r="D283" t="str" cm="1">
        <f t="array" ref="D283">INDEX($B$290:$B$329,SUMPRODUCT(MAX(($A$290:$A$329=$A283)*($J$290:$J$329=$E283)*ROW($J$290:$J$329)))-289)</f>
        <v>Contractor-H</v>
      </c>
      <c r="E283" s="54">
        <f>_xlfn.MAXIFS($J$290:$J$329,$A$290:$A$329,$A283)</f>
        <v>81.635635635635651</v>
      </c>
      <c r="F283" s="48" cm="1">
        <f t="array" ref="F283">INDEX($C$290:$C$329,SUMPRODUCT(MAX(($A$290:$A$329=$A283)*($J$290:$J$329=$E283)*ROW($J$290:$J$329)))-289)</f>
        <v>855300</v>
      </c>
      <c r="G283" s="48">
        <f>F283-C283</f>
        <v>0</v>
      </c>
      <c r="H283">
        <f>COUNTIF('P05-TenderBid'!$A$5:$A$44,$A283)</f>
        <v>8</v>
      </c>
      <c r="I283" s="54" cm="1">
        <f t="array" ref="I283">INDEX($J$290:$J$329,SUMPRODUCT(MAX(($A$290:$A$329=$A283)*($C$290:$C$329=$C283)*ROW($J$290:$J$329)))-289)</f>
        <v>81.635635635635651</v>
      </c>
    </row>
    <row r="284" spans="1:11">
      <c r="A284" s="44" t="str" cm="1">
        <f t="array" ref="A284">"ANSWER: The lowest bidder is listed in column B for each of the 5 packages. No — lowest is not always best: on "&amp;SUMPRODUCT(($B$279:$B$283&lt;&gt;$D$279:$D$283)*1)&amp;" of 5 packages the highest-scored bidder is a different contractor, and buying the best-scored bid instead of the cheapest costs "&amp;TEXT(SUM($G$279:$G$283),"""$""#,##0")&amp;" more in total. Ultra-low bids in this set also carry weak safety ratings and higher defect rates (see Q4)."</f>
        <v>ANSWER: The lowest bidder is listed in column B for each of the 5 packages. No — lowest is not always best: on 2 of 5 packages the highest-scored bidder is a different contractor, and buying the best-scored bid instead of the cheapest costs $15,86,411 more in total. Ultra-low bids in this set also carry weak safety ratings and higher defect rates (see Q4).</v>
      </c>
    </row>
    <row r="286" spans="1:11">
      <c r="A286" s="42" t="s">
        <v>1424</v>
      </c>
    </row>
    <row r="287" spans="1:11">
      <c r="A287" s="43" t="s">
        <v>1425</v>
      </c>
      <c r="B287" s="43" t="s">
        <v>1426</v>
      </c>
      <c r="C287" s="43" t="s">
        <v>1427</v>
      </c>
      <c r="D287" s="43" t="s">
        <v>1428</v>
      </c>
      <c r="E287" s="43" t="s">
        <v>1429</v>
      </c>
      <c r="F287" s="43" t="s">
        <v>1430</v>
      </c>
      <c r="G287" s="43" t="s">
        <v>1321</v>
      </c>
    </row>
    <row r="288" spans="1:11">
      <c r="A288" t="s">
        <v>1431</v>
      </c>
      <c r="B288" s="56">
        <v>0.4</v>
      </c>
      <c r="C288" s="56">
        <v>0.2</v>
      </c>
      <c r="D288" s="56">
        <v>0.15</v>
      </c>
      <c r="E288" s="56">
        <v>0.15</v>
      </c>
      <c r="F288" s="56">
        <v>0.1</v>
      </c>
      <c r="G288" s="55">
        <f>SUM(B288:F288)</f>
        <v>1.0000000000000002</v>
      </c>
    </row>
    <row r="289" spans="1:11">
      <c r="A289" s="43" t="s">
        <v>1416</v>
      </c>
      <c r="B289" s="43" t="s">
        <v>406</v>
      </c>
      <c r="C289" s="43" t="s">
        <v>1432</v>
      </c>
      <c r="D289" s="43" t="s">
        <v>1433</v>
      </c>
      <c r="E289" s="43" t="s">
        <v>1434</v>
      </c>
      <c r="F289" s="43" t="s">
        <v>1435</v>
      </c>
      <c r="G289" s="43" t="s">
        <v>1436</v>
      </c>
      <c r="H289" s="43" t="s">
        <v>1437</v>
      </c>
      <c r="I289" s="43" t="s">
        <v>1438</v>
      </c>
      <c r="J289" s="43" t="s">
        <v>1439</v>
      </c>
      <c r="K289" s="43" t="s">
        <v>1440</v>
      </c>
    </row>
    <row r="290" spans="1:11">
      <c r="A290" t="str">
        <f>'P05-TenderBid'!$A$5</f>
        <v>Structural Works</v>
      </c>
      <c r="B290" t="str">
        <f>'P05-TenderBid'!$B$5</f>
        <v>Contractor-K</v>
      </c>
      <c r="C290" s="48">
        <f>'P05-TenderBid'!$C$5</f>
        <v>6124192</v>
      </c>
      <c r="D290">
        <f>'P05-TenderBid'!$D$5</f>
        <v>306</v>
      </c>
      <c r="E290" s="22">
        <f>_xlfn.MINIFS('P05-TenderBid'!$C$5:$C$44,'P05-TenderBid'!$A$5:$A$44,$A290)/$C290</f>
        <v>0.54973096859144843</v>
      </c>
      <c r="F290" s="22">
        <f>_xlfn.MINIFS('P05-TenderBid'!$D$5:$D$44,'P05-TenderBid'!$A$5:$A$44,$A290)/$D290</f>
        <v>0.46078431372549017</v>
      </c>
      <c r="G290" s="22">
        <f>'P05-TenderBid'!$E$5/_xlfn.MAXIFS('P05-TenderBid'!$E$5:$E$44,'P05-TenderBid'!$A$5:$A$44,$A290)</f>
        <v>0.72</v>
      </c>
      <c r="H290" s="22">
        <f>'P05-TenderBid'!$F$5/_xlfn.MAXIFS('P05-TenderBid'!$F$5:$F$44,'P05-TenderBid'!$A$5:$A$44,$A290)</f>
        <v>0.75555555555555554</v>
      </c>
      <c r="I290" s="22">
        <f>_xlfn.MINIFS('P05-TenderBid'!$G$5:$G$44,'P05-TenderBid'!$A$5:$A$44,$A290)/'P05-TenderBid'!$G$5</f>
        <v>0.44680851063829785</v>
      </c>
      <c r="J290" s="54">
        <f t="shared" ref="J290:J329" si="5">100*($E290*$B$288+$F290*$C$288+$G290*$D$288+$H290*$E$288+$I290*$F$288)</f>
        <v>57.806343457884047</v>
      </c>
      <c r="K290" cm="1">
        <f t="array" ref="K290">SUMPRODUCT(($A$290:$A$329=$A290)*($J$290:$J$329&gt;$J290))+1</f>
        <v>6</v>
      </c>
    </row>
    <row r="291" spans="1:11">
      <c r="A291" t="str">
        <f>'P05-TenderBid'!$A$6</f>
        <v>Structural Works</v>
      </c>
      <c r="B291" t="str">
        <f>'P05-TenderBid'!$B$6</f>
        <v>Contractor-D</v>
      </c>
      <c r="C291" s="48">
        <f>'P05-TenderBid'!$C$6</f>
        <v>3366658</v>
      </c>
      <c r="D291">
        <f>'P05-TenderBid'!$D$6</f>
        <v>338</v>
      </c>
      <c r="E291" s="22">
        <f>_xlfn.MINIFS('P05-TenderBid'!$C$5:$C$44,'P05-TenderBid'!$A$5:$A$44,$A291)/$C291</f>
        <v>1</v>
      </c>
      <c r="F291" s="22">
        <f>_xlfn.MINIFS('P05-TenderBid'!$D$5:$D$44,'P05-TenderBid'!$A$5:$A$44,$A291)/$D291</f>
        <v>0.41715976331360949</v>
      </c>
      <c r="G291" s="22">
        <f>'P05-TenderBid'!$E$6/_xlfn.MAXIFS('P05-TenderBid'!$E$5:$E$44,'P05-TenderBid'!$A$5:$A$44,$A291)</f>
        <v>0.32</v>
      </c>
      <c r="H291" s="22">
        <f>'P05-TenderBid'!$F$6/_xlfn.MAXIFS('P05-TenderBid'!$F$5:$F$44,'P05-TenderBid'!$A$5:$A$44,$A291)</f>
        <v>0.68888888888888888</v>
      </c>
      <c r="I291" s="22">
        <f>_xlfn.MINIFS('P05-TenderBid'!$G$5:$G$44,'P05-TenderBid'!$A$5:$A$44,$A291)/'P05-TenderBid'!$G$6</f>
        <v>1</v>
      </c>
      <c r="J291" s="54">
        <f t="shared" si="5"/>
        <v>73.47652859960553</v>
      </c>
      <c r="K291" cm="1">
        <f t="array" ref="K291">SUMPRODUCT(($A$290:$A$329=$A291)*($J$290:$J$329&gt;$J291))+1</f>
        <v>2</v>
      </c>
    </row>
    <row r="292" spans="1:11">
      <c r="A292" t="str">
        <f>'P05-TenderBid'!$A$7</f>
        <v>Structural Works</v>
      </c>
      <c r="B292" t="str">
        <f>'P05-TenderBid'!$B$7</f>
        <v>Contractor-N</v>
      </c>
      <c r="C292" s="48">
        <f>'P05-TenderBid'!$C$7</f>
        <v>7111231</v>
      </c>
      <c r="D292">
        <f>'P05-TenderBid'!$D$7</f>
        <v>141</v>
      </c>
      <c r="E292" s="22">
        <f>_xlfn.MINIFS('P05-TenderBid'!$C$5:$C$44,'P05-TenderBid'!$A$5:$A$44,$A292)/$C292</f>
        <v>0.47342829954476234</v>
      </c>
      <c r="F292" s="22">
        <f>_xlfn.MINIFS('P05-TenderBid'!$D$5:$D$44,'P05-TenderBid'!$A$5:$A$44,$A292)/$D292</f>
        <v>1</v>
      </c>
      <c r="G292" s="22">
        <f>'P05-TenderBid'!$E$7/_xlfn.MAXIFS('P05-TenderBid'!$E$5:$E$44,'P05-TenderBid'!$A$5:$A$44,$A292)</f>
        <v>0.72</v>
      </c>
      <c r="H292" s="22">
        <f>'P05-TenderBid'!$F$7/_xlfn.MAXIFS('P05-TenderBid'!$F$5:$F$44,'P05-TenderBid'!$A$5:$A$44,$A292)</f>
        <v>0.97777777777777786</v>
      </c>
      <c r="I292" s="22">
        <f>_xlfn.MINIFS('P05-TenderBid'!$G$5:$G$44,'P05-TenderBid'!$A$5:$A$44,$A292)/'P05-TenderBid'!$G$7</f>
        <v>0.20792079207920794</v>
      </c>
      <c r="J292" s="54">
        <f t="shared" si="5"/>
        <v>66.483006569249241</v>
      </c>
      <c r="K292" cm="1">
        <f t="array" ref="K292">SUMPRODUCT(($A$290:$A$329=$A292)*($J$290:$J$329&gt;$J292))+1</f>
        <v>4</v>
      </c>
    </row>
    <row r="293" spans="1:11">
      <c r="A293" t="str">
        <f>'P05-TenderBid'!$A$8</f>
        <v>Structural Works</v>
      </c>
      <c r="B293" t="str">
        <f>'P05-TenderBid'!$B$8</f>
        <v>Contractor-A</v>
      </c>
      <c r="C293" s="48">
        <f>'P05-TenderBid'!$C$8</f>
        <v>6052664</v>
      </c>
      <c r="D293">
        <f>'P05-TenderBid'!$D$8</f>
        <v>262</v>
      </c>
      <c r="E293" s="22">
        <f>_xlfn.MINIFS('P05-TenderBid'!$C$5:$C$44,'P05-TenderBid'!$A$5:$A$44,$A293)/$C293</f>
        <v>0.55622747272936346</v>
      </c>
      <c r="F293" s="22">
        <f>_xlfn.MINIFS('P05-TenderBid'!$D$5:$D$44,'P05-TenderBid'!$A$5:$A$44,$A293)/$D293</f>
        <v>0.53816793893129766</v>
      </c>
      <c r="G293" s="22">
        <f>'P05-TenderBid'!$E$8/_xlfn.MAXIFS('P05-TenderBid'!$E$5:$E$44,'P05-TenderBid'!$A$5:$A$44,$A293)</f>
        <v>0.84</v>
      </c>
      <c r="H293" s="22">
        <f>'P05-TenderBid'!$F$8/_xlfn.MAXIFS('P05-TenderBid'!$F$5:$F$44,'P05-TenderBid'!$A$5:$A$44,$A293)</f>
        <v>0.62222222222222223</v>
      </c>
      <c r="I293" s="22">
        <f>_xlfn.MINIFS('P05-TenderBid'!$G$5:$G$44,'P05-TenderBid'!$A$5:$A$44,$A293)/'P05-TenderBid'!$G$8</f>
        <v>0.43750000000000006</v>
      </c>
      <c r="J293" s="54">
        <f t="shared" si="5"/>
        <v>59.320791021133836</v>
      </c>
      <c r="K293" cm="1">
        <f t="array" ref="K293">SUMPRODUCT(($A$290:$A$329=$A293)*($J$290:$J$329&gt;$J293))+1</f>
        <v>5</v>
      </c>
    </row>
    <row r="294" spans="1:11">
      <c r="A294" t="str">
        <f>'P05-TenderBid'!$A$9</f>
        <v>Structural Works</v>
      </c>
      <c r="B294" t="str">
        <f>'P05-TenderBid'!$B$9</f>
        <v>Contractor-N</v>
      </c>
      <c r="C294" s="48">
        <f>'P05-TenderBid'!$C$9</f>
        <v>6312010</v>
      </c>
      <c r="D294">
        <f>'P05-TenderBid'!$D$9</f>
        <v>174</v>
      </c>
      <c r="E294" s="22">
        <f>_xlfn.MINIFS('P05-TenderBid'!$C$5:$C$44,'P05-TenderBid'!$A$5:$A$44,$A294)/$C294</f>
        <v>0.53337336284321479</v>
      </c>
      <c r="F294" s="22">
        <f>_xlfn.MINIFS('P05-TenderBid'!$D$5:$D$44,'P05-TenderBid'!$A$5:$A$44,$A294)/$D294</f>
        <v>0.81034482758620685</v>
      </c>
      <c r="G294" s="22">
        <f>'P05-TenderBid'!$E$9/_xlfn.MAXIFS('P05-TenderBid'!$E$5:$E$44,'P05-TenderBid'!$A$5:$A$44,$A294)</f>
        <v>1</v>
      </c>
      <c r="H294" s="22">
        <f>'P05-TenderBid'!$F$9/_xlfn.MAXIFS('P05-TenderBid'!$F$5:$F$44,'P05-TenderBid'!$A$5:$A$44,$A294)</f>
        <v>0.8</v>
      </c>
      <c r="I294" s="22">
        <f>_xlfn.MINIFS('P05-TenderBid'!$G$5:$G$44,'P05-TenderBid'!$A$5:$A$44,$A294)/'P05-TenderBid'!$G$9</f>
        <v>0.40384615384615385</v>
      </c>
      <c r="J294" s="54">
        <f t="shared" si="5"/>
        <v>68.580292603914259</v>
      </c>
      <c r="K294" cm="1">
        <f t="array" ref="K294">SUMPRODUCT(($A$290:$A$329=$A294)*($J$290:$J$329&gt;$J294))+1</f>
        <v>3</v>
      </c>
    </row>
    <row r="295" spans="1:11">
      <c r="A295" t="str">
        <f>'P05-TenderBid'!$A$10</f>
        <v>Structural Works</v>
      </c>
      <c r="B295" t="str">
        <f>'P05-TenderBid'!$B$10</f>
        <v>Contractor-D</v>
      </c>
      <c r="C295" s="48">
        <f>'P05-TenderBid'!$C$10</f>
        <v>4226208</v>
      </c>
      <c r="D295">
        <f>'P05-TenderBid'!$D$10</f>
        <v>235</v>
      </c>
      <c r="E295" s="22">
        <f>_xlfn.MINIFS('P05-TenderBid'!$C$5:$C$44,'P05-TenderBid'!$A$5:$A$44,$A295)/$C295</f>
        <v>0.79661436446100142</v>
      </c>
      <c r="F295" s="22">
        <f>_xlfn.MINIFS('P05-TenderBid'!$D$5:$D$44,'P05-TenderBid'!$A$5:$A$44,$A295)/$D295</f>
        <v>0.6</v>
      </c>
      <c r="G295" s="22">
        <f>'P05-TenderBid'!$E$10/_xlfn.MAXIFS('P05-TenderBid'!$E$5:$E$44,'P05-TenderBid'!$A$5:$A$44,$A295)</f>
        <v>1</v>
      </c>
      <c r="H295" s="22">
        <f>'P05-TenderBid'!$F$10/_xlfn.MAXIFS('P05-TenderBid'!$F$5:$F$44,'P05-TenderBid'!$A$5:$A$44,$A295)</f>
        <v>1</v>
      </c>
      <c r="I295" s="22">
        <f>_xlfn.MINIFS('P05-TenderBid'!$G$5:$G$44,'P05-TenderBid'!$A$5:$A$44,$A295)/'P05-TenderBid'!$G$10</f>
        <v>0.65625</v>
      </c>
      <c r="J295" s="54">
        <f t="shared" si="5"/>
        <v>80.427074578440056</v>
      </c>
      <c r="K295" cm="1">
        <f t="array" ref="K295">SUMPRODUCT(($A$290:$A$329=$A295)*($J$290:$J$329&gt;$J295))+1</f>
        <v>1</v>
      </c>
    </row>
    <row r="296" spans="1:11">
      <c r="A296" t="str">
        <f>'P05-TenderBid'!$A$11</f>
        <v>Structural Works</v>
      </c>
      <c r="B296" t="str">
        <f>'P05-TenderBid'!$B$11</f>
        <v>Contractor-M</v>
      </c>
      <c r="C296" s="48">
        <f>'P05-TenderBid'!$C$11</f>
        <v>7079774</v>
      </c>
      <c r="D296">
        <f>'P05-TenderBid'!$D$11</f>
        <v>330</v>
      </c>
      <c r="E296" s="22">
        <f>_xlfn.MINIFS('P05-TenderBid'!$C$5:$C$44,'P05-TenderBid'!$A$5:$A$44,$A296)/$C296</f>
        <v>0.4755318460730526</v>
      </c>
      <c r="F296" s="22">
        <f>_xlfn.MINIFS('P05-TenderBid'!$D$5:$D$44,'P05-TenderBid'!$A$5:$A$44,$A296)/$D296</f>
        <v>0.42727272727272725</v>
      </c>
      <c r="G296" s="22">
        <f>'P05-TenderBid'!$E$11/_xlfn.MAXIFS('P05-TenderBid'!$E$5:$E$44,'P05-TenderBid'!$A$5:$A$44,$A296)</f>
        <v>0.32</v>
      </c>
      <c r="H296" s="22">
        <f>'P05-TenderBid'!$F$11/_xlfn.MAXIFS('P05-TenderBid'!$F$5:$F$44,'P05-TenderBid'!$A$5:$A$44,$A296)</f>
        <v>0.75555555555555554</v>
      </c>
      <c r="I296" s="22">
        <f>_xlfn.MINIFS('P05-TenderBid'!$G$5:$G$44,'P05-TenderBid'!$A$5:$A$44,$A296)/'P05-TenderBid'!$G$11</f>
        <v>0.18421052631578946</v>
      </c>
      <c r="J296" s="54">
        <f t="shared" si="5"/>
        <v>45.542166984867876</v>
      </c>
      <c r="K296" cm="1">
        <f t="array" ref="K296">SUMPRODUCT(($A$290:$A$329=$A296)*($J$290:$J$329&gt;$J296))+1</f>
        <v>8</v>
      </c>
    </row>
    <row r="297" spans="1:11">
      <c r="A297" t="str">
        <f>'P05-TenderBid'!$A$12</f>
        <v>Structural Works</v>
      </c>
      <c r="B297" t="str">
        <f>'P05-TenderBid'!$B$12</f>
        <v>Contractor-H</v>
      </c>
      <c r="C297" s="48">
        <f>'P05-TenderBid'!$C$12</f>
        <v>6954518</v>
      </c>
      <c r="D297">
        <f>'P05-TenderBid'!$D$12</f>
        <v>234</v>
      </c>
      <c r="E297" s="22">
        <f>_xlfn.MINIFS('P05-TenderBid'!$C$5:$C$44,'P05-TenderBid'!$A$5:$A$44,$A297)/$C297</f>
        <v>0.48409652545295018</v>
      </c>
      <c r="F297" s="22">
        <f>_xlfn.MINIFS('P05-TenderBid'!$D$5:$D$44,'P05-TenderBid'!$A$5:$A$44,$A297)/$D297</f>
        <v>0.60256410256410253</v>
      </c>
      <c r="G297" s="22">
        <f>'P05-TenderBid'!$E$12/_xlfn.MAXIFS('P05-TenderBid'!$E$5:$E$44,'P05-TenderBid'!$A$5:$A$44,$A297)</f>
        <v>0.56000000000000005</v>
      </c>
      <c r="H297" s="22">
        <f>'P05-TenderBid'!$F$12/_xlfn.MAXIFS('P05-TenderBid'!$F$5:$F$44,'P05-TenderBid'!$A$5:$A$44,$A297)</f>
        <v>0.84444444444444444</v>
      </c>
      <c r="I297" s="22">
        <f>_xlfn.MINIFS('P05-TenderBid'!$G$5:$G$44,'P05-TenderBid'!$A$5:$A$44,$A297)/'P05-TenderBid'!$G$12</f>
        <v>0.39622641509433965</v>
      </c>
      <c r="J297" s="54">
        <f t="shared" si="5"/>
        <v>56.444073887010127</v>
      </c>
      <c r="K297" cm="1">
        <f t="array" ref="K297">SUMPRODUCT(($A$290:$A$329=$A297)*($J$290:$J$329&gt;$J297))+1</f>
        <v>7</v>
      </c>
    </row>
    <row r="298" spans="1:11">
      <c r="A298" t="str">
        <f>'P05-TenderBid'!$A$13</f>
        <v>MEP Package</v>
      </c>
      <c r="B298" t="str">
        <f>'P05-TenderBid'!$B$13</f>
        <v>Contractor-D</v>
      </c>
      <c r="C298" s="48">
        <f>'P05-TenderBid'!$C$13</f>
        <v>7221449</v>
      </c>
      <c r="D298">
        <f>'P05-TenderBid'!$D$13</f>
        <v>160</v>
      </c>
      <c r="E298" s="22">
        <f>_xlfn.MINIFS('P05-TenderBid'!$C$5:$C$44,'P05-TenderBid'!$A$5:$A$44,$A298)/$C298</f>
        <v>0.18840886365049453</v>
      </c>
      <c r="F298" s="22">
        <f>_xlfn.MINIFS('P05-TenderBid'!$D$5:$D$44,'P05-TenderBid'!$A$5:$A$44,$A298)/$D298</f>
        <v>0.64375000000000004</v>
      </c>
      <c r="G298" s="22">
        <f>'P05-TenderBid'!$E$13/_xlfn.MAXIFS('P05-TenderBid'!$E$5:$E$44,'P05-TenderBid'!$A$5:$A$44,$A298)</f>
        <v>0.52631578947368418</v>
      </c>
      <c r="H298" s="22">
        <f>'P05-TenderBid'!$F$13/_xlfn.MAXIFS('P05-TenderBid'!$F$5:$F$44,'P05-TenderBid'!$A$5:$A$44,$A298)</f>
        <v>0.53061224489795922</v>
      </c>
      <c r="I298" s="22">
        <f>_xlfn.MINIFS('P05-TenderBid'!$G$5:$G$44,'P05-TenderBid'!$A$5:$A$44,$A298)/'P05-TenderBid'!$G$13</f>
        <v>0.26666666666666666</v>
      </c>
      <c r="J298" s="54">
        <f t="shared" si="5"/>
        <v>38.931941728261101</v>
      </c>
      <c r="K298" cm="1">
        <f t="array" ref="K298">SUMPRODUCT(($A$290:$A$329=$A298)*($J$290:$J$329&gt;$J298))+1</f>
        <v>7</v>
      </c>
    </row>
    <row r="299" spans="1:11">
      <c r="A299" t="str">
        <f>'P05-TenderBid'!$A$14</f>
        <v>MEP Package</v>
      </c>
      <c r="B299" t="str">
        <f>'P05-TenderBid'!$B$14</f>
        <v>Contractor-O</v>
      </c>
      <c r="C299" s="48">
        <f>'P05-TenderBid'!$C$14</f>
        <v>1360585</v>
      </c>
      <c r="D299">
        <f>'P05-TenderBid'!$D$14</f>
        <v>354</v>
      </c>
      <c r="E299" s="22">
        <f>_xlfn.MINIFS('P05-TenderBid'!$C$5:$C$44,'P05-TenderBid'!$A$5:$A$44,$A299)/$C299</f>
        <v>1</v>
      </c>
      <c r="F299" s="22">
        <f>_xlfn.MINIFS('P05-TenderBid'!$D$5:$D$44,'P05-TenderBid'!$A$5:$A$44,$A299)/$D299</f>
        <v>0.29096045197740111</v>
      </c>
      <c r="G299" s="22">
        <f>'P05-TenderBid'!$E$14/_xlfn.MAXIFS('P05-TenderBid'!$E$5:$E$44,'P05-TenderBid'!$A$5:$A$44,$A299)</f>
        <v>0.26315789473684209</v>
      </c>
      <c r="H299" s="22">
        <f>'P05-TenderBid'!$F$14/_xlfn.MAXIFS('P05-TenderBid'!$F$5:$F$44,'P05-TenderBid'!$A$5:$A$44,$A299)</f>
        <v>0.65306122448979587</v>
      </c>
      <c r="I299" s="22">
        <f>_xlfn.MINIFS('P05-TenderBid'!$G$5:$G$44,'P05-TenderBid'!$A$5:$A$44,$A299)/'P05-TenderBid'!$G$14</f>
        <v>0.17204301075268816</v>
      </c>
      <c r="J299" s="54">
        <f t="shared" si="5"/>
        <v>61.282925935474474</v>
      </c>
      <c r="K299" cm="1">
        <f t="array" ref="K299">SUMPRODUCT(($A$290:$A$329=$A299)*($J$290:$J$329&gt;$J299))+1</f>
        <v>2</v>
      </c>
    </row>
    <row r="300" spans="1:11">
      <c r="A300" t="str">
        <f>'P05-TenderBid'!$A$15</f>
        <v>MEP Package</v>
      </c>
      <c r="B300" t="str">
        <f>'P05-TenderBid'!$B$15</f>
        <v>Contractor-O</v>
      </c>
      <c r="C300" s="48">
        <f>'P05-TenderBid'!$C$15</f>
        <v>4806314</v>
      </c>
      <c r="D300">
        <f>'P05-TenderBid'!$D$15</f>
        <v>165</v>
      </c>
      <c r="E300" s="22">
        <f>_xlfn.MINIFS('P05-TenderBid'!$C$5:$C$44,'P05-TenderBid'!$A$5:$A$44,$A300)/$C300</f>
        <v>0.28308283645221682</v>
      </c>
      <c r="F300" s="22">
        <f>_xlfn.MINIFS('P05-TenderBid'!$D$5:$D$44,'P05-TenderBid'!$A$5:$A$44,$A300)/$D300</f>
        <v>0.62424242424242427</v>
      </c>
      <c r="G300" s="22">
        <f>'P05-TenderBid'!$E$15/_xlfn.MAXIFS('P05-TenderBid'!$E$5:$E$44,'P05-TenderBid'!$A$5:$A$44,$A300)</f>
        <v>0.78947368421052633</v>
      </c>
      <c r="H300" s="22">
        <f>'P05-TenderBid'!$F$15/_xlfn.MAXIFS('P05-TenderBid'!$F$5:$F$44,'P05-TenderBid'!$A$5:$A$44,$A300)</f>
        <v>0.55102040816326525</v>
      </c>
      <c r="I300" s="22">
        <f>_xlfn.MINIFS('P05-TenderBid'!$G$5:$G$44,'P05-TenderBid'!$A$5:$A$44,$A300)/'P05-TenderBid'!$G$15</f>
        <v>0.14545454545454548</v>
      </c>
      <c r="J300" s="54">
        <f t="shared" si="5"/>
        <v>45.370118783089488</v>
      </c>
      <c r="K300" cm="1">
        <f t="array" ref="K300">SUMPRODUCT(($A$290:$A$329=$A300)*($J$290:$J$329&gt;$J300))+1</f>
        <v>6</v>
      </c>
    </row>
    <row r="301" spans="1:11">
      <c r="A301" t="str">
        <f>'P05-TenderBid'!$A$16</f>
        <v>MEP Package</v>
      </c>
      <c r="B301" t="str">
        <f>'P05-TenderBid'!$B$16</f>
        <v>Contractor-O</v>
      </c>
      <c r="C301" s="48">
        <f>'P05-TenderBid'!$C$16</f>
        <v>3432532</v>
      </c>
      <c r="D301">
        <f>'P05-TenderBid'!$D$16</f>
        <v>103</v>
      </c>
      <c r="E301" s="22">
        <f>_xlfn.MINIFS('P05-TenderBid'!$C$5:$C$44,'P05-TenderBid'!$A$5:$A$44,$A301)/$C301</f>
        <v>0.39637940738789906</v>
      </c>
      <c r="F301" s="22">
        <f>_xlfn.MINIFS('P05-TenderBid'!$D$5:$D$44,'P05-TenderBid'!$A$5:$A$44,$A301)/$D301</f>
        <v>1</v>
      </c>
      <c r="G301" s="22">
        <f>'P05-TenderBid'!$E$16/_xlfn.MAXIFS('P05-TenderBid'!$E$5:$E$44,'P05-TenderBid'!$A$5:$A$44,$A301)</f>
        <v>0.78947368421052633</v>
      </c>
      <c r="H301" s="22">
        <f>'P05-TenderBid'!$F$16/_xlfn.MAXIFS('P05-TenderBid'!$F$5:$F$44,'P05-TenderBid'!$A$5:$A$44,$A301)</f>
        <v>0.53061224489795922</v>
      </c>
      <c r="I301" s="22">
        <f>_xlfn.MINIFS('P05-TenderBid'!$G$5:$G$44,'P05-TenderBid'!$A$5:$A$44,$A301)/'P05-TenderBid'!$G$16</f>
        <v>0.25396825396825401</v>
      </c>
      <c r="J301" s="54">
        <f t="shared" si="5"/>
        <v>58.196147771825792</v>
      </c>
      <c r="K301" cm="1">
        <f t="array" ref="K301">SUMPRODUCT(($A$290:$A$329=$A301)*($J$290:$J$329&gt;$J301))+1</f>
        <v>3</v>
      </c>
    </row>
    <row r="302" spans="1:11">
      <c r="A302" t="str">
        <f>'P05-TenderBid'!$A$17</f>
        <v>MEP Package</v>
      </c>
      <c r="B302" t="str">
        <f>'P05-TenderBid'!$B$17</f>
        <v>Contractor-B</v>
      </c>
      <c r="C302" s="48">
        <f>'P05-TenderBid'!$C$17</f>
        <v>3644995</v>
      </c>
      <c r="D302">
        <f>'P05-TenderBid'!$D$17</f>
        <v>204</v>
      </c>
      <c r="E302" s="22">
        <f>_xlfn.MINIFS('P05-TenderBid'!$C$5:$C$44,'P05-TenderBid'!$A$5:$A$44,$A302)/$C302</f>
        <v>0.37327486045934222</v>
      </c>
      <c r="F302" s="22">
        <f>_xlfn.MINIFS('P05-TenderBid'!$D$5:$D$44,'P05-TenderBid'!$A$5:$A$44,$A302)/$D302</f>
        <v>0.50490196078431371</v>
      </c>
      <c r="G302" s="22">
        <f>'P05-TenderBid'!$E$17/_xlfn.MAXIFS('P05-TenderBid'!$E$5:$E$44,'P05-TenderBid'!$A$5:$A$44,$A302)</f>
        <v>0.10526315789473684</v>
      </c>
      <c r="H302" s="22">
        <f>'P05-TenderBid'!$F$17/_xlfn.MAXIFS('P05-TenderBid'!$F$5:$F$44,'P05-TenderBid'!$A$5:$A$44,$A302)</f>
        <v>0.6734693877551019</v>
      </c>
      <c r="I302" s="22">
        <f>_xlfn.MINIFS('P05-TenderBid'!$G$5:$G$44,'P05-TenderBid'!$A$5:$A$44,$A302)/'P05-TenderBid'!$G$17</f>
        <v>1</v>
      </c>
      <c r="J302" s="54">
        <f t="shared" si="5"/>
        <v>46.710021818807547</v>
      </c>
      <c r="K302" cm="1">
        <f t="array" ref="K302">SUMPRODUCT(($A$290:$A$329=$A302)*($J$290:$J$329&gt;$J302))+1</f>
        <v>5</v>
      </c>
    </row>
    <row r="303" spans="1:11">
      <c r="A303" t="str">
        <f>'P05-TenderBid'!$A$18</f>
        <v>MEP Package</v>
      </c>
      <c r="B303" t="str">
        <f>'P05-TenderBid'!$B$18</f>
        <v>Contractor-F</v>
      </c>
      <c r="C303" s="48">
        <f>'P05-TenderBid'!$C$18</f>
        <v>7138581</v>
      </c>
      <c r="D303">
        <f>'P05-TenderBid'!$D$18</f>
        <v>164</v>
      </c>
      <c r="E303" s="22">
        <f>_xlfn.MINIFS('P05-TenderBid'!$C$5:$C$44,'P05-TenderBid'!$A$5:$A$44,$A303)/$C303</f>
        <v>0.19059600220267867</v>
      </c>
      <c r="F303" s="22">
        <f>_xlfn.MINIFS('P05-TenderBid'!$D$5:$D$44,'P05-TenderBid'!$A$5:$A$44,$A303)/$D303</f>
        <v>0.62804878048780488</v>
      </c>
      <c r="G303" s="22">
        <f>'P05-TenderBid'!$E$18/_xlfn.MAXIFS('P05-TenderBid'!$E$5:$E$44,'P05-TenderBid'!$A$5:$A$44,$A303)</f>
        <v>0.31578947368421051</v>
      </c>
      <c r="H303" s="22">
        <f>'P05-TenderBid'!$F$18/_xlfn.MAXIFS('P05-TenderBid'!$F$5:$F$44,'P05-TenderBid'!$A$5:$A$44,$A303)</f>
        <v>0.53061224489795922</v>
      </c>
      <c r="I303" s="22">
        <f>_xlfn.MINIFS('P05-TenderBid'!$G$5:$G$44,'P05-TenderBid'!$A$5:$A$44,$A303)/'P05-TenderBid'!$G$18</f>
        <v>0.14414414414414414</v>
      </c>
      <c r="J303" s="54">
        <f t="shared" si="5"/>
        <v>34.322282918037232</v>
      </c>
      <c r="K303" cm="1">
        <f t="array" ref="K303">SUMPRODUCT(($A$290:$A$329=$A303)*($J$290:$J$329&gt;$J303))+1</f>
        <v>8</v>
      </c>
    </row>
    <row r="304" spans="1:11">
      <c r="A304" t="str">
        <f>'P05-TenderBid'!$A$19</f>
        <v>MEP Package</v>
      </c>
      <c r="B304" t="str">
        <f>'P05-TenderBid'!$B$19</f>
        <v>Contractor-N</v>
      </c>
      <c r="C304" s="48">
        <f>'P05-TenderBid'!$C$19</f>
        <v>1664277</v>
      </c>
      <c r="D304">
        <f>'P05-TenderBid'!$D$19</f>
        <v>330</v>
      </c>
      <c r="E304" s="22">
        <f>_xlfn.MINIFS('P05-TenderBid'!$C$5:$C$44,'P05-TenderBid'!$A$5:$A$44,$A304)/$C304</f>
        <v>0.81752316471356634</v>
      </c>
      <c r="F304" s="22">
        <f>_xlfn.MINIFS('P05-TenderBid'!$D$5:$D$44,'P05-TenderBid'!$A$5:$A$44,$A304)/$D304</f>
        <v>0.31212121212121213</v>
      </c>
      <c r="G304" s="22">
        <f>'P05-TenderBid'!$E$19/_xlfn.MAXIFS('P05-TenderBid'!$E$5:$E$44,'P05-TenderBid'!$A$5:$A$44,$A304)</f>
        <v>0.84210526315789469</v>
      </c>
      <c r="H304" s="22">
        <f>'P05-TenderBid'!$F$19/_xlfn.MAXIFS('P05-TenderBid'!$F$5:$F$44,'P05-TenderBid'!$A$5:$A$44,$A304)</f>
        <v>0.81632653061224481</v>
      </c>
      <c r="I304" s="22">
        <f>_xlfn.MINIFS('P05-TenderBid'!$G$5:$G$44,'P05-TenderBid'!$A$5:$A$44,$A304)/'P05-TenderBid'!$G$19</f>
        <v>0.14678899082568808</v>
      </c>
      <c r="J304" s="54">
        <f t="shared" si="5"/>
        <v>65.287717645775871</v>
      </c>
      <c r="K304" cm="1">
        <f t="array" ref="K304">SUMPRODUCT(($A$290:$A$329=$A304)*($J$290:$J$329&gt;$J304))+1</f>
        <v>1</v>
      </c>
    </row>
    <row r="305" spans="1:11">
      <c r="A305" t="str">
        <f>'P05-TenderBid'!$A$20</f>
        <v>MEP Package</v>
      </c>
      <c r="B305" t="str">
        <f>'P05-TenderBid'!$B$20</f>
        <v>Contractor-D</v>
      </c>
      <c r="C305" s="48">
        <f>'P05-TenderBid'!$C$20</f>
        <v>7504178</v>
      </c>
      <c r="D305">
        <f>'P05-TenderBid'!$D$20</f>
        <v>166</v>
      </c>
      <c r="E305" s="22">
        <f>_xlfn.MINIFS('P05-TenderBid'!$C$5:$C$44,'P05-TenderBid'!$A$5:$A$44,$A305)/$C305</f>
        <v>0.18131033139139291</v>
      </c>
      <c r="F305" s="22">
        <f>_xlfn.MINIFS('P05-TenderBid'!$D$5:$D$44,'P05-TenderBid'!$A$5:$A$44,$A305)/$D305</f>
        <v>0.62048192771084343</v>
      </c>
      <c r="G305" s="22">
        <f>'P05-TenderBid'!$E$20/_xlfn.MAXIFS('P05-TenderBid'!$E$5:$E$44,'P05-TenderBid'!$A$5:$A$44,$A305)</f>
        <v>1</v>
      </c>
      <c r="H305" s="22">
        <f>'P05-TenderBid'!$F$20/_xlfn.MAXIFS('P05-TenderBid'!$F$5:$F$44,'P05-TenderBid'!$A$5:$A$44,$A305)</f>
        <v>1</v>
      </c>
      <c r="I305" s="22">
        <f>_xlfn.MINIFS('P05-TenderBid'!$G$5:$G$44,'P05-TenderBid'!$A$5:$A$44,$A305)/'P05-TenderBid'!$G$20</f>
        <v>0.21333333333333335</v>
      </c>
      <c r="J305" s="54">
        <f t="shared" si="5"/>
        <v>51.79538514320592</v>
      </c>
      <c r="K305" cm="1">
        <f t="array" ref="K305">SUMPRODUCT(($A$290:$A$329=$A305)*($J$290:$J$329&gt;$J305))+1</f>
        <v>4</v>
      </c>
    </row>
    <row r="306" spans="1:11">
      <c r="A306" t="str">
        <f>'P05-TenderBid'!$A$21</f>
        <v>Facade &amp; Glazing</v>
      </c>
      <c r="B306" t="str">
        <f>'P05-TenderBid'!$B$21</f>
        <v>Contractor-M</v>
      </c>
      <c r="C306" s="48">
        <f>'P05-TenderBid'!$C$21</f>
        <v>2916771</v>
      </c>
      <c r="D306">
        <f>'P05-TenderBid'!$D$21</f>
        <v>211</v>
      </c>
      <c r="E306" s="22">
        <f>_xlfn.MINIFS('P05-TenderBid'!$C$5:$C$44,'P05-TenderBid'!$A$5:$A$44,$A306)/$C306</f>
        <v>1</v>
      </c>
      <c r="F306" s="22">
        <f>_xlfn.MINIFS('P05-TenderBid'!$D$5:$D$44,'P05-TenderBid'!$A$5:$A$44,$A306)/$D306</f>
        <v>0.5781990521327014</v>
      </c>
      <c r="G306" s="22">
        <f>'P05-TenderBid'!$E$21/_xlfn.MAXIFS('P05-TenderBid'!$E$5:$E$44,'P05-TenderBid'!$A$5:$A$44,$A306)</f>
        <v>0.45833333333333331</v>
      </c>
      <c r="H306" s="22">
        <f>'P05-TenderBid'!$F$21/_xlfn.MAXIFS('P05-TenderBid'!$F$5:$F$44,'P05-TenderBid'!$A$5:$A$44,$A306)</f>
        <v>0.60869565217391308</v>
      </c>
      <c r="I306" s="22">
        <f>_xlfn.MINIFS('P05-TenderBid'!$G$5:$G$44,'P05-TenderBid'!$A$5:$A$44,$A306)/'P05-TenderBid'!$G$21</f>
        <v>0.46875</v>
      </c>
      <c r="J306" s="54">
        <f t="shared" si="5"/>
        <v>72.256915825262723</v>
      </c>
      <c r="K306" cm="1">
        <f t="array" ref="K306">SUMPRODUCT(($A$290:$A$329=$A306)*($J$290:$J$329&gt;$J306))+1</f>
        <v>2</v>
      </c>
    </row>
    <row r="307" spans="1:11">
      <c r="A307" t="str">
        <f>'P05-TenderBid'!$A$22</f>
        <v>Facade &amp; Glazing</v>
      </c>
      <c r="B307" t="str">
        <f>'P05-TenderBid'!$B$22</f>
        <v>Contractor-J</v>
      </c>
      <c r="C307" s="48">
        <f>'P05-TenderBid'!$C$22</f>
        <v>4334546</v>
      </c>
      <c r="D307">
        <f>'P05-TenderBid'!$D$22</f>
        <v>122</v>
      </c>
      <c r="E307" s="22">
        <f>_xlfn.MINIFS('P05-TenderBid'!$C$5:$C$44,'P05-TenderBid'!$A$5:$A$44,$A307)/$C307</f>
        <v>0.67291268797239667</v>
      </c>
      <c r="F307" s="22">
        <f>_xlfn.MINIFS('P05-TenderBid'!$D$5:$D$44,'P05-TenderBid'!$A$5:$A$44,$A307)/$D307</f>
        <v>1</v>
      </c>
      <c r="G307" s="22">
        <f>'P05-TenderBid'!$E$22/_xlfn.MAXIFS('P05-TenderBid'!$E$5:$E$44,'P05-TenderBid'!$A$5:$A$44,$A307)</f>
        <v>0.20833333333333334</v>
      </c>
      <c r="H307" s="22">
        <f>'P05-TenderBid'!$F$22/_xlfn.MAXIFS('P05-TenderBid'!$F$5:$F$44,'P05-TenderBid'!$A$5:$A$44,$A307)</f>
        <v>1</v>
      </c>
      <c r="I307" s="22">
        <f>_xlfn.MINIFS('P05-TenderBid'!$G$5:$G$44,'P05-TenderBid'!$A$5:$A$44,$A307)/'P05-TenderBid'!$G$22</f>
        <v>0.24193548387096772</v>
      </c>
      <c r="J307" s="54">
        <f t="shared" si="5"/>
        <v>67.460862357605549</v>
      </c>
      <c r="K307" cm="1">
        <f t="array" ref="K307">SUMPRODUCT(($A$290:$A$329=$A307)*($J$290:$J$329&gt;$J307))+1</f>
        <v>3</v>
      </c>
    </row>
    <row r="308" spans="1:11">
      <c r="A308" t="str">
        <f>'P05-TenderBid'!$A$23</f>
        <v>Facade &amp; Glazing</v>
      </c>
      <c r="B308" t="str">
        <f>'P05-TenderBid'!$B$23</f>
        <v>Contractor-K</v>
      </c>
      <c r="C308" s="48">
        <f>'P05-TenderBid'!$C$23</f>
        <v>4823284</v>
      </c>
      <c r="D308">
        <f>'P05-TenderBid'!$D$23</f>
        <v>213</v>
      </c>
      <c r="E308" s="22">
        <f>_xlfn.MINIFS('P05-TenderBid'!$C$5:$C$44,'P05-TenderBid'!$A$5:$A$44,$A308)/$C308</f>
        <v>0.60472719416895215</v>
      </c>
      <c r="F308" s="22">
        <f>_xlfn.MINIFS('P05-TenderBid'!$D$5:$D$44,'P05-TenderBid'!$A$5:$A$44,$A308)/$D308</f>
        <v>0.57276995305164324</v>
      </c>
      <c r="G308" s="22">
        <f>'P05-TenderBid'!$E$23/_xlfn.MAXIFS('P05-TenderBid'!$E$5:$E$44,'P05-TenderBid'!$A$5:$A$44,$A308)</f>
        <v>1</v>
      </c>
      <c r="H308" s="22">
        <f>'P05-TenderBid'!$F$23/_xlfn.MAXIFS('P05-TenderBid'!$F$5:$F$44,'P05-TenderBid'!$A$5:$A$44,$A308)</f>
        <v>0.63043478260869568</v>
      </c>
      <c r="I308" s="22">
        <f>_xlfn.MINIFS('P05-TenderBid'!$G$5:$G$44,'P05-TenderBid'!$A$5:$A$44,$A308)/'P05-TenderBid'!$G$23</f>
        <v>0.27777777777777773</v>
      </c>
      <c r="J308" s="54">
        <f t="shared" si="5"/>
        <v>62.878786344699165</v>
      </c>
      <c r="K308" cm="1">
        <f t="array" ref="K308">SUMPRODUCT(($A$290:$A$329=$A308)*($J$290:$J$329&gt;$J308))+1</f>
        <v>6</v>
      </c>
    </row>
    <row r="309" spans="1:11">
      <c r="A309" t="str">
        <f>'P05-TenderBid'!$A$24</f>
        <v>Facade &amp; Glazing</v>
      </c>
      <c r="B309" t="str">
        <f>'P05-TenderBid'!$B$24</f>
        <v>Contractor-D</v>
      </c>
      <c r="C309" s="48">
        <f>'P05-TenderBid'!$C$24</f>
        <v>5287074</v>
      </c>
      <c r="D309">
        <f>'P05-TenderBid'!$D$24</f>
        <v>303</v>
      </c>
      <c r="E309" s="22">
        <f>_xlfn.MINIFS('P05-TenderBid'!$C$5:$C$44,'P05-TenderBid'!$A$5:$A$44,$A309)/$C309</f>
        <v>0.55167962468465548</v>
      </c>
      <c r="F309" s="22">
        <f>_xlfn.MINIFS('P05-TenderBid'!$D$5:$D$44,'P05-TenderBid'!$A$5:$A$44,$A309)/$D309</f>
        <v>0.40264026402640263</v>
      </c>
      <c r="G309" s="22">
        <f>'P05-TenderBid'!$E$24/_xlfn.MAXIFS('P05-TenderBid'!$E$5:$E$44,'P05-TenderBid'!$A$5:$A$44,$A309)</f>
        <v>0.29166666666666669</v>
      </c>
      <c r="H309" s="22">
        <f>'P05-TenderBid'!$F$24/_xlfn.MAXIFS('P05-TenderBid'!$F$5:$F$44,'P05-TenderBid'!$A$5:$A$44,$A309)</f>
        <v>0.91304347826086962</v>
      </c>
      <c r="I309" s="22">
        <f>_xlfn.MINIFS('P05-TenderBid'!$G$5:$G$44,'P05-TenderBid'!$A$5:$A$44,$A309)/'P05-TenderBid'!$G$24</f>
        <v>1</v>
      </c>
      <c r="J309" s="54">
        <f t="shared" si="5"/>
        <v>58.190642441827322</v>
      </c>
      <c r="K309" cm="1">
        <f t="array" ref="K309">SUMPRODUCT(($A$290:$A$329=$A309)*($J$290:$J$329&gt;$J309))+1</f>
        <v>7</v>
      </c>
    </row>
    <row r="310" spans="1:11">
      <c r="A310" t="str">
        <f>'P05-TenderBid'!$A$25</f>
        <v>Facade &amp; Glazing</v>
      </c>
      <c r="B310" t="str">
        <f>'P05-TenderBid'!$B$25</f>
        <v>Contractor-B</v>
      </c>
      <c r="C310" s="48">
        <f>'P05-TenderBid'!$C$25</f>
        <v>4912906</v>
      </c>
      <c r="D310">
        <f>'P05-TenderBid'!$D$25</f>
        <v>349</v>
      </c>
      <c r="E310" s="22">
        <f>_xlfn.MINIFS('P05-TenderBid'!$C$5:$C$44,'P05-TenderBid'!$A$5:$A$44,$A310)/$C310</f>
        <v>0.5936956660681072</v>
      </c>
      <c r="F310" s="22">
        <f>_xlfn.MINIFS('P05-TenderBid'!$D$5:$D$44,'P05-TenderBid'!$A$5:$A$44,$A310)/$D310</f>
        <v>0.34957020057306593</v>
      </c>
      <c r="G310" s="22">
        <f>'P05-TenderBid'!$E$25/_xlfn.MAXIFS('P05-TenderBid'!$E$5:$E$44,'P05-TenderBid'!$A$5:$A$44,$A310)</f>
        <v>0.75</v>
      </c>
      <c r="H310" s="22">
        <f>'P05-TenderBid'!$F$25/_xlfn.MAXIFS('P05-TenderBid'!$F$5:$F$44,'P05-TenderBid'!$A$5:$A$44,$A310)</f>
        <v>0.84782608695652184</v>
      </c>
      <c r="I310" s="22">
        <f>_xlfn.MINIFS('P05-TenderBid'!$G$5:$G$44,'P05-TenderBid'!$A$5:$A$44,$A310)/'P05-TenderBid'!$G$25</f>
        <v>0.3</v>
      </c>
      <c r="J310" s="54">
        <f t="shared" si="5"/>
        <v>57.706621958533447</v>
      </c>
      <c r="K310" cm="1">
        <f t="array" ref="K310">SUMPRODUCT(($A$290:$A$329=$A310)*($J$290:$J$329&gt;$J310))+1</f>
        <v>8</v>
      </c>
    </row>
    <row r="311" spans="1:11">
      <c r="A311" t="str">
        <f>'P05-TenderBid'!$A$26</f>
        <v>Facade &amp; Glazing</v>
      </c>
      <c r="B311" t="str">
        <f>'P05-TenderBid'!$B$26</f>
        <v>Contractor-K</v>
      </c>
      <c r="C311" s="48">
        <f>'P05-TenderBid'!$C$26</f>
        <v>3745395</v>
      </c>
      <c r="D311">
        <f>'P05-TenderBid'!$D$26</f>
        <v>281</v>
      </c>
      <c r="E311" s="22">
        <f>_xlfn.MINIFS('P05-TenderBid'!$C$5:$C$44,'P05-TenderBid'!$A$5:$A$44,$A311)/$C311</f>
        <v>0.77876191963731467</v>
      </c>
      <c r="F311" s="22">
        <f>_xlfn.MINIFS('P05-TenderBid'!$D$5:$D$44,'P05-TenderBid'!$A$5:$A$44,$A311)/$D311</f>
        <v>0.43416370106761565</v>
      </c>
      <c r="G311" s="22">
        <f>'P05-TenderBid'!$E$26/_xlfn.MAXIFS('P05-TenderBid'!$E$5:$E$44,'P05-TenderBid'!$A$5:$A$44,$A311)</f>
        <v>0.41666666666666669</v>
      </c>
      <c r="H311" s="22">
        <f>'P05-TenderBid'!$F$26/_xlfn.MAXIFS('P05-TenderBid'!$F$5:$F$44,'P05-TenderBid'!$A$5:$A$44,$A311)</f>
        <v>0.95652173913043492</v>
      </c>
      <c r="I311" s="22">
        <f>_xlfn.MINIFS('P05-TenderBid'!$G$5:$G$44,'P05-TenderBid'!$A$5:$A$44,$A311)/'P05-TenderBid'!$G$26</f>
        <v>0.32608695652173914</v>
      </c>
      <c r="J311" s="54">
        <f t="shared" si="5"/>
        <v>63.692446459018825</v>
      </c>
      <c r="K311" cm="1">
        <f t="array" ref="K311">SUMPRODUCT(($A$290:$A$329=$A311)*($J$290:$J$329&gt;$J311))+1</f>
        <v>5</v>
      </c>
    </row>
    <row r="312" spans="1:11">
      <c r="A312" t="str">
        <f>'P05-TenderBid'!$A$27</f>
        <v>Facade &amp; Glazing</v>
      </c>
      <c r="B312" t="str">
        <f>'P05-TenderBid'!$B$27</f>
        <v>Contractor-D</v>
      </c>
      <c r="C312" s="48">
        <f>'P05-TenderBid'!$C$27</f>
        <v>6648354</v>
      </c>
      <c r="D312">
        <f>'P05-TenderBid'!$D$27</f>
        <v>143</v>
      </c>
      <c r="E312" s="22">
        <f>_xlfn.MINIFS('P05-TenderBid'!$C$5:$C$44,'P05-TenderBid'!$A$5:$A$44,$A312)/$C312</f>
        <v>0.43872077208885085</v>
      </c>
      <c r="F312" s="22">
        <f>_xlfn.MINIFS('P05-TenderBid'!$D$5:$D$44,'P05-TenderBid'!$A$5:$A$44,$A312)/$D312</f>
        <v>0.85314685314685312</v>
      </c>
      <c r="G312" s="22">
        <f>'P05-TenderBid'!$E$27/_xlfn.MAXIFS('P05-TenderBid'!$E$5:$E$44,'P05-TenderBid'!$A$5:$A$44,$A312)</f>
        <v>0.83333333333333337</v>
      </c>
      <c r="H312" s="22">
        <f>'P05-TenderBid'!$F$27/_xlfn.MAXIFS('P05-TenderBid'!$F$5:$F$44,'P05-TenderBid'!$A$5:$A$44,$A312)</f>
        <v>0.93478260869565222</v>
      </c>
      <c r="I312" s="22">
        <f>_xlfn.MINIFS('P05-TenderBid'!$G$5:$G$44,'P05-TenderBid'!$A$5:$A$44,$A312)/'P05-TenderBid'!$G$27</f>
        <v>0.34883720930232559</v>
      </c>
      <c r="J312" s="54">
        <f t="shared" si="5"/>
        <v>64.621879169949139</v>
      </c>
      <c r="K312" cm="1">
        <f t="array" ref="K312">SUMPRODUCT(($A$290:$A$329=$A312)*($J$290:$J$329&gt;$J312))+1</f>
        <v>4</v>
      </c>
    </row>
    <row r="313" spans="1:11">
      <c r="A313" t="str">
        <f>'P05-TenderBid'!$A$28</f>
        <v>Facade &amp; Glazing</v>
      </c>
      <c r="B313" t="str">
        <f>'P05-TenderBid'!$B$28</f>
        <v>Contractor-I</v>
      </c>
      <c r="C313" s="48">
        <f>'P05-TenderBid'!$C$28</f>
        <v>3339940</v>
      </c>
      <c r="D313">
        <f>'P05-TenderBid'!$D$28</f>
        <v>179</v>
      </c>
      <c r="E313" s="22">
        <f>_xlfn.MINIFS('P05-TenderBid'!$C$5:$C$44,'P05-TenderBid'!$A$5:$A$44,$A313)/$C313</f>
        <v>0.87330041857039353</v>
      </c>
      <c r="F313" s="22">
        <f>_xlfn.MINIFS('P05-TenderBid'!$D$5:$D$44,'P05-TenderBid'!$A$5:$A$44,$A313)/$D313</f>
        <v>0.68156424581005581</v>
      </c>
      <c r="G313" s="22">
        <f>'P05-TenderBid'!$E$28/_xlfn.MAXIFS('P05-TenderBid'!$E$5:$E$44,'P05-TenderBid'!$A$5:$A$44,$A313)</f>
        <v>0.95833333333333337</v>
      </c>
      <c r="H313" s="22">
        <f>'P05-TenderBid'!$F$28/_xlfn.MAXIFS('P05-TenderBid'!$F$5:$F$44,'P05-TenderBid'!$A$5:$A$44,$A313)</f>
        <v>0.80434782608695665</v>
      </c>
      <c r="I313" s="22">
        <f>_xlfn.MINIFS('P05-TenderBid'!$G$5:$G$44,'P05-TenderBid'!$A$5:$A$44,$A313)/'P05-TenderBid'!$G$28</f>
        <v>0.17647058823529413</v>
      </c>
      <c r="J313" s="54">
        <f t="shared" si="5"/>
        <v>76.768224932674158</v>
      </c>
      <c r="K313" cm="1">
        <f t="array" ref="K313">SUMPRODUCT(($A$290:$A$329=$A313)*($J$290:$J$329&gt;$J313))+1</f>
        <v>1</v>
      </c>
    </row>
    <row r="314" spans="1:11">
      <c r="A314" t="str">
        <f>'P05-TenderBid'!$A$29</f>
        <v>Interior Fit-out</v>
      </c>
      <c r="B314" t="str">
        <f>'P05-TenderBid'!$B$29</f>
        <v>Contractor-M</v>
      </c>
      <c r="C314" s="48">
        <f>'P05-TenderBid'!$C$29</f>
        <v>1631225</v>
      </c>
      <c r="D314">
        <f>'P05-TenderBid'!$D$29</f>
        <v>122</v>
      </c>
      <c r="E314" s="22">
        <f>_xlfn.MINIFS('P05-TenderBid'!$C$5:$C$44,'P05-TenderBid'!$A$5:$A$44,$A314)/$C314</f>
        <v>1</v>
      </c>
      <c r="F314" s="22">
        <f>_xlfn.MINIFS('P05-TenderBid'!$D$5:$D$44,'P05-TenderBid'!$A$5:$A$44,$A314)/$D314</f>
        <v>0.93442622950819676</v>
      </c>
      <c r="G314" s="22">
        <f>'P05-TenderBid'!$E$29/_xlfn.MAXIFS('P05-TenderBid'!$E$5:$E$44,'P05-TenderBid'!$A$5:$A$44,$A314)</f>
        <v>1</v>
      </c>
      <c r="H314" s="22">
        <f>'P05-TenderBid'!$F$29/_xlfn.MAXIFS('P05-TenderBid'!$F$5:$F$44,'P05-TenderBid'!$A$5:$A$44,$A314)</f>
        <v>0.97777777777777786</v>
      </c>
      <c r="I314" s="22">
        <f>_xlfn.MINIFS('P05-TenderBid'!$G$5:$G$44,'P05-TenderBid'!$A$5:$A$44,$A314)/'P05-TenderBid'!$G$29</f>
        <v>0.29310344827586204</v>
      </c>
      <c r="J314" s="54">
        <f t="shared" si="5"/>
        <v>91.286225739589227</v>
      </c>
      <c r="K314" cm="1">
        <f t="array" ref="K314">SUMPRODUCT(($A$290:$A$329=$A314)*($J$290:$J$329&gt;$J314))+1</f>
        <v>1</v>
      </c>
    </row>
    <row r="315" spans="1:11">
      <c r="A315" t="str">
        <f>'P05-TenderBid'!$A$30</f>
        <v>Interior Fit-out</v>
      </c>
      <c r="B315" t="str">
        <f>'P05-TenderBid'!$B$30</f>
        <v>Contractor-A</v>
      </c>
      <c r="C315" s="48">
        <f>'P05-TenderBid'!$C$30</f>
        <v>7136305</v>
      </c>
      <c r="D315">
        <f>'P05-TenderBid'!$D$30</f>
        <v>192</v>
      </c>
      <c r="E315" s="22">
        <f>_xlfn.MINIFS('P05-TenderBid'!$C$5:$C$44,'P05-TenderBid'!$A$5:$A$44,$A315)/$C315</f>
        <v>0.2285811775141337</v>
      </c>
      <c r="F315" s="22">
        <f>_xlfn.MINIFS('P05-TenderBid'!$D$5:$D$44,'P05-TenderBid'!$A$5:$A$44,$A315)/$D315</f>
        <v>0.59375</v>
      </c>
      <c r="G315" s="22">
        <f>'P05-TenderBid'!$E$30/_xlfn.MAXIFS('P05-TenderBid'!$E$5:$E$44,'P05-TenderBid'!$A$5:$A$44,$A315)</f>
        <v>0.125</v>
      </c>
      <c r="H315" s="22">
        <f>'P05-TenderBid'!$F$30/_xlfn.MAXIFS('P05-TenderBid'!$F$5:$F$44,'P05-TenderBid'!$A$5:$A$44,$A315)</f>
        <v>0.73333333333333328</v>
      </c>
      <c r="I315" s="22">
        <f>_xlfn.MINIFS('P05-TenderBid'!$G$5:$G$44,'P05-TenderBid'!$A$5:$A$44,$A315)/'P05-TenderBid'!$G$30</f>
        <v>0.41463414634146345</v>
      </c>
      <c r="J315" s="54">
        <f t="shared" si="5"/>
        <v>38.03958856397999</v>
      </c>
      <c r="K315" cm="1">
        <f t="array" ref="K315">SUMPRODUCT(($A$290:$A$329=$A315)*($J$290:$J$329&gt;$J315))+1</f>
        <v>7</v>
      </c>
    </row>
    <row r="316" spans="1:11">
      <c r="A316" t="str">
        <f>'P05-TenderBid'!$A$31</f>
        <v>Interior Fit-out</v>
      </c>
      <c r="B316" t="str">
        <f>'P05-TenderBid'!$B$31</f>
        <v>Contractor-N</v>
      </c>
      <c r="C316" s="48">
        <f>'P05-TenderBid'!$C$31</f>
        <v>5055271</v>
      </c>
      <c r="D316">
        <f>'P05-TenderBid'!$D$31</f>
        <v>332</v>
      </c>
      <c r="E316" s="22">
        <f>_xlfn.MINIFS('P05-TenderBid'!$C$5:$C$44,'P05-TenderBid'!$A$5:$A$44,$A316)/$C316</f>
        <v>0.32267805227454671</v>
      </c>
      <c r="F316" s="22">
        <f>_xlfn.MINIFS('P05-TenderBid'!$D$5:$D$44,'P05-TenderBid'!$A$5:$A$44,$A316)/$D316</f>
        <v>0.34337349397590361</v>
      </c>
      <c r="G316" s="22">
        <f>'P05-TenderBid'!$E$31/_xlfn.MAXIFS('P05-TenderBid'!$E$5:$E$44,'P05-TenderBid'!$A$5:$A$44,$A316)</f>
        <v>0.41666666666666669</v>
      </c>
      <c r="H316" s="22">
        <f>'P05-TenderBid'!$F$31/_xlfn.MAXIFS('P05-TenderBid'!$F$5:$F$44,'P05-TenderBid'!$A$5:$A$44,$A316)</f>
        <v>0.57777777777777783</v>
      </c>
      <c r="I316" s="22">
        <f>_xlfn.MINIFS('P05-TenderBid'!$G$5:$G$44,'P05-TenderBid'!$A$5:$A$44,$A316)/'P05-TenderBid'!$G$31</f>
        <v>0.2151898734177215</v>
      </c>
      <c r="J316" s="54">
        <f t="shared" si="5"/>
        <v>36.843157371343821</v>
      </c>
      <c r="K316" cm="1">
        <f t="array" ref="K316">SUMPRODUCT(($A$290:$A$329=$A316)*($J$290:$J$329&gt;$J316))+1</f>
        <v>8</v>
      </c>
    </row>
    <row r="317" spans="1:11">
      <c r="A317" t="str">
        <f>'P05-TenderBid'!$A$32</f>
        <v>Interior Fit-out</v>
      </c>
      <c r="B317" t="str">
        <f>'P05-TenderBid'!$B$32</f>
        <v>Contractor-N</v>
      </c>
      <c r="C317" s="48">
        <f>'P05-TenderBid'!$C$32</f>
        <v>7050173</v>
      </c>
      <c r="D317">
        <f>'P05-TenderBid'!$D$32</f>
        <v>114</v>
      </c>
      <c r="E317" s="22">
        <f>_xlfn.MINIFS('P05-TenderBid'!$C$5:$C$44,'P05-TenderBid'!$A$5:$A$44,$A317)/$C317</f>
        <v>0.23137375494190002</v>
      </c>
      <c r="F317" s="22">
        <f>_xlfn.MINIFS('P05-TenderBid'!$D$5:$D$44,'P05-TenderBid'!$A$5:$A$44,$A317)/$D317</f>
        <v>1</v>
      </c>
      <c r="G317" s="22">
        <f>'P05-TenderBid'!$E$32/_xlfn.MAXIFS('P05-TenderBid'!$E$5:$E$44,'P05-TenderBid'!$A$5:$A$44,$A317)</f>
        <v>0.91666666666666663</v>
      </c>
      <c r="H317" s="22">
        <f>'P05-TenderBid'!$F$32/_xlfn.MAXIFS('P05-TenderBid'!$F$5:$F$44,'P05-TenderBid'!$A$5:$A$44,$A317)</f>
        <v>0.73333333333333328</v>
      </c>
      <c r="I317" s="22">
        <f>_xlfn.MINIFS('P05-TenderBid'!$G$5:$G$44,'P05-TenderBid'!$A$5:$A$44,$A317)/'P05-TenderBid'!$G$32</f>
        <v>0.89473684210526316</v>
      </c>
      <c r="J317" s="54">
        <f t="shared" si="5"/>
        <v>62.952318618728633</v>
      </c>
      <c r="K317" cm="1">
        <f t="array" ref="K317">SUMPRODUCT(($A$290:$A$329=$A317)*($J$290:$J$329&gt;$J317))+1</f>
        <v>3</v>
      </c>
    </row>
    <row r="318" spans="1:11">
      <c r="A318" t="str">
        <f>'P05-TenderBid'!$A$33</f>
        <v>Interior Fit-out</v>
      </c>
      <c r="B318" t="str">
        <f>'P05-TenderBid'!$B$33</f>
        <v>Contractor-O</v>
      </c>
      <c r="C318" s="48">
        <f>'P05-TenderBid'!$C$33</f>
        <v>3855625</v>
      </c>
      <c r="D318">
        <f>'P05-TenderBid'!$D$33</f>
        <v>315</v>
      </c>
      <c r="E318" s="22">
        <f>_xlfn.MINIFS('P05-TenderBid'!$C$5:$C$44,'P05-TenderBid'!$A$5:$A$44,$A318)/$C318</f>
        <v>0.4230766736910358</v>
      </c>
      <c r="F318" s="22">
        <f>_xlfn.MINIFS('P05-TenderBid'!$D$5:$D$44,'P05-TenderBid'!$A$5:$A$44,$A318)/$D318</f>
        <v>0.3619047619047619</v>
      </c>
      <c r="G318" s="22">
        <f>'P05-TenderBid'!$E$33/_xlfn.MAXIFS('P05-TenderBid'!$E$5:$E$44,'P05-TenderBid'!$A$5:$A$44,$A318)</f>
        <v>0.58333333333333337</v>
      </c>
      <c r="H318" s="22">
        <f>'P05-TenderBid'!$F$33/_xlfn.MAXIFS('P05-TenderBid'!$F$5:$F$44,'P05-TenderBid'!$A$5:$A$44,$A318)</f>
        <v>0.73333333333333328</v>
      </c>
      <c r="I318" s="22">
        <f>_xlfn.MINIFS('P05-TenderBid'!$G$5:$G$44,'P05-TenderBid'!$A$5:$A$44,$A318)/'P05-TenderBid'!$G$33</f>
        <v>0.65384615384615385</v>
      </c>
      <c r="J318" s="54">
        <f t="shared" si="5"/>
        <v>50.449623724198212</v>
      </c>
      <c r="K318" cm="1">
        <f t="array" ref="K318">SUMPRODUCT(($A$290:$A$329=$A318)*($J$290:$J$329&gt;$J318))+1</f>
        <v>5</v>
      </c>
    </row>
    <row r="319" spans="1:11">
      <c r="A319" t="str">
        <f>'P05-TenderBid'!$A$34</f>
        <v>Interior Fit-out</v>
      </c>
      <c r="B319" t="str">
        <f>'P05-TenderBid'!$B$34</f>
        <v>Contractor-F</v>
      </c>
      <c r="C319" s="48">
        <f>'P05-TenderBid'!$C$34</f>
        <v>7188160</v>
      </c>
      <c r="D319">
        <f>'P05-TenderBid'!$D$34</f>
        <v>355</v>
      </c>
      <c r="E319" s="22">
        <f>_xlfn.MINIFS('P05-TenderBid'!$C$5:$C$44,'P05-TenderBid'!$A$5:$A$44,$A319)/$C319</f>
        <v>0.22693220518185461</v>
      </c>
      <c r="F319" s="22">
        <f>_xlfn.MINIFS('P05-TenderBid'!$D$5:$D$44,'P05-TenderBid'!$A$5:$A$44,$A319)/$D319</f>
        <v>0.3211267605633803</v>
      </c>
      <c r="G319" s="22">
        <f>'P05-TenderBid'!$E$34/_xlfn.MAXIFS('P05-TenderBid'!$E$5:$E$44,'P05-TenderBid'!$A$5:$A$44,$A319)</f>
        <v>0.41666666666666669</v>
      </c>
      <c r="H319" s="22">
        <f>'P05-TenderBid'!$F$34/_xlfn.MAXIFS('P05-TenderBid'!$F$5:$F$44,'P05-TenderBid'!$A$5:$A$44,$A319)</f>
        <v>1</v>
      </c>
      <c r="I319" s="22">
        <f>_xlfn.MINIFS('P05-TenderBid'!$G$5:$G$44,'P05-TenderBid'!$A$5:$A$44,$A319)/'P05-TenderBid'!$G$34</f>
        <v>0.19101123595505617</v>
      </c>
      <c r="J319" s="54">
        <f t="shared" si="5"/>
        <v>38.659935778092361</v>
      </c>
      <c r="K319" cm="1">
        <f t="array" ref="K319">SUMPRODUCT(($A$290:$A$329=$A319)*($J$290:$J$329&gt;$J319))+1</f>
        <v>6</v>
      </c>
    </row>
    <row r="320" spans="1:11">
      <c r="A320" t="str">
        <f>'P05-TenderBid'!$A$35</f>
        <v>Interior Fit-out</v>
      </c>
      <c r="B320" t="str">
        <f>'P05-TenderBid'!$B$35</f>
        <v>Contractor-J</v>
      </c>
      <c r="C320" s="48">
        <f>'P05-TenderBid'!$C$35</f>
        <v>7398298</v>
      </c>
      <c r="D320">
        <f>'P05-TenderBid'!$D$35</f>
        <v>182</v>
      </c>
      <c r="E320" s="22">
        <f>_xlfn.MINIFS('P05-TenderBid'!$C$5:$C$44,'P05-TenderBid'!$A$5:$A$44,$A320)/$C320</f>
        <v>0.22048652271103436</v>
      </c>
      <c r="F320" s="22">
        <f>_xlfn.MINIFS('P05-TenderBid'!$D$5:$D$44,'P05-TenderBid'!$A$5:$A$44,$A320)/$D320</f>
        <v>0.62637362637362637</v>
      </c>
      <c r="G320" s="22">
        <f>'P05-TenderBid'!$E$35/_xlfn.MAXIFS('P05-TenderBid'!$E$5:$E$44,'P05-TenderBid'!$A$5:$A$44,$A320)</f>
        <v>0.79166666666666663</v>
      </c>
      <c r="H320" s="22">
        <f>'P05-TenderBid'!$F$35/_xlfn.MAXIFS('P05-TenderBid'!$F$5:$F$44,'P05-TenderBid'!$A$5:$A$44,$A320)</f>
        <v>0.71111111111111114</v>
      </c>
      <c r="I320" s="22">
        <f>_xlfn.MINIFS('P05-TenderBid'!$G$5:$G$44,'P05-TenderBid'!$A$5:$A$44,$A320)/'P05-TenderBid'!$G$35</f>
        <v>1</v>
      </c>
      <c r="J320" s="54">
        <f t="shared" si="5"/>
        <v>53.888600102580561</v>
      </c>
      <c r="K320" cm="1">
        <f t="array" ref="K320">SUMPRODUCT(($A$290:$A$329=$A320)*($J$290:$J$329&gt;$J320))+1</f>
        <v>4</v>
      </c>
    </row>
    <row r="321" spans="1:11">
      <c r="A321" t="str">
        <f>'P05-TenderBid'!$A$36</f>
        <v>Interior Fit-out</v>
      </c>
      <c r="B321" t="str">
        <f>'P05-TenderBid'!$B$36</f>
        <v>Contractor-E</v>
      </c>
      <c r="C321" s="48">
        <f>'P05-TenderBid'!$C$36</f>
        <v>3071073</v>
      </c>
      <c r="D321">
        <f>'P05-TenderBid'!$D$36</f>
        <v>318</v>
      </c>
      <c r="E321" s="22">
        <f>_xlfn.MINIFS('P05-TenderBid'!$C$5:$C$44,'P05-TenderBid'!$A$5:$A$44,$A321)/$C321</f>
        <v>0.53115800243107214</v>
      </c>
      <c r="F321" s="22">
        <f>_xlfn.MINIFS('P05-TenderBid'!$D$5:$D$44,'P05-TenderBid'!$A$5:$A$44,$A321)/$D321</f>
        <v>0.35849056603773582</v>
      </c>
      <c r="G321" s="22">
        <f>'P05-TenderBid'!$E$36/_xlfn.MAXIFS('P05-TenderBid'!$E$5:$E$44,'P05-TenderBid'!$A$5:$A$44,$A321)</f>
        <v>0.875</v>
      </c>
      <c r="H321" s="22">
        <f>'P05-TenderBid'!$F$36/_xlfn.MAXIFS('P05-TenderBid'!$F$5:$F$44,'P05-TenderBid'!$A$5:$A$44,$A321)</f>
        <v>0.95555555555555549</v>
      </c>
      <c r="I321" s="22">
        <f>_xlfn.MINIFS('P05-TenderBid'!$G$5:$G$44,'P05-TenderBid'!$A$5:$A$44,$A321)/'P05-TenderBid'!$G$36</f>
        <v>0.70833333333333337</v>
      </c>
      <c r="J321" s="54">
        <f t="shared" si="5"/>
        <v>62.957798084664262</v>
      </c>
      <c r="K321" cm="1">
        <f t="array" ref="K321">SUMPRODUCT(($A$290:$A$329=$A321)*($J$290:$J$329&gt;$J321))+1</f>
        <v>2</v>
      </c>
    </row>
    <row r="322" spans="1:11">
      <c r="A322" t="str">
        <f>'P05-TenderBid'!$A$37</f>
        <v>Landscaping</v>
      </c>
      <c r="B322" t="str">
        <f>'P05-TenderBid'!$B$37</f>
        <v>Contractor-H</v>
      </c>
      <c r="C322" s="48">
        <f>'P05-TenderBid'!$C$37</f>
        <v>855300</v>
      </c>
      <c r="D322">
        <f>'P05-TenderBid'!$D$37</f>
        <v>270</v>
      </c>
      <c r="E322" s="22">
        <f>_xlfn.MINIFS('P05-TenderBid'!$C$5:$C$44,'P05-TenderBid'!$A$5:$A$44,$A322)/$C322</f>
        <v>1</v>
      </c>
      <c r="F322" s="22">
        <f>_xlfn.MINIFS('P05-TenderBid'!$D$5:$D$44,'P05-TenderBid'!$A$5:$A$44,$A322)/$D322</f>
        <v>0.3925925925925926</v>
      </c>
      <c r="G322" s="22">
        <f>'P05-TenderBid'!$E$37/_xlfn.MAXIFS('P05-TenderBid'!$E$5:$E$44,'P05-TenderBid'!$A$5:$A$44,$A322)</f>
        <v>1</v>
      </c>
      <c r="H322" s="22">
        <f>'P05-TenderBid'!$F$37/_xlfn.MAXIFS('P05-TenderBid'!$F$5:$F$44,'P05-TenderBid'!$A$5:$A$44,$A322)</f>
        <v>1</v>
      </c>
      <c r="I322" s="22">
        <f>_xlfn.MINIFS('P05-TenderBid'!$G$5:$G$44,'P05-TenderBid'!$A$5:$A$44,$A322)/'P05-TenderBid'!$G$37</f>
        <v>0.37837837837837834</v>
      </c>
      <c r="J322" s="54">
        <f t="shared" si="5"/>
        <v>81.635635635635651</v>
      </c>
      <c r="K322" cm="1">
        <f t="array" ref="K322">SUMPRODUCT(($A$290:$A$329=$A322)*($J$290:$J$329&gt;$J322))+1</f>
        <v>1</v>
      </c>
    </row>
    <row r="323" spans="1:11">
      <c r="A323" t="str">
        <f>'P05-TenderBid'!$A$38</f>
        <v>Landscaping</v>
      </c>
      <c r="B323" t="str">
        <f>'P05-TenderBid'!$B$38</f>
        <v>Contractor-A</v>
      </c>
      <c r="C323" s="48">
        <f>'P05-TenderBid'!$C$38</f>
        <v>1129490</v>
      </c>
      <c r="D323">
        <f>'P05-TenderBid'!$D$38</f>
        <v>297</v>
      </c>
      <c r="E323" s="22">
        <f>_xlfn.MINIFS('P05-TenderBid'!$C$5:$C$44,'P05-TenderBid'!$A$5:$A$44,$A323)/$C323</f>
        <v>0.75724442004798631</v>
      </c>
      <c r="F323" s="22">
        <f>_xlfn.MINIFS('P05-TenderBid'!$D$5:$D$44,'P05-TenderBid'!$A$5:$A$44,$A323)/$D323</f>
        <v>0.35690235690235689</v>
      </c>
      <c r="G323" s="22">
        <f>'P05-TenderBid'!$E$38/_xlfn.MAXIFS('P05-TenderBid'!$E$5:$E$44,'P05-TenderBid'!$A$5:$A$44,$A323)</f>
        <v>0.61904761904761907</v>
      </c>
      <c r="H323" s="22">
        <f>'P05-TenderBid'!$F$38/_xlfn.MAXIFS('P05-TenderBid'!$F$5:$F$44,'P05-TenderBid'!$A$5:$A$44,$A323)</f>
        <v>0.76</v>
      </c>
      <c r="I323" s="22">
        <f>_xlfn.MINIFS('P05-TenderBid'!$G$5:$G$44,'P05-TenderBid'!$A$5:$A$44,$A323)/'P05-TenderBid'!$G$38</f>
        <v>0.15384615384615385</v>
      </c>
      <c r="J323" s="54">
        <f t="shared" si="5"/>
        <v>59.651999764142417</v>
      </c>
      <c r="K323" cm="1">
        <f t="array" ref="K323">SUMPRODUCT(($A$290:$A$329=$A323)*($J$290:$J$329&gt;$J323))+1</f>
        <v>2</v>
      </c>
    </row>
    <row r="324" spans="1:11">
      <c r="A324" t="str">
        <f>'P05-TenderBid'!$A$39</f>
        <v>Landscaping</v>
      </c>
      <c r="B324" t="str">
        <f>'P05-TenderBid'!$B$39</f>
        <v>Contractor-A</v>
      </c>
      <c r="C324" s="48">
        <f>'P05-TenderBid'!$C$39</f>
        <v>1697720</v>
      </c>
      <c r="D324">
        <f>'P05-TenderBid'!$D$39</f>
        <v>314</v>
      </c>
      <c r="E324" s="22">
        <f>_xlfn.MINIFS('P05-TenderBid'!$C$5:$C$44,'P05-TenderBid'!$A$5:$A$44,$A324)/$C324</f>
        <v>0.50379332280941502</v>
      </c>
      <c r="F324" s="22">
        <f>_xlfn.MINIFS('P05-TenderBid'!$D$5:$D$44,'P05-TenderBid'!$A$5:$A$44,$A324)/$D324</f>
        <v>0.33757961783439489</v>
      </c>
      <c r="G324" s="22">
        <f>'P05-TenderBid'!$E$39/_xlfn.MAXIFS('P05-TenderBid'!$E$5:$E$44,'P05-TenderBid'!$A$5:$A$44,$A324)</f>
        <v>0.14285714285714285</v>
      </c>
      <c r="H324" s="22">
        <f>'P05-TenderBid'!$F$39/_xlfn.MAXIFS('P05-TenderBid'!$F$5:$F$44,'P05-TenderBid'!$A$5:$A$44,$A324)</f>
        <v>0.55999999999999994</v>
      </c>
      <c r="I324" s="22">
        <f>_xlfn.MINIFS('P05-TenderBid'!$G$5:$G$44,'P05-TenderBid'!$A$5:$A$44,$A324)/'P05-TenderBid'!$G$39</f>
        <v>0.43749999999999994</v>
      </c>
      <c r="J324" s="54">
        <f t="shared" si="5"/>
        <v>41.82118241192164</v>
      </c>
      <c r="K324" cm="1">
        <f t="array" ref="K324">SUMPRODUCT(($A$290:$A$329=$A324)*($J$290:$J$329&gt;$J324))+1</f>
        <v>7</v>
      </c>
    </row>
    <row r="325" spans="1:11">
      <c r="A325" t="str">
        <f>'P05-TenderBid'!$A$40</f>
        <v>Landscaping</v>
      </c>
      <c r="B325" t="str">
        <f>'P05-TenderBid'!$B$40</f>
        <v>Contractor-F</v>
      </c>
      <c r="C325" s="48">
        <f>'P05-TenderBid'!$C$40</f>
        <v>3711615</v>
      </c>
      <c r="D325">
        <f>'P05-TenderBid'!$D$40</f>
        <v>106</v>
      </c>
      <c r="E325" s="22">
        <f>_xlfn.MINIFS('P05-TenderBid'!$C$5:$C$44,'P05-TenderBid'!$A$5:$A$44,$A325)/$C325</f>
        <v>0.23043877126264442</v>
      </c>
      <c r="F325" s="22">
        <f>_xlfn.MINIFS('P05-TenderBid'!$D$5:$D$44,'P05-TenderBid'!$A$5:$A$44,$A325)/$D325</f>
        <v>1</v>
      </c>
      <c r="G325" s="22">
        <f>'P05-TenderBid'!$E$40/_xlfn.MAXIFS('P05-TenderBid'!$E$5:$E$44,'P05-TenderBid'!$A$5:$A$44,$A325)</f>
        <v>1</v>
      </c>
      <c r="H325" s="22">
        <f>'P05-TenderBid'!$F$40/_xlfn.MAXIFS('P05-TenderBid'!$F$5:$F$44,'P05-TenderBid'!$A$5:$A$44,$A325)</f>
        <v>0.57999999999999996</v>
      </c>
      <c r="I325" s="22">
        <f>_xlfn.MINIFS('P05-TenderBid'!$G$5:$G$44,'P05-TenderBid'!$A$5:$A$44,$A325)/'P05-TenderBid'!$G$40</f>
        <v>0.24561403508771928</v>
      </c>
      <c r="J325" s="54">
        <f t="shared" si="5"/>
        <v>55.373691201382968</v>
      </c>
      <c r="K325" cm="1">
        <f t="array" ref="K325">SUMPRODUCT(($A$290:$A$329=$A325)*($J$290:$J$329&gt;$J325))+1</f>
        <v>4</v>
      </c>
    </row>
    <row r="326" spans="1:11">
      <c r="A326" t="str">
        <f>'P05-TenderBid'!$A$41</f>
        <v>Landscaping</v>
      </c>
      <c r="B326" t="str">
        <f>'P05-TenderBid'!$B$41</f>
        <v>Contractor-H</v>
      </c>
      <c r="C326" s="48">
        <f>'P05-TenderBid'!$C$41</f>
        <v>6901216</v>
      </c>
      <c r="D326">
        <f>'P05-TenderBid'!$D$41</f>
        <v>129</v>
      </c>
      <c r="E326" s="22">
        <f>_xlfn.MINIFS('P05-TenderBid'!$C$5:$C$44,'P05-TenderBid'!$A$5:$A$44,$A326)/$C326</f>
        <v>0.12393468049688634</v>
      </c>
      <c r="F326" s="22">
        <f>_xlfn.MINIFS('P05-TenderBid'!$D$5:$D$44,'P05-TenderBid'!$A$5:$A$44,$A326)/$D326</f>
        <v>0.82170542635658916</v>
      </c>
      <c r="G326" s="22">
        <f>'P05-TenderBid'!$E$41/_xlfn.MAXIFS('P05-TenderBid'!$E$5:$E$44,'P05-TenderBid'!$A$5:$A$44,$A326)</f>
        <v>0.95238095238095233</v>
      </c>
      <c r="H326" s="22">
        <f>'P05-TenderBid'!$F$41/_xlfn.MAXIFS('P05-TenderBid'!$F$5:$F$44,'P05-TenderBid'!$A$5:$A$44,$A326)</f>
        <v>0.55999999999999994</v>
      </c>
      <c r="I326" s="22">
        <f>_xlfn.MINIFS('P05-TenderBid'!$G$5:$G$44,'P05-TenderBid'!$A$5:$A$44,$A326)/'P05-TenderBid'!$G$41</f>
        <v>0.2978723404255319</v>
      </c>
      <c r="J326" s="54">
        <f t="shared" si="5"/>
        <v>47.055933436976844</v>
      </c>
      <c r="K326" cm="1">
        <f t="array" ref="K326">SUMPRODUCT(($A$290:$A$329=$A326)*($J$290:$J$329&gt;$J326))+1</f>
        <v>5</v>
      </c>
    </row>
    <row r="327" spans="1:11">
      <c r="A327" t="str">
        <f>'P05-TenderBid'!$A$42</f>
        <v>Landscaping</v>
      </c>
      <c r="B327" t="str">
        <f>'P05-TenderBid'!$B$42</f>
        <v>Contractor-E</v>
      </c>
      <c r="C327" s="48">
        <f>'P05-TenderBid'!$C$42</f>
        <v>2593894</v>
      </c>
      <c r="D327">
        <f>'P05-TenderBid'!$D$42</f>
        <v>148</v>
      </c>
      <c r="E327" s="22">
        <f>_xlfn.MINIFS('P05-TenderBid'!$C$5:$C$44,'P05-TenderBid'!$A$5:$A$44,$A327)/$C327</f>
        <v>0.32973591056535079</v>
      </c>
      <c r="F327" s="22">
        <f>_xlfn.MINIFS('P05-TenderBid'!$D$5:$D$44,'P05-TenderBid'!$A$5:$A$44,$A327)/$D327</f>
        <v>0.71621621621621623</v>
      </c>
      <c r="G327" s="22">
        <f>'P05-TenderBid'!$E$42/_xlfn.MAXIFS('P05-TenderBid'!$E$5:$E$44,'P05-TenderBid'!$A$5:$A$44,$A327)</f>
        <v>9.5238095238095233E-2</v>
      </c>
      <c r="H327" s="22">
        <f>'P05-TenderBid'!$F$42/_xlfn.MAXIFS('P05-TenderBid'!$F$5:$F$44,'P05-TenderBid'!$A$5:$A$44,$A327)</f>
        <v>0.86</v>
      </c>
      <c r="I327" s="22">
        <f>_xlfn.MINIFS('P05-TenderBid'!$G$5:$G$44,'P05-TenderBid'!$A$5:$A$44,$A327)/'P05-TenderBid'!$G$42</f>
        <v>0.22580645161290319</v>
      </c>
      <c r="J327" s="54">
        <f t="shared" si="5"/>
        <v>44.100396691638814</v>
      </c>
      <c r="K327" cm="1">
        <f t="array" ref="K327">SUMPRODUCT(($A$290:$A$329=$A327)*($J$290:$J$329&gt;$J327))+1</f>
        <v>6</v>
      </c>
    </row>
    <row r="328" spans="1:11">
      <c r="A328" t="str">
        <f>'P05-TenderBid'!$A$43</f>
        <v>Landscaping</v>
      </c>
      <c r="B328" t="str">
        <f>'P05-TenderBid'!$B$43</f>
        <v>Contractor-I</v>
      </c>
      <c r="C328" s="48">
        <f>'P05-TenderBid'!$C$43</f>
        <v>1487850</v>
      </c>
      <c r="D328">
        <f>'P05-TenderBid'!$D$43</f>
        <v>224</v>
      </c>
      <c r="E328" s="22">
        <f>_xlfn.MINIFS('P05-TenderBid'!$C$5:$C$44,'P05-TenderBid'!$A$5:$A$44,$A328)/$C328</f>
        <v>0.57485633632422628</v>
      </c>
      <c r="F328" s="22">
        <f>_xlfn.MINIFS('P05-TenderBid'!$D$5:$D$44,'P05-TenderBid'!$A$5:$A$44,$A328)/$D328</f>
        <v>0.4732142857142857</v>
      </c>
      <c r="G328" s="22">
        <f>'P05-TenderBid'!$E$43/_xlfn.MAXIFS('P05-TenderBid'!$E$5:$E$44,'P05-TenderBid'!$A$5:$A$44,$A328)</f>
        <v>0.47619047619047616</v>
      </c>
      <c r="H328" s="22">
        <f>'P05-TenderBid'!$F$43/_xlfn.MAXIFS('P05-TenderBid'!$F$5:$F$44,'P05-TenderBid'!$A$5:$A$44,$A328)</f>
        <v>0.86</v>
      </c>
      <c r="I328" s="22">
        <f>_xlfn.MINIFS('P05-TenderBid'!$G$5:$G$44,'P05-TenderBid'!$A$5:$A$44,$A328)/'P05-TenderBid'!$G$43</f>
        <v>0.46666666666666662</v>
      </c>
      <c r="J328" s="54">
        <f t="shared" si="5"/>
        <v>57.168062976778565</v>
      </c>
      <c r="K328" cm="1">
        <f t="array" ref="K328">SUMPRODUCT(($A$290:$A$329=$A328)*($J$290:$J$329&gt;$J328))+1</f>
        <v>3</v>
      </c>
    </row>
    <row r="329" spans="1:11">
      <c r="A329" t="str">
        <f>'P05-TenderBid'!$A$44</f>
        <v>Landscaping</v>
      </c>
      <c r="B329" t="str">
        <f>'P05-TenderBid'!$B$44</f>
        <v>Contractor-L</v>
      </c>
      <c r="C329" s="48">
        <f>'P05-TenderBid'!$C$44</f>
        <v>4620485</v>
      </c>
      <c r="D329">
        <f>'P05-TenderBid'!$D$44</f>
        <v>192</v>
      </c>
      <c r="E329" s="22">
        <f>_xlfn.MINIFS('P05-TenderBid'!$C$5:$C$44,'P05-TenderBid'!$A$5:$A$44,$A329)/$C329</f>
        <v>0.18511043754064779</v>
      </c>
      <c r="F329" s="22">
        <f>_xlfn.MINIFS('P05-TenderBid'!$D$5:$D$44,'P05-TenderBid'!$A$5:$A$44,$A329)/$D329</f>
        <v>0.55208333333333337</v>
      </c>
      <c r="G329" s="22">
        <f>'P05-TenderBid'!$E$44/_xlfn.MAXIFS('P05-TenderBid'!$E$5:$E$44,'P05-TenderBid'!$A$5:$A$44,$A329)</f>
        <v>0.23809523809523808</v>
      </c>
      <c r="H329" s="22">
        <f>'P05-TenderBid'!$F$44/_xlfn.MAXIFS('P05-TenderBid'!$F$5:$F$44,'P05-TenderBid'!$A$5:$A$44,$A329)</f>
        <v>0.55999999999999994</v>
      </c>
      <c r="I329" s="22">
        <f>_xlfn.MINIFS('P05-TenderBid'!$G$5:$G$44,'P05-TenderBid'!$A$5:$A$44,$A329)/'P05-TenderBid'!$G$44</f>
        <v>1</v>
      </c>
      <c r="J329" s="54">
        <f t="shared" si="5"/>
        <v>40.417512739721154</v>
      </c>
      <c r="K329" cm="1">
        <f t="array" ref="K329">SUMPRODUCT(($A$290:$A$329=$A329)*($J$290:$J$329&gt;$J329))+1</f>
        <v>8</v>
      </c>
    </row>
    <row r="330" spans="1:11">
      <c r="A330" s="44" t="str">
        <f>"ANSWER: Scores are normalised within each package (best value = 1.0) and weighted 40/20/15/15/10. The strongest bid overall is "&amp;INDEX($B$290:$B$329,MATCH(MAX($J$290:$J$329),$J$290:$J$329,0))&amp;" on "&amp;INDEX($A$290:$A$329,MATCH(MAX($J$290:$J$329),$J$290:$J$329,0))&amp;" with "&amp;TEXT(MAX($J$290:$J$329),"0.0")&amp;"/100; the weakest is "&amp;INDEX($B$290:$B$329,MATCH(MIN($J$290:$J$329),$J$290:$J$329,0))&amp;" on "&amp;INDEX($A$290:$A$329,MATCH(MIN($J$290:$J$329),$J$290:$J$329,0))&amp;" with "&amp;TEXT(MIN($J$290:$J$329),"0.0")&amp;". Column K gives the rank inside each package — award recommendations are the Rank 1 rows."</f>
        <v>ANSWER: Scores are normalised within each package (best value = 1.0) and weighted 40/20/15/15/10. The strongest bid overall is Contractor-M on Interior Fit-out with 91.3/100; the weakest is Contractor-F on MEP Package with 34.3. Column K gives the rank inside each package — award recommendations are the Rank 1 rows.</v>
      </c>
    </row>
    <row r="332" spans="1:11">
      <c r="A332" s="42" t="s">
        <v>432</v>
      </c>
    </row>
    <row r="333" spans="1:11">
      <c r="A333" s="43" t="s">
        <v>406</v>
      </c>
      <c r="B333" s="43" t="s">
        <v>1442</v>
      </c>
      <c r="C333" s="43" t="s">
        <v>1443</v>
      </c>
      <c r="D333" s="43" t="s">
        <v>1444</v>
      </c>
      <c r="E333" s="43" t="s">
        <v>1445</v>
      </c>
      <c r="F333" s="43" t="s">
        <v>1446</v>
      </c>
      <c r="G333" s="43" t="s">
        <v>1447</v>
      </c>
      <c r="H333" s="43" t="s">
        <v>1448</v>
      </c>
    </row>
    <row r="334" spans="1:11">
      <c r="A334" t="s">
        <v>417</v>
      </c>
      <c r="B334">
        <f>COUNTIF('P05-TenderBid'!$B$5:$B$44,$A334)</f>
        <v>4</v>
      </c>
      <c r="C334" cm="1">
        <f t="array" ref="C334">SUMPRODUCT(($B$290:$B$329=$A334)*1)</f>
        <v>4</v>
      </c>
      <c r="D334" s="54">
        <f t="shared" ref="D334:D346" si="6">AVERAGEIF($B$290:$B$329,$A334,$J$290:$J$329)</f>
        <v>49.70839044029448</v>
      </c>
      <c r="E334" s="22" cm="1">
        <f t="array" ref="E334">SUMPRODUCT(($B$290:$B$329=$A334)*(1/$E$290:$E$329))/$B334</f>
        <v>2.3695393891940983</v>
      </c>
      <c r="F334" s="48">
        <f>SUMIF('P05-TenderBid'!$B$5:$B$44,$A334,'P05-TenderBid'!$C$5:$C$44)</f>
        <v>16016179</v>
      </c>
      <c r="G334">
        <f t="shared" ref="G334:G346" si="7">_xlfn.MINIFS($K$290:$K$329,$B$290:$B$329,$A334)</f>
        <v>2</v>
      </c>
      <c r="H334" t="str">
        <f t="shared" ref="H334:H346" si="8">IF(B334&gt;1,"Yes — "&amp;B334&amp;" bids","No")</f>
        <v>Yes — 4 bids</v>
      </c>
    </row>
    <row r="335" spans="1:11">
      <c r="A335" t="s">
        <v>422</v>
      </c>
      <c r="B335">
        <f>COUNTIF('P05-TenderBid'!$B$5:$B$44,$A335)</f>
        <v>2</v>
      </c>
      <c r="C335" cm="1">
        <f t="array" ref="C335">SUMPRODUCT(($B$290:$B$329=$A335)*1)</f>
        <v>2</v>
      </c>
      <c r="D335" s="54">
        <f t="shared" si="6"/>
        <v>52.208321888670497</v>
      </c>
      <c r="E335" s="22" cm="1">
        <f t="array" ref="E335">SUMPRODUCT(($B$290:$B$329=$A335)*(1/$E$290:$E$329))/$B335</f>
        <v>2.1816778421998109</v>
      </c>
      <c r="F335" s="48">
        <f>SUMIF('P05-TenderBid'!$B$5:$B$44,$A335,'P05-TenderBid'!$C$5:$C$44)</f>
        <v>8557901</v>
      </c>
      <c r="G335">
        <f t="shared" si="7"/>
        <v>5</v>
      </c>
      <c r="H335" t="str">
        <f t="shared" si="8"/>
        <v>Yes — 2 bids</v>
      </c>
    </row>
    <row r="336" spans="1:11">
      <c r="A336" t="s">
        <v>415</v>
      </c>
      <c r="B336">
        <f>COUNTIF('P05-TenderBid'!$B$5:$B$44,$A336)</f>
        <v>6</v>
      </c>
      <c r="C336" cm="1">
        <f t="array" ref="C336">SUMPRODUCT(($B$290:$B$329=$A336)*1)</f>
        <v>6</v>
      </c>
      <c r="D336" s="54">
        <f t="shared" si="6"/>
        <v>61.240575276881508</v>
      </c>
      <c r="E336" s="22" cm="1">
        <f t="array" ref="E336">SUMPRODUCT(($B$290:$B$329=$A336)*(1/$E$290:$E$329))/$B336</f>
        <v>2.8617207216365297</v>
      </c>
      <c r="F336" s="48">
        <f>SUMIF('P05-TenderBid'!$B$5:$B$44,$A336,'P05-TenderBid'!$C$5:$C$44)</f>
        <v>34253921</v>
      </c>
      <c r="G336">
        <f t="shared" si="7"/>
        <v>1</v>
      </c>
      <c r="H336" t="str">
        <f t="shared" si="8"/>
        <v>Yes — 6 bids</v>
      </c>
    </row>
    <row r="337" spans="1:8">
      <c r="A337" t="s">
        <v>427</v>
      </c>
      <c r="B337">
        <f>COUNTIF('P05-TenderBid'!$B$5:$B$44,$A337)</f>
        <v>2</v>
      </c>
      <c r="C337" cm="1">
        <f t="array" ref="C337">SUMPRODUCT(($B$290:$B$329=$A337)*1)</f>
        <v>2</v>
      </c>
      <c r="D337" s="54">
        <f t="shared" si="6"/>
        <v>53.529097388151541</v>
      </c>
      <c r="E337" s="22" cm="1">
        <f t="array" ref="E337">SUMPRODUCT(($B$290:$B$329=$A337)*(1/$E$290:$E$329))/$B337</f>
        <v>2.4577045022523212</v>
      </c>
      <c r="F337" s="48">
        <f>SUMIF('P05-TenderBid'!$B$5:$B$44,$A337,'P05-TenderBid'!$C$5:$C$44)</f>
        <v>5664967</v>
      </c>
      <c r="G337">
        <f t="shared" si="7"/>
        <v>2</v>
      </c>
      <c r="H337" t="str">
        <f t="shared" si="8"/>
        <v>Yes — 2 bids</v>
      </c>
    </row>
    <row r="338" spans="1:8">
      <c r="A338" t="s">
        <v>423</v>
      </c>
      <c r="B338">
        <f>COUNTIF('P05-TenderBid'!$B$5:$B$44,$A338)</f>
        <v>3</v>
      </c>
      <c r="C338" cm="1">
        <f t="array" ref="C338">SUMPRODUCT(($B$290:$B$329=$A338)*1)</f>
        <v>3</v>
      </c>
      <c r="D338" s="54">
        <f t="shared" si="6"/>
        <v>42.785303299170856</v>
      </c>
      <c r="E338" s="22" cm="1">
        <f t="array" ref="E338">SUMPRODUCT(($B$290:$B$329=$A338)*(1/$E$290:$E$329))/$B338</f>
        <v>4.6642832307982554</v>
      </c>
      <c r="F338" s="48">
        <f>SUMIF('P05-TenderBid'!$B$5:$B$44,$A338,'P05-TenderBid'!$C$5:$C$44)</f>
        <v>18038356</v>
      </c>
      <c r="G338">
        <f t="shared" si="7"/>
        <v>4</v>
      </c>
      <c r="H338" t="str">
        <f t="shared" si="8"/>
        <v>Yes — 3 bids</v>
      </c>
    </row>
    <row r="339" spans="1:8">
      <c r="A339" t="s">
        <v>419</v>
      </c>
      <c r="B339">
        <f>COUNTIF('P05-TenderBid'!$B$5:$B$44,$A339)</f>
        <v>3</v>
      </c>
      <c r="C339" cm="1">
        <f t="array" ref="C339">SUMPRODUCT(($B$290:$B$329=$A339)*1)</f>
        <v>3</v>
      </c>
      <c r="D339" s="54">
        <f t="shared" si="6"/>
        <v>61.711880986540869</v>
      </c>
      <c r="E339" s="22" cm="1">
        <f t="array" ref="E339">SUMPRODUCT(($B$290:$B$329=$A339)*(1/$E$290:$E$329))/$B339</f>
        <v>3.711490082722658</v>
      </c>
      <c r="F339" s="48">
        <f>SUMIF('P05-TenderBid'!$B$5:$B$44,$A339,'P05-TenderBid'!$C$5:$C$44)</f>
        <v>14711034</v>
      </c>
      <c r="G339">
        <f t="shared" si="7"/>
        <v>1</v>
      </c>
      <c r="H339" t="str">
        <f t="shared" si="8"/>
        <v>Yes — 3 bids</v>
      </c>
    </row>
    <row r="340" spans="1:8">
      <c r="A340" t="s">
        <v>426</v>
      </c>
      <c r="B340">
        <f>COUNTIF('P05-TenderBid'!$B$5:$B$44,$A340)</f>
        <v>2</v>
      </c>
      <c r="C340" cm="1">
        <f t="array" ref="C340">SUMPRODUCT(($B$290:$B$329=$A340)*1)</f>
        <v>2</v>
      </c>
      <c r="D340" s="54">
        <f t="shared" si="6"/>
        <v>66.968143954726358</v>
      </c>
      <c r="E340" s="22" cm="1">
        <f t="array" ref="E340">SUMPRODUCT(($B$290:$B$329=$A340)*(1/$E$290:$E$329))/$B340</f>
        <v>1.4423231947044948</v>
      </c>
      <c r="F340" s="48">
        <f>SUMIF('P05-TenderBid'!$B$5:$B$44,$A340,'P05-TenderBid'!$C$5:$C$44)</f>
        <v>4827790</v>
      </c>
      <c r="G340">
        <f t="shared" si="7"/>
        <v>1</v>
      </c>
      <c r="H340" t="str">
        <f t="shared" si="8"/>
        <v>Yes — 2 bids</v>
      </c>
    </row>
    <row r="341" spans="1:8">
      <c r="A341" t="s">
        <v>425</v>
      </c>
      <c r="B341">
        <f>COUNTIF('P05-TenderBid'!$B$5:$B$44,$A341)</f>
        <v>2</v>
      </c>
      <c r="C341" cm="1">
        <f t="array" ref="C341">SUMPRODUCT(($B$290:$B$329=$A341)*1)</f>
        <v>2</v>
      </c>
      <c r="D341" s="54">
        <f t="shared" si="6"/>
        <v>60.674731230093059</v>
      </c>
      <c r="E341" s="22" cm="1">
        <f t="array" ref="E341">SUMPRODUCT(($B$290:$B$329=$A341)*(1/$E$290:$E$329))/$B341</f>
        <v>3.0107507511288705</v>
      </c>
      <c r="F341" s="48">
        <f>SUMIF('P05-TenderBid'!$B$5:$B$44,$A341,'P05-TenderBid'!$C$5:$C$44)</f>
        <v>11732844</v>
      </c>
      <c r="G341">
        <f t="shared" si="7"/>
        <v>3</v>
      </c>
      <c r="H341" t="str">
        <f t="shared" si="8"/>
        <v>Yes — 2 bids</v>
      </c>
    </row>
    <row r="342" spans="1:8">
      <c r="A342" t="s">
        <v>414</v>
      </c>
      <c r="B342">
        <f>COUNTIF('P05-TenderBid'!$B$5:$B$44,$A342)</f>
        <v>3</v>
      </c>
      <c r="C342" cm="1">
        <f t="array" ref="C342">SUMPRODUCT(($B$290:$B$329=$A342)*1)</f>
        <v>3</v>
      </c>
      <c r="D342" s="54">
        <f t="shared" si="6"/>
        <v>61.459192087200677</v>
      </c>
      <c r="E342" s="22" cm="1">
        <f t="array" ref="E342">SUMPRODUCT(($B$290:$B$329=$A342)*(1/$E$290:$E$329))/$B342</f>
        <v>1.5855997755782065</v>
      </c>
      <c r="F342" s="48">
        <f>SUMIF('P05-TenderBid'!$B$5:$B$44,$A342,'P05-TenderBid'!$C$5:$C$44)</f>
        <v>14692871</v>
      </c>
      <c r="G342">
        <f t="shared" si="7"/>
        <v>5</v>
      </c>
      <c r="H342" t="str">
        <f t="shared" si="8"/>
        <v>Yes — 3 bids</v>
      </c>
    </row>
    <row r="343" spans="1:8">
      <c r="A343" t="s">
        <v>429</v>
      </c>
      <c r="B343">
        <f>COUNTIF('P05-TenderBid'!$B$5:$B$44,$A343)</f>
        <v>1</v>
      </c>
      <c r="C343" cm="1">
        <f t="array" ref="C343">SUMPRODUCT(($B$290:$B$329=$A343)*1)</f>
        <v>1</v>
      </c>
      <c r="D343" s="54">
        <f t="shared" si="6"/>
        <v>40.417512739721154</v>
      </c>
      <c r="E343" s="22" cm="1">
        <f t="array" ref="E343">SUMPRODUCT(($B$290:$B$329=$A343)*(1/$E$290:$E$329))/$B343</f>
        <v>5.4021805214544605</v>
      </c>
      <c r="F343" s="48">
        <f>SUMIF('P05-TenderBid'!$B$5:$B$44,$A343,'P05-TenderBid'!$C$5:$C$44)</f>
        <v>4620485</v>
      </c>
      <c r="G343">
        <f t="shared" si="7"/>
        <v>8</v>
      </c>
      <c r="H343" t="str">
        <f t="shared" si="8"/>
        <v>No</v>
      </c>
    </row>
    <row r="344" spans="1:8">
      <c r="A344" t="s">
        <v>418</v>
      </c>
      <c r="B344">
        <f>COUNTIF('P05-TenderBid'!$B$5:$B$44,$A344)</f>
        <v>3</v>
      </c>
      <c r="C344" cm="1">
        <f t="array" ref="C344">SUMPRODUCT(($B$290:$B$329=$A344)*1)</f>
        <v>3</v>
      </c>
      <c r="D344" s="54">
        <f t="shared" si="6"/>
        <v>69.695102849906604</v>
      </c>
      <c r="E344" s="22" cm="1">
        <f t="array" ref="E344">SUMPRODUCT(($B$290:$B$329=$A344)*(1/$E$290:$E$329))/$B344</f>
        <v>1.3676361939149546</v>
      </c>
      <c r="F344" s="48">
        <f>SUMIF('P05-TenderBid'!$B$5:$B$44,$A344,'P05-TenderBid'!$C$5:$C$44)</f>
        <v>11627770</v>
      </c>
      <c r="G344">
        <f t="shared" si="7"/>
        <v>1</v>
      </c>
      <c r="H344" t="str">
        <f t="shared" si="8"/>
        <v>Yes — 3 bids</v>
      </c>
    </row>
    <row r="345" spans="1:8">
      <c r="A345" t="s">
        <v>416</v>
      </c>
      <c r="B345">
        <f>COUNTIF('P05-TenderBid'!$B$5:$B$44,$A345)</f>
        <v>5</v>
      </c>
      <c r="C345" cm="1">
        <f t="array" ref="C345">SUMPRODUCT(($B$290:$B$329=$A345)*1)</f>
        <v>5</v>
      </c>
      <c r="D345" s="54">
        <f t="shared" si="6"/>
        <v>60.029298561802364</v>
      </c>
      <c r="E345" s="22" cm="1">
        <f t="array" ref="E345">SUMPRODUCT(($B$290:$B$329=$A345)*(1/$E$290:$E$329))/$B345</f>
        <v>2.526278810478388</v>
      </c>
      <c r="F345" s="48">
        <f>SUMIF('P05-TenderBid'!$B$5:$B$44,$A345,'P05-TenderBid'!$C$5:$C$44)</f>
        <v>27192962</v>
      </c>
      <c r="G345">
        <f t="shared" si="7"/>
        <v>1</v>
      </c>
      <c r="H345" t="str">
        <f t="shared" si="8"/>
        <v>Yes — 5 bids</v>
      </c>
    </row>
    <row r="346" spans="1:8">
      <c r="A346" t="s">
        <v>421</v>
      </c>
      <c r="B346">
        <f>COUNTIF('P05-TenderBid'!$B$5:$B$44,$A346)</f>
        <v>4</v>
      </c>
      <c r="C346" cm="1">
        <f t="array" ref="C346">SUMPRODUCT(($B$290:$B$329=$A346)*1)</f>
        <v>4</v>
      </c>
      <c r="D346" s="54">
        <f t="shared" si="6"/>
        <v>53.82470405364699</v>
      </c>
      <c r="E346" s="22" cm="1">
        <f t="array" ref="E346">SUMPRODUCT(($B$290:$B$329=$A346)*(1/$E$290:$E$329))/$B346</f>
        <v>2.3547520142939344</v>
      </c>
      <c r="F346" s="48">
        <f>SUMIF('P05-TenderBid'!$B$5:$B$44,$A346,'P05-TenderBid'!$C$5:$C$44)</f>
        <v>13455056</v>
      </c>
      <c r="G346">
        <f t="shared" si="7"/>
        <v>2</v>
      </c>
      <c r="H346" t="str">
        <f t="shared" si="8"/>
        <v>Yes — 4 bids</v>
      </c>
    </row>
    <row r="347" spans="1:8">
      <c r="A347" s="44" t="str">
        <f>"ANSWER: "&amp;COUNTIF($B$334:$B$346,"&gt;1")&amp;" of 13 contractors bid for more than one package. On competitiveness (bid ÷ lowest bid in that package, 1.00 = cheapest), the sharpest pricing comes from "&amp;INDEX($A$334:$A$346,MATCH(MIN($E$334:$E$346),$E$334:$E$346,0))&amp;" at "&amp;TEXT(MIN($E$334:$E$346),"0.00")&amp;"x and the most expensive is "&amp;INDEX($A$334:$A$346,MATCH(MAX($E$334:$E$346),$E$334:$E$346,0))&amp;" at "&amp;TEXT(MAX($E$334:$E$346),"0.00")&amp;"x. Best average weighted score: "&amp;INDEX($A$334:$A$346,MATCH(MAX($D$334:$D$346),$D$334:$D$346,0))&amp;" ("&amp;TEXT(MAX($D$334:$D$346),"0.0")&amp;"/100)."</f>
        <v>ANSWER: 12 of 13 contractors bid for more than one package. On competitiveness (bid ÷ lowest bid in that package, 1.00 = cheapest), the sharpest pricing comes from Contractor-M at 1.37x and the most expensive is Contractor-L at 5.40x. Best average weighted score: Contractor-M (69.7/100).</v>
      </c>
    </row>
    <row r="349" spans="1:8">
      <c r="A349" s="42" t="s">
        <v>1449</v>
      </c>
    </row>
    <row r="350" spans="1:8">
      <c r="A350" t="s">
        <v>1450</v>
      </c>
      <c r="B350" cm="1">
        <f t="array" ref="B350">SUMPRODUCT(('P05-TenderBid'!$F$5:$F$44&lt;3.5)*('P05-TenderBid'!$G$5:$G$44&gt;8)*1)</f>
        <v>4</v>
      </c>
      <c r="C350" t="s">
        <v>1451</v>
      </c>
      <c r="D350">
        <f>COUNT('P05-TenderBid'!$C$5:$C$44)</f>
        <v>40</v>
      </c>
      <c r="E350" t="s">
        <v>1452</v>
      </c>
      <c r="F350">
        <f>COUNTIF('P05-TenderBid'!$F$5:$F$44,"&lt;3.5")</f>
        <v>21</v>
      </c>
      <c r="G350" t="s">
        <v>1453</v>
      </c>
      <c r="H350">
        <f>COUNTIF('P05-TenderBid'!$G$5:$G$44,"&gt;8")</f>
        <v>9</v>
      </c>
    </row>
    <row r="351" spans="1:8">
      <c r="A351" s="43" t="s">
        <v>2</v>
      </c>
      <c r="B351" s="43" t="s">
        <v>406</v>
      </c>
      <c r="C351" s="43" t="s">
        <v>1416</v>
      </c>
      <c r="D351" s="43" t="s">
        <v>1432</v>
      </c>
      <c r="E351" s="43" t="s">
        <v>1454</v>
      </c>
      <c r="F351" s="43" t="s">
        <v>1455</v>
      </c>
      <c r="G351" s="43" t="s">
        <v>1420</v>
      </c>
      <c r="H351" s="43" t="s">
        <v>1335</v>
      </c>
    </row>
    <row r="352" spans="1:8">
      <c r="A352">
        <v>1</v>
      </c>
      <c r="B352" t="str" cm="1">
        <f t="array" ref="B352">IFERROR(INDEX('P05-TenderBid'!$B$5:$B$44,_xlfn.AGGREGATE(15,6,(ROW('P05-TenderBid'!$B$5:$B$44)-4)/(('P05-TenderBid'!$F$5:$F$44&lt;3.5)*('P05-TenderBid'!$G$5:$G$44&gt;8)),$A352)),"")</f>
        <v>Contractor-M</v>
      </c>
      <c r="C352" t="str" cm="1">
        <f t="array" ref="C352">IFERROR(INDEX('P05-TenderBid'!$A$5:$A$44,_xlfn.AGGREGATE(15,6,(ROW('P05-TenderBid'!$B$5:$B$44)-4)/(('P05-TenderBid'!$F$5:$F$44&lt;3.5)*('P05-TenderBid'!$G$5:$G$44&gt;8)),$A352)),"")</f>
        <v>Structural Works</v>
      </c>
      <c r="D352" s="48" cm="1">
        <f t="array" ref="D352">IFERROR(INDEX('P05-TenderBid'!$C$5:$C$44,_xlfn.AGGREGATE(15,6,(ROW('P05-TenderBid'!$B$5:$B$44)-4)/(('P05-TenderBid'!$F$5:$F$44&lt;3.5)*('P05-TenderBid'!$G$5:$G$44&gt;8)),$A352)),"")</f>
        <v>7079774</v>
      </c>
      <c r="E352" cm="1">
        <f t="array" ref="E352">IFERROR(INDEX('P05-TenderBid'!$F$5:$F$44,_xlfn.AGGREGATE(15,6,(ROW('P05-TenderBid'!$B$5:$B$44)-4)/(('P05-TenderBid'!$F$5:$F$44&lt;3.5)*('P05-TenderBid'!$G$5:$G$44&gt;8)),$A352)),"")</f>
        <v>3.4</v>
      </c>
      <c r="F352" cm="1">
        <f t="array" ref="F352">IFERROR(INDEX('P05-TenderBid'!$G$5:$G$44,_xlfn.AGGREGATE(15,6,(ROW('P05-TenderBid'!$B$5:$B$44)-4)/(('P05-TenderBid'!$F$5:$F$44&lt;3.5)*('P05-TenderBid'!$G$5:$G$44&gt;8)),$A352)),"")</f>
        <v>11.4</v>
      </c>
      <c r="G352" s="54" cm="1">
        <f t="array" ref="G352">IFERROR(INDEX($J$290:$J$329,_xlfn.AGGREGATE(15,6,(ROW('P05-TenderBid'!$B$5:$B$44)-4)/(('P05-TenderBid'!$F$5:$F$44&lt;3.5)*('P05-TenderBid'!$G$5:$G$44&gt;8)),$A352)),"")</f>
        <v>45.542166984867876</v>
      </c>
      <c r="H352" t="str">
        <f t="shared" ref="H352:H359" si="9">IF($B352="","","HIGH RISK — do not award")</f>
        <v>HIGH RISK — do not award</v>
      </c>
    </row>
    <row r="353" spans="1:8">
      <c r="A353">
        <v>2</v>
      </c>
      <c r="B353" t="str" cm="1">
        <f t="array" ref="B353">IFERROR(INDEX('P05-TenderBid'!$B$5:$B$44,_xlfn.AGGREGATE(15,6,(ROW('P05-TenderBid'!$B$5:$B$44)-4)/(('P05-TenderBid'!$F$5:$F$44&lt;3.5)*('P05-TenderBid'!$G$5:$G$44&gt;8)),$A353)),"")</f>
        <v>Contractor-O</v>
      </c>
      <c r="C353" t="str" cm="1">
        <f t="array" ref="C353">IFERROR(INDEX('P05-TenderBid'!$A$5:$A$44,_xlfn.AGGREGATE(15,6,(ROW('P05-TenderBid'!$B$5:$B$44)-4)/(('P05-TenderBid'!$F$5:$F$44&lt;3.5)*('P05-TenderBid'!$G$5:$G$44&gt;8)),$A353)),"")</f>
        <v>MEP Package</v>
      </c>
      <c r="D353" s="48" cm="1">
        <f t="array" ref="D353">IFERROR(INDEX('P05-TenderBid'!$C$5:$C$44,_xlfn.AGGREGATE(15,6,(ROW('P05-TenderBid'!$B$5:$B$44)-4)/(('P05-TenderBid'!$F$5:$F$44&lt;3.5)*('P05-TenderBid'!$G$5:$G$44&gt;8)),$A353)),"")</f>
        <v>1360585</v>
      </c>
      <c r="E353" cm="1">
        <f t="array" ref="E353">IFERROR(INDEX('P05-TenderBid'!$F$5:$F$44,_xlfn.AGGREGATE(15,6,(ROW('P05-TenderBid'!$B$5:$B$44)-4)/(('P05-TenderBid'!$F$5:$F$44&lt;3.5)*('P05-TenderBid'!$G$5:$G$44&gt;8)),$A353)),"")</f>
        <v>3.2</v>
      </c>
      <c r="F353" cm="1">
        <f t="array" ref="F353">IFERROR(INDEX('P05-TenderBid'!$G$5:$G$44,_xlfn.AGGREGATE(15,6,(ROW('P05-TenderBid'!$B$5:$B$44)-4)/(('P05-TenderBid'!$F$5:$F$44&lt;3.5)*('P05-TenderBid'!$G$5:$G$44&gt;8)),$A353)),"")</f>
        <v>9.3000000000000007</v>
      </c>
      <c r="G353" s="54" cm="1">
        <f t="array" ref="G353">IFERROR(INDEX($J$290:$J$329,_xlfn.AGGREGATE(15,6,(ROW('P05-TenderBid'!$B$5:$B$44)-4)/(('P05-TenderBid'!$F$5:$F$44&lt;3.5)*('P05-TenderBid'!$G$5:$G$44&gt;8)),$A353)),"")</f>
        <v>61.282925935474474</v>
      </c>
      <c r="H353" t="str">
        <f t="shared" si="9"/>
        <v>HIGH RISK — do not award</v>
      </c>
    </row>
    <row r="354" spans="1:8">
      <c r="A354">
        <v>3</v>
      </c>
      <c r="B354" t="str" cm="1">
        <f t="array" ref="B354">IFERROR(INDEX('P05-TenderBid'!$B$5:$B$44,_xlfn.AGGREGATE(15,6,(ROW('P05-TenderBid'!$B$5:$B$44)-4)/(('P05-TenderBid'!$F$5:$F$44&lt;3.5)*('P05-TenderBid'!$G$5:$G$44&gt;8)),$A354)),"")</f>
        <v>Contractor-O</v>
      </c>
      <c r="C354" t="str" cm="1">
        <f t="array" ref="C354">IFERROR(INDEX('P05-TenderBid'!$A$5:$A$44,_xlfn.AGGREGATE(15,6,(ROW('P05-TenderBid'!$B$5:$B$44)-4)/(('P05-TenderBid'!$F$5:$F$44&lt;3.5)*('P05-TenderBid'!$G$5:$G$44&gt;8)),$A354)),"")</f>
        <v>MEP Package</v>
      </c>
      <c r="D354" s="48" cm="1">
        <f t="array" ref="D354">IFERROR(INDEX('P05-TenderBid'!$C$5:$C$44,_xlfn.AGGREGATE(15,6,(ROW('P05-TenderBid'!$B$5:$B$44)-4)/(('P05-TenderBid'!$F$5:$F$44&lt;3.5)*('P05-TenderBid'!$G$5:$G$44&gt;8)),$A354)),"")</f>
        <v>4806314</v>
      </c>
      <c r="E354" cm="1">
        <f t="array" ref="E354">IFERROR(INDEX('P05-TenderBid'!$F$5:$F$44,_xlfn.AGGREGATE(15,6,(ROW('P05-TenderBid'!$B$5:$B$44)-4)/(('P05-TenderBid'!$F$5:$F$44&lt;3.5)*('P05-TenderBid'!$G$5:$G$44&gt;8)),$A354)),"")</f>
        <v>2.7</v>
      </c>
      <c r="F354" cm="1">
        <f t="array" ref="F354">IFERROR(INDEX('P05-TenderBid'!$G$5:$G$44,_xlfn.AGGREGATE(15,6,(ROW('P05-TenderBid'!$B$5:$B$44)-4)/(('P05-TenderBid'!$F$5:$F$44&lt;3.5)*('P05-TenderBid'!$G$5:$G$44&gt;8)),$A354)),"")</f>
        <v>11</v>
      </c>
      <c r="G354" s="54" cm="1">
        <f t="array" ref="G354">IFERROR(INDEX($J$290:$J$329,_xlfn.AGGREGATE(15,6,(ROW('P05-TenderBid'!$B$5:$B$44)-4)/(('P05-TenderBid'!$F$5:$F$44&lt;3.5)*('P05-TenderBid'!$G$5:$G$44&gt;8)),$A354)),"")</f>
        <v>45.370118783089488</v>
      </c>
      <c r="H354" t="str">
        <f t="shared" si="9"/>
        <v>HIGH RISK — do not award</v>
      </c>
    </row>
    <row r="355" spans="1:8">
      <c r="A355">
        <v>4</v>
      </c>
      <c r="B355" t="str" cm="1">
        <f t="array" ref="B355">IFERROR(INDEX('P05-TenderBid'!$B$5:$B$44,_xlfn.AGGREGATE(15,6,(ROW('P05-TenderBid'!$B$5:$B$44)-4)/(('P05-TenderBid'!$F$5:$F$44&lt;3.5)*('P05-TenderBid'!$G$5:$G$44&gt;8)),$A355)),"")</f>
        <v>Contractor-F</v>
      </c>
      <c r="C355" t="str" cm="1">
        <f t="array" ref="C355">IFERROR(INDEX('P05-TenderBid'!$A$5:$A$44,_xlfn.AGGREGATE(15,6,(ROW('P05-TenderBid'!$B$5:$B$44)-4)/(('P05-TenderBid'!$F$5:$F$44&lt;3.5)*('P05-TenderBid'!$G$5:$G$44&gt;8)),$A355)),"")</f>
        <v>MEP Package</v>
      </c>
      <c r="D355" s="48" cm="1">
        <f t="array" ref="D355">IFERROR(INDEX('P05-TenderBid'!$C$5:$C$44,_xlfn.AGGREGATE(15,6,(ROW('P05-TenderBid'!$B$5:$B$44)-4)/(('P05-TenderBid'!$F$5:$F$44&lt;3.5)*('P05-TenderBid'!$G$5:$G$44&gt;8)),$A355)),"")</f>
        <v>7138581</v>
      </c>
      <c r="E355" cm="1">
        <f t="array" ref="E355">IFERROR(INDEX('P05-TenderBid'!$F$5:$F$44,_xlfn.AGGREGATE(15,6,(ROW('P05-TenderBid'!$B$5:$B$44)-4)/(('P05-TenderBid'!$F$5:$F$44&lt;3.5)*('P05-TenderBid'!$G$5:$G$44&gt;8)),$A355)),"")</f>
        <v>2.6</v>
      </c>
      <c r="F355" cm="1">
        <f t="array" ref="F355">IFERROR(INDEX('P05-TenderBid'!$G$5:$G$44,_xlfn.AGGREGATE(15,6,(ROW('P05-TenderBid'!$B$5:$B$44)-4)/(('P05-TenderBid'!$F$5:$F$44&lt;3.5)*('P05-TenderBid'!$G$5:$G$44&gt;8)),$A355)),"")</f>
        <v>11.1</v>
      </c>
      <c r="G355" s="54" cm="1">
        <f t="array" ref="G355">IFERROR(INDEX($J$290:$J$329,_xlfn.AGGREGATE(15,6,(ROW('P05-TenderBid'!$B$5:$B$44)-4)/(('P05-TenderBid'!$F$5:$F$44&lt;3.5)*('P05-TenderBid'!$G$5:$G$44&gt;8)),$A355)),"")</f>
        <v>34.322282918037232</v>
      </c>
      <c r="H355" t="str">
        <f t="shared" si="9"/>
        <v>HIGH RISK — do not award</v>
      </c>
    </row>
    <row r="356" spans="1:8">
      <c r="A356">
        <v>5</v>
      </c>
      <c r="B356" t="str" cm="1">
        <f t="array" ref="B356">IFERROR(INDEX('P05-TenderBid'!$B$5:$B$44,_xlfn.AGGREGATE(15,6,(ROW('P05-TenderBid'!$B$5:$B$44)-4)/(('P05-TenderBid'!$F$5:$F$44&lt;3.5)*('P05-TenderBid'!$G$5:$G$44&gt;8)),$A356)),"")</f>
        <v/>
      </c>
      <c r="C356" t="str" cm="1">
        <f t="array" ref="C356">IFERROR(INDEX('P05-TenderBid'!$A$5:$A$44,_xlfn.AGGREGATE(15,6,(ROW('P05-TenderBid'!$B$5:$B$44)-4)/(('P05-TenderBid'!$F$5:$F$44&lt;3.5)*('P05-TenderBid'!$G$5:$G$44&gt;8)),$A356)),"")</f>
        <v/>
      </c>
      <c r="D356" s="48" t="str" cm="1">
        <f t="array" ref="D356">IFERROR(INDEX('P05-TenderBid'!$C$5:$C$44,_xlfn.AGGREGATE(15,6,(ROW('P05-TenderBid'!$B$5:$B$44)-4)/(('P05-TenderBid'!$F$5:$F$44&lt;3.5)*('P05-TenderBid'!$G$5:$G$44&gt;8)),$A356)),"")</f>
        <v/>
      </c>
      <c r="E356" t="str" cm="1">
        <f t="array" ref="E356">IFERROR(INDEX('P05-TenderBid'!$F$5:$F$44,_xlfn.AGGREGATE(15,6,(ROW('P05-TenderBid'!$B$5:$B$44)-4)/(('P05-TenderBid'!$F$5:$F$44&lt;3.5)*('P05-TenderBid'!$G$5:$G$44&gt;8)),$A356)),"")</f>
        <v/>
      </c>
      <c r="F356" t="str" cm="1">
        <f t="array" ref="F356">IFERROR(INDEX('P05-TenderBid'!$G$5:$G$44,_xlfn.AGGREGATE(15,6,(ROW('P05-TenderBid'!$B$5:$B$44)-4)/(('P05-TenderBid'!$F$5:$F$44&lt;3.5)*('P05-TenderBid'!$G$5:$G$44&gt;8)),$A356)),"")</f>
        <v/>
      </c>
      <c r="G356" s="54" t="str" cm="1">
        <f t="array" ref="G356">IFERROR(INDEX($J$290:$J$329,_xlfn.AGGREGATE(15,6,(ROW('P05-TenderBid'!$B$5:$B$44)-4)/(('P05-TenderBid'!$F$5:$F$44&lt;3.5)*('P05-TenderBid'!$G$5:$G$44&gt;8)),$A356)),"")</f>
        <v/>
      </c>
      <c r="H356" t="str">
        <f t="shared" si="9"/>
        <v/>
      </c>
    </row>
    <row r="357" spans="1:8">
      <c r="A357">
        <v>6</v>
      </c>
      <c r="B357" t="str" cm="1">
        <f t="array" ref="B357">IFERROR(INDEX('P05-TenderBid'!$B$5:$B$44,_xlfn.AGGREGATE(15,6,(ROW('P05-TenderBid'!$B$5:$B$44)-4)/(('P05-TenderBid'!$F$5:$F$44&lt;3.5)*('P05-TenderBid'!$G$5:$G$44&gt;8)),$A357)),"")</f>
        <v/>
      </c>
      <c r="C357" t="str" cm="1">
        <f t="array" ref="C357">IFERROR(INDEX('P05-TenderBid'!$A$5:$A$44,_xlfn.AGGREGATE(15,6,(ROW('P05-TenderBid'!$B$5:$B$44)-4)/(('P05-TenderBid'!$F$5:$F$44&lt;3.5)*('P05-TenderBid'!$G$5:$G$44&gt;8)),$A357)),"")</f>
        <v/>
      </c>
      <c r="D357" s="48" t="str" cm="1">
        <f t="array" ref="D357">IFERROR(INDEX('P05-TenderBid'!$C$5:$C$44,_xlfn.AGGREGATE(15,6,(ROW('P05-TenderBid'!$B$5:$B$44)-4)/(('P05-TenderBid'!$F$5:$F$44&lt;3.5)*('P05-TenderBid'!$G$5:$G$44&gt;8)),$A357)),"")</f>
        <v/>
      </c>
      <c r="E357" t="str" cm="1">
        <f t="array" ref="E357">IFERROR(INDEX('P05-TenderBid'!$F$5:$F$44,_xlfn.AGGREGATE(15,6,(ROW('P05-TenderBid'!$B$5:$B$44)-4)/(('P05-TenderBid'!$F$5:$F$44&lt;3.5)*('P05-TenderBid'!$G$5:$G$44&gt;8)),$A357)),"")</f>
        <v/>
      </c>
      <c r="F357" t="str" cm="1">
        <f t="array" ref="F357">IFERROR(INDEX('P05-TenderBid'!$G$5:$G$44,_xlfn.AGGREGATE(15,6,(ROW('P05-TenderBid'!$B$5:$B$44)-4)/(('P05-TenderBid'!$F$5:$F$44&lt;3.5)*('P05-TenderBid'!$G$5:$G$44&gt;8)),$A357)),"")</f>
        <v/>
      </c>
      <c r="G357" s="54" t="str" cm="1">
        <f t="array" ref="G357">IFERROR(INDEX($J$290:$J$329,_xlfn.AGGREGATE(15,6,(ROW('P05-TenderBid'!$B$5:$B$44)-4)/(('P05-TenderBid'!$F$5:$F$44&lt;3.5)*('P05-TenderBid'!$G$5:$G$44&gt;8)),$A357)),"")</f>
        <v/>
      </c>
      <c r="H357" t="str">
        <f t="shared" si="9"/>
        <v/>
      </c>
    </row>
    <row r="358" spans="1:8">
      <c r="A358">
        <v>7</v>
      </c>
      <c r="B358" t="str" cm="1">
        <f t="array" ref="B358">IFERROR(INDEX('P05-TenderBid'!$B$5:$B$44,_xlfn.AGGREGATE(15,6,(ROW('P05-TenderBid'!$B$5:$B$44)-4)/(('P05-TenderBid'!$F$5:$F$44&lt;3.5)*('P05-TenderBid'!$G$5:$G$44&gt;8)),$A358)),"")</f>
        <v/>
      </c>
      <c r="C358" t="str" cm="1">
        <f t="array" ref="C358">IFERROR(INDEX('P05-TenderBid'!$A$5:$A$44,_xlfn.AGGREGATE(15,6,(ROW('P05-TenderBid'!$B$5:$B$44)-4)/(('P05-TenderBid'!$F$5:$F$44&lt;3.5)*('P05-TenderBid'!$G$5:$G$44&gt;8)),$A358)),"")</f>
        <v/>
      </c>
      <c r="D358" s="48" t="str" cm="1">
        <f t="array" ref="D358">IFERROR(INDEX('P05-TenderBid'!$C$5:$C$44,_xlfn.AGGREGATE(15,6,(ROW('P05-TenderBid'!$B$5:$B$44)-4)/(('P05-TenderBid'!$F$5:$F$44&lt;3.5)*('P05-TenderBid'!$G$5:$G$44&gt;8)),$A358)),"")</f>
        <v/>
      </c>
      <c r="E358" t="str" cm="1">
        <f t="array" ref="E358">IFERROR(INDEX('P05-TenderBid'!$F$5:$F$44,_xlfn.AGGREGATE(15,6,(ROW('P05-TenderBid'!$B$5:$B$44)-4)/(('P05-TenderBid'!$F$5:$F$44&lt;3.5)*('P05-TenderBid'!$G$5:$G$44&gt;8)),$A358)),"")</f>
        <v/>
      </c>
      <c r="F358" t="str" cm="1">
        <f t="array" ref="F358">IFERROR(INDEX('P05-TenderBid'!$G$5:$G$44,_xlfn.AGGREGATE(15,6,(ROW('P05-TenderBid'!$B$5:$B$44)-4)/(('P05-TenderBid'!$F$5:$F$44&lt;3.5)*('P05-TenderBid'!$G$5:$G$44&gt;8)),$A358)),"")</f>
        <v/>
      </c>
      <c r="G358" s="54" t="str" cm="1">
        <f t="array" ref="G358">IFERROR(INDEX($J$290:$J$329,_xlfn.AGGREGATE(15,6,(ROW('P05-TenderBid'!$B$5:$B$44)-4)/(('P05-TenderBid'!$F$5:$F$44&lt;3.5)*('P05-TenderBid'!$G$5:$G$44&gt;8)),$A358)),"")</f>
        <v/>
      </c>
      <c r="H358" t="str">
        <f t="shared" si="9"/>
        <v/>
      </c>
    </row>
    <row r="359" spans="1:8">
      <c r="A359">
        <v>8</v>
      </c>
      <c r="B359" t="str" cm="1">
        <f t="array" ref="B359">IFERROR(INDEX('P05-TenderBid'!$B$5:$B$44,_xlfn.AGGREGATE(15,6,(ROW('P05-TenderBid'!$B$5:$B$44)-4)/(('P05-TenderBid'!$F$5:$F$44&lt;3.5)*('P05-TenderBid'!$G$5:$G$44&gt;8)),$A359)),"")</f>
        <v/>
      </c>
      <c r="C359" t="str" cm="1">
        <f t="array" ref="C359">IFERROR(INDEX('P05-TenderBid'!$A$5:$A$44,_xlfn.AGGREGATE(15,6,(ROW('P05-TenderBid'!$B$5:$B$44)-4)/(('P05-TenderBid'!$F$5:$F$44&lt;3.5)*('P05-TenderBid'!$G$5:$G$44&gt;8)),$A359)),"")</f>
        <v/>
      </c>
      <c r="D359" s="48" t="str" cm="1">
        <f t="array" ref="D359">IFERROR(INDEX('P05-TenderBid'!$C$5:$C$44,_xlfn.AGGREGATE(15,6,(ROW('P05-TenderBid'!$B$5:$B$44)-4)/(('P05-TenderBid'!$F$5:$F$44&lt;3.5)*('P05-TenderBid'!$G$5:$G$44&gt;8)),$A359)),"")</f>
        <v/>
      </c>
      <c r="E359" t="str" cm="1">
        <f t="array" ref="E359">IFERROR(INDEX('P05-TenderBid'!$F$5:$F$44,_xlfn.AGGREGATE(15,6,(ROW('P05-TenderBid'!$B$5:$B$44)-4)/(('P05-TenderBid'!$F$5:$F$44&lt;3.5)*('P05-TenderBid'!$G$5:$G$44&gt;8)),$A359)),"")</f>
        <v/>
      </c>
      <c r="F359" t="str" cm="1">
        <f t="array" ref="F359">IFERROR(INDEX('P05-TenderBid'!$G$5:$G$44,_xlfn.AGGREGATE(15,6,(ROW('P05-TenderBid'!$B$5:$B$44)-4)/(('P05-TenderBid'!$F$5:$F$44&lt;3.5)*('P05-TenderBid'!$G$5:$G$44&gt;8)),$A359)),"")</f>
        <v/>
      </c>
      <c r="G359" s="54" t="str" cm="1">
        <f t="array" ref="G359">IFERROR(INDEX($J$290:$J$329,_xlfn.AGGREGATE(15,6,(ROW('P05-TenderBid'!$B$5:$B$44)-4)/(('P05-TenderBid'!$F$5:$F$44&lt;3.5)*('P05-TenderBid'!$G$5:$G$44&gt;8)),$A359)),"")</f>
        <v/>
      </c>
      <c r="H359" t="str">
        <f t="shared" si="9"/>
        <v/>
      </c>
    </row>
    <row r="360" spans="1:8">
      <c r="A360" s="44" t="str">
        <f>"ANSWER: "&amp;$B$350&amp;" of "&amp;$D$350&amp;" bids breach both thresholds (Safety &lt; 3.5 and Defect Rate &gt; 8%) and are listed above as HIGH RISK. Separately, "&amp;$F$350&amp;" bids have a safety rating below 3.5 and "&amp;$H$350&amp;" have a defect rate above 8%. Exclude the HIGH RISK rows from award even where they price competitively."</f>
        <v>ANSWER: 4 of 40 bids breach both thresholds (Safety &lt; 3.5 and Defect Rate &gt; 8%) and are listed above as HIGH RISK. Separately, 21 bids have a safety rating below 3.5 and 9 have a defect rate above 8%. Exclude the HIGH RISK rows from award even where they price competitively.</v>
      </c>
    </row>
    <row r="362" spans="1:8">
      <c r="A362" s="42" t="s">
        <v>1456</v>
      </c>
    </row>
    <row r="363" spans="1:8">
      <c r="A363" s="43" t="s">
        <v>1457</v>
      </c>
      <c r="B363" s="43" t="s">
        <v>1458</v>
      </c>
      <c r="C363" s="43" t="s">
        <v>1459</v>
      </c>
      <c r="D363" s="43" t="s">
        <v>1460</v>
      </c>
      <c r="E363" s="43" t="s">
        <v>1444</v>
      </c>
      <c r="F363" s="43" t="s">
        <v>1461</v>
      </c>
    </row>
    <row r="364" spans="1:8">
      <c r="A364" t="s">
        <v>1462</v>
      </c>
      <c r="B364" s="48">
        <f>SUM($C$279:$C$283)</f>
        <v>10130539</v>
      </c>
      <c r="C364" s="48">
        <f>B364-$B$364</f>
        <v>0</v>
      </c>
      <c r="D364" s="39">
        <f>C364/$B$364</f>
        <v>0</v>
      </c>
      <c r="E364" s="54">
        <f>AVERAGE($I$279:$I$283)</f>
        <v>75.987646347113525</v>
      </c>
      <c r="F364">
        <v>5</v>
      </c>
    </row>
    <row r="365" spans="1:8">
      <c r="A365" t="s">
        <v>1463</v>
      </c>
      <c r="B365" s="48">
        <f>SUM($F$279:$F$283)</f>
        <v>11716950</v>
      </c>
      <c r="C365" s="48">
        <f>B365-$B$364</f>
        <v>1586411</v>
      </c>
      <c r="D365" s="39">
        <f>C365/$B$364</f>
        <v>0.15659689973060664</v>
      </c>
      <c r="E365" s="54">
        <f>AVERAGE($E$279:$E$283)</f>
        <v>79.08097570642299</v>
      </c>
      <c r="F365">
        <v>5</v>
      </c>
    </row>
    <row r="366" spans="1:8">
      <c r="A366" s="44" t="str">
        <f>"ANSWER: Awarding every package to the cheapest bid totals "&amp;TEXT($B$364,"""$""#,##0")&amp;" (avg score "&amp;TEXT($E$364,"0.0")&amp;"/100). Awarding to the highest-scored bid totals "&amp;TEXT($B$365,"""$""#,##0")&amp;" (avg score "&amp;TEXT($E$365,"0.0")&amp;") — "&amp;TEXT($C$365,"""$""#,##0")&amp;" ("&amp;TEXT($D$365,"0.0%")&amp;") more. That premium buys better programme, safety and defect performance."</f>
        <v>ANSWER: Awarding every package to the cheapest bid totals $1,01,30,539 (avg score 76.0/100). Awarding to the highest-scored bid totals $1,17,16,950 (avg score 79.1) — $15,86,411 (15.7%) more. That premium buys better programme, safety and defect performance.</v>
      </c>
    </row>
    <row r="368" spans="1:8">
      <c r="A368" s="42" t="s">
        <v>1464</v>
      </c>
    </row>
    <row r="369" spans="1:6">
      <c r="A369" t="s">
        <v>1465</v>
      </c>
      <c r="B369" s="40">
        <f>CORREL('P05-TenderBid'!$C$5:$C$44,'P05-TenderBid'!$D$5:$D$44)</f>
        <v>-0.25371056013442755</v>
      </c>
      <c r="C369" t="s">
        <v>1466</v>
      </c>
      <c r="D369" s="48">
        <f>AVERAGEIF('P05-TenderBid'!$D$5:$D$44,"&lt;="&amp;SMALL('P05-TenderBid'!$D$5:$D$44,10),'P05-TenderBid'!$C$5:$C$44)</f>
        <v>5063623.5</v>
      </c>
      <c r="E369" t="s">
        <v>1467</v>
      </c>
      <c r="F369" s="48">
        <f>AVERAGEIF('P05-TenderBid'!$D$5:$D$44,"&gt;="&amp;LARGE('P05-TenderBid'!$D$5:$D$44,10),'P05-TenderBid'!$C$5:$C$44)</f>
        <v>3925204.9</v>
      </c>
    </row>
    <row r="370" spans="1:6">
      <c r="A370" s="44" t="str">
        <f>"ANSWER: r = "&amp;TEXT($B$369,"0.000")&amp;" between bid amount and completion days — "&amp;IF(ABS($B$369)&lt;0.2,"essentially no relationship, so cheaper bids are NOT systematically slower",IF($B$369&lt;0,"a "&amp;IF(ABS($B$369)&lt;0.5,"weak","strong")&amp;" negative relationship, i.e. cheaper bids do tend to quote longer programmes","a "&amp;IF(ABS($B$369)&lt;0.5,"weak","strong")&amp;" positive relationship"))&amp;". The fastest 10 bids average "&amp;TEXT($D$369,"""$""#,##0")&amp;" against "&amp;TEXT($F$369,"""$""#,##0")&amp;" for the slowest 10."</f>
        <v>ANSWER: r = -0.254 between bid amount and completion days — a weak negative relationship, i.e. cheaper bids do tend to quote longer programmes. The fastest 10 bids average $50,63,624 against $39,25,205 for the slowest 10.</v>
      </c>
    </row>
    <row r="372" spans="1:6">
      <c r="A372" s="41" t="s">
        <v>1468</v>
      </c>
      <c r="B372" s="41"/>
      <c r="C372" s="41"/>
      <c r="D372" s="41"/>
      <c r="E372" s="41"/>
      <c r="F372" s="41"/>
    </row>
    <row r="373" spans="1:6">
      <c r="A373" s="42" t="s">
        <v>1469</v>
      </c>
    </row>
    <row r="374" spans="1:6">
      <c r="A374" s="43" t="s">
        <v>1470</v>
      </c>
      <c r="B374" s="43" t="s">
        <v>1471</v>
      </c>
      <c r="C374" s="43" t="s">
        <v>1472</v>
      </c>
      <c r="D374" s="43" t="s">
        <v>1473</v>
      </c>
      <c r="E374" s="43" t="s">
        <v>1474</v>
      </c>
      <c r="F374" s="43" t="s">
        <v>1475</v>
      </c>
    </row>
    <row r="375" spans="1:6">
      <c r="A375" t="s">
        <v>450</v>
      </c>
      <c r="B375">
        <f>COUNTIF('P06-DelayRCA'!$G$5:$G$64,$A375)</f>
        <v>8</v>
      </c>
      <c r="C375">
        <f>SUMIF('P06-DelayRCA'!$G$5:$G$64,$A375,'P06-DelayRCA'!$F$5:$F$64)</f>
        <v>175</v>
      </c>
      <c r="D375" s="54">
        <f t="shared" ref="D375:D384" si="10">IFERROR(C375/B375,0)</f>
        <v>21.875</v>
      </c>
      <c r="E375" s="39">
        <f t="shared" ref="E375:E385" si="11">B375/$B$385</f>
        <v>0.13333333333333333</v>
      </c>
      <c r="F375" s="58">
        <f t="shared" ref="F375:F384" si="12">B375*1000-ROW()</f>
        <v>7625</v>
      </c>
    </row>
    <row r="376" spans="1:6">
      <c r="A376" t="s">
        <v>456</v>
      </c>
      <c r="B376">
        <f>COUNTIF('P06-DelayRCA'!$G$5:$G$64,$A376)</f>
        <v>6</v>
      </c>
      <c r="C376">
        <f>SUMIF('P06-DelayRCA'!$G$5:$G$64,$A376,'P06-DelayRCA'!$F$5:$F$64)</f>
        <v>168</v>
      </c>
      <c r="D376" s="54">
        <f t="shared" si="10"/>
        <v>28</v>
      </c>
      <c r="E376" s="39">
        <f t="shared" si="11"/>
        <v>0.1</v>
      </c>
      <c r="F376" s="58">
        <f t="shared" si="12"/>
        <v>5624</v>
      </c>
    </row>
    <row r="377" spans="1:6">
      <c r="A377" t="s">
        <v>461</v>
      </c>
      <c r="B377">
        <f>COUNTIF('P06-DelayRCA'!$G$5:$G$64,$A377)</f>
        <v>8</v>
      </c>
      <c r="C377">
        <f>SUMIF('P06-DelayRCA'!$G$5:$G$64,$A377,'P06-DelayRCA'!$F$5:$F$64)</f>
        <v>162</v>
      </c>
      <c r="D377" s="54">
        <f t="shared" si="10"/>
        <v>20.25</v>
      </c>
      <c r="E377" s="39">
        <f t="shared" si="11"/>
        <v>0.13333333333333333</v>
      </c>
      <c r="F377" s="58">
        <f t="shared" si="12"/>
        <v>7623</v>
      </c>
    </row>
    <row r="378" spans="1:6">
      <c r="A378" t="s">
        <v>470</v>
      </c>
      <c r="B378">
        <f>COUNTIF('P06-DelayRCA'!$G$5:$G$64,$A378)</f>
        <v>5</v>
      </c>
      <c r="C378">
        <f>SUMIF('P06-DelayRCA'!$G$5:$G$64,$A378,'P06-DelayRCA'!$F$5:$F$64)</f>
        <v>111</v>
      </c>
      <c r="D378" s="54">
        <f t="shared" si="10"/>
        <v>22.2</v>
      </c>
      <c r="E378" s="39">
        <f t="shared" si="11"/>
        <v>8.3333333333333329E-2</v>
      </c>
      <c r="F378" s="58">
        <f t="shared" si="12"/>
        <v>4622</v>
      </c>
    </row>
    <row r="379" spans="1:6">
      <c r="A379" t="s">
        <v>474</v>
      </c>
      <c r="B379">
        <f>COUNTIF('P06-DelayRCA'!$G$5:$G$64,$A379)</f>
        <v>5</v>
      </c>
      <c r="C379">
        <f>SUMIF('P06-DelayRCA'!$G$5:$G$64,$A379,'P06-DelayRCA'!$F$5:$F$64)</f>
        <v>132</v>
      </c>
      <c r="D379" s="54">
        <f t="shared" si="10"/>
        <v>26.4</v>
      </c>
      <c r="E379" s="39">
        <f t="shared" si="11"/>
        <v>8.3333333333333329E-2</v>
      </c>
      <c r="F379" s="58">
        <f t="shared" si="12"/>
        <v>4621</v>
      </c>
    </row>
    <row r="380" spans="1:6">
      <c r="A380" t="s">
        <v>484</v>
      </c>
      <c r="B380">
        <f>COUNTIF('P06-DelayRCA'!$G$5:$G$64,$A380)</f>
        <v>11</v>
      </c>
      <c r="C380">
        <f>SUMIF('P06-DelayRCA'!$G$5:$G$64,$A380,'P06-DelayRCA'!$F$5:$F$64)</f>
        <v>266</v>
      </c>
      <c r="D380" s="54">
        <f t="shared" si="10"/>
        <v>24.181818181818183</v>
      </c>
      <c r="E380" s="39">
        <f t="shared" si="11"/>
        <v>0.18333333333333332</v>
      </c>
      <c r="F380" s="58">
        <f t="shared" si="12"/>
        <v>10620</v>
      </c>
    </row>
    <row r="381" spans="1:6">
      <c r="A381" t="s">
        <v>507</v>
      </c>
      <c r="B381">
        <f>COUNTIF('P06-DelayRCA'!$G$5:$G$64,$A381)</f>
        <v>5</v>
      </c>
      <c r="C381">
        <f>SUMIF('P06-DelayRCA'!$G$5:$G$64,$A381,'P06-DelayRCA'!$F$5:$F$64)</f>
        <v>150</v>
      </c>
      <c r="D381" s="54">
        <f t="shared" si="10"/>
        <v>30</v>
      </c>
      <c r="E381" s="39">
        <f t="shared" si="11"/>
        <v>8.3333333333333329E-2</v>
      </c>
      <c r="F381" s="58">
        <f t="shared" si="12"/>
        <v>4619</v>
      </c>
    </row>
    <row r="382" spans="1:6">
      <c r="A382" t="s">
        <v>511</v>
      </c>
      <c r="B382">
        <f>COUNTIF('P06-DelayRCA'!$G$5:$G$64,$A382)</f>
        <v>4</v>
      </c>
      <c r="C382">
        <f>SUMIF('P06-DelayRCA'!$G$5:$G$64,$A382,'P06-DelayRCA'!$F$5:$F$64)</f>
        <v>62</v>
      </c>
      <c r="D382" s="54">
        <f t="shared" si="10"/>
        <v>15.5</v>
      </c>
      <c r="E382" s="39">
        <f t="shared" si="11"/>
        <v>6.6666666666666666E-2</v>
      </c>
      <c r="F382" s="58">
        <f t="shared" si="12"/>
        <v>3618</v>
      </c>
    </row>
    <row r="383" spans="1:6">
      <c r="A383" t="s">
        <v>516</v>
      </c>
      <c r="B383">
        <f>COUNTIF('P06-DelayRCA'!$G$5:$G$64,$A383)</f>
        <v>3</v>
      </c>
      <c r="C383">
        <f>SUMIF('P06-DelayRCA'!$G$5:$G$64,$A383,'P06-DelayRCA'!$F$5:$F$64)</f>
        <v>82</v>
      </c>
      <c r="D383" s="54">
        <f t="shared" si="10"/>
        <v>27.333333333333332</v>
      </c>
      <c r="E383" s="39">
        <f t="shared" si="11"/>
        <v>0.05</v>
      </c>
      <c r="F383" s="58">
        <f t="shared" si="12"/>
        <v>2617</v>
      </c>
    </row>
    <row r="384" spans="1:6">
      <c r="A384" t="s">
        <v>554</v>
      </c>
      <c r="B384">
        <f>COUNTIF('P06-DelayRCA'!$G$5:$G$64,$A384)</f>
        <v>5</v>
      </c>
      <c r="C384">
        <f>SUMIF('P06-DelayRCA'!$G$5:$G$64,$A384,'P06-DelayRCA'!$F$5:$F$64)</f>
        <v>159</v>
      </c>
      <c r="D384" s="54">
        <f t="shared" si="10"/>
        <v>31.8</v>
      </c>
      <c r="E384" s="39">
        <f t="shared" si="11"/>
        <v>8.3333333333333329E-2</v>
      </c>
      <c r="F384" s="58">
        <f t="shared" si="12"/>
        <v>4616</v>
      </c>
    </row>
    <row r="385" spans="1:6">
      <c r="A385" s="36" t="s">
        <v>1307</v>
      </c>
      <c r="B385" s="36">
        <f>SUM(B375:B384)</f>
        <v>60</v>
      </c>
      <c r="C385" s="36">
        <f>SUM(C375:C384)</f>
        <v>1467</v>
      </c>
      <c r="D385" s="59">
        <f>C385/B385</f>
        <v>24.45</v>
      </c>
      <c r="E385" s="45">
        <f t="shared" si="11"/>
        <v>1</v>
      </c>
      <c r="F385" s="36"/>
    </row>
    <row r="386" spans="1:6">
      <c r="A386" s="43" t="s">
        <v>1309</v>
      </c>
      <c r="B386" s="43" t="s">
        <v>1476</v>
      </c>
      <c r="C386" s="43" t="s">
        <v>1471</v>
      </c>
      <c r="D386" s="43" t="s">
        <v>1474</v>
      </c>
      <c r="E386" s="43" t="s">
        <v>1477</v>
      </c>
      <c r="F386" s="43" t="s">
        <v>1472</v>
      </c>
    </row>
    <row r="387" spans="1:6">
      <c r="A387">
        <v>1</v>
      </c>
      <c r="B387" t="str">
        <f t="shared" ref="B387:B396" si="13">INDEX($A$375:$A$384,MATCH(LARGE($F$375:$F$384,$A387),$F$375:$F$384,0))</f>
        <v>RFI Response Delay</v>
      </c>
      <c r="C387">
        <f t="shared" ref="C387:C396" si="14">INDEX($B$375:$B$384,MATCH(LARGE($F$375:$F$384,$A387),$F$375:$F$384,0))</f>
        <v>11</v>
      </c>
      <c r="D387" s="39">
        <f t="shared" ref="D387:D396" si="15">C387/$B$385</f>
        <v>0.18333333333333332</v>
      </c>
      <c r="E387" s="39">
        <f>D387</f>
        <v>0.18333333333333332</v>
      </c>
      <c r="F387">
        <f t="shared" ref="F387:F396" si="16">INDEX($C$375:$C$384,MATCH(LARGE($F$375:$F$384,$A387),$F$375:$F$384,0))</f>
        <v>266</v>
      </c>
    </row>
    <row r="388" spans="1:6">
      <c r="A388">
        <v>2</v>
      </c>
      <c r="B388" t="str">
        <f t="shared" si="13"/>
        <v>Permit Delay</v>
      </c>
      <c r="C388">
        <f t="shared" si="14"/>
        <v>8</v>
      </c>
      <c r="D388" s="39">
        <f t="shared" si="15"/>
        <v>0.13333333333333333</v>
      </c>
      <c r="E388" s="39">
        <f t="shared" ref="E388:E396" si="17">E387+D388</f>
        <v>0.31666666666666665</v>
      </c>
      <c r="F388">
        <f t="shared" si="16"/>
        <v>175</v>
      </c>
    </row>
    <row r="389" spans="1:6">
      <c r="A389">
        <v>3</v>
      </c>
      <c r="B389" t="str">
        <f t="shared" si="13"/>
        <v>Material Delay</v>
      </c>
      <c r="C389">
        <f t="shared" si="14"/>
        <v>8</v>
      </c>
      <c r="D389" s="39">
        <f t="shared" si="15"/>
        <v>0.13333333333333333</v>
      </c>
      <c r="E389" s="39">
        <f t="shared" si="17"/>
        <v>0.44999999999999996</v>
      </c>
      <c r="F389">
        <f t="shared" si="16"/>
        <v>162</v>
      </c>
    </row>
    <row r="390" spans="1:6">
      <c r="A390">
        <v>4</v>
      </c>
      <c r="B390" t="str">
        <f t="shared" si="13"/>
        <v>Client Decision Pending</v>
      </c>
      <c r="C390">
        <f t="shared" si="14"/>
        <v>6</v>
      </c>
      <c r="D390" s="39">
        <f t="shared" si="15"/>
        <v>0.1</v>
      </c>
      <c r="E390" s="39">
        <f t="shared" si="17"/>
        <v>0.54999999999999993</v>
      </c>
      <c r="F390">
        <f t="shared" si="16"/>
        <v>168</v>
      </c>
    </row>
    <row r="391" spans="1:6">
      <c r="A391">
        <v>5</v>
      </c>
      <c r="B391" t="str">
        <f t="shared" si="13"/>
        <v>Labour Shortage</v>
      </c>
      <c r="C391">
        <f t="shared" si="14"/>
        <v>5</v>
      </c>
      <c r="D391" s="39">
        <f t="shared" si="15"/>
        <v>8.3333333333333329E-2</v>
      </c>
      <c r="E391" s="39">
        <f t="shared" si="17"/>
        <v>0.6333333333333333</v>
      </c>
      <c r="F391">
        <f t="shared" si="16"/>
        <v>111</v>
      </c>
    </row>
    <row r="392" spans="1:6">
      <c r="A392">
        <v>6</v>
      </c>
      <c r="B392" t="str">
        <f t="shared" si="13"/>
        <v>Equipment Breakdown</v>
      </c>
      <c r="C392">
        <f t="shared" si="14"/>
        <v>5</v>
      </c>
      <c r="D392" s="39">
        <f t="shared" si="15"/>
        <v>8.3333333333333329E-2</v>
      </c>
      <c r="E392" s="39">
        <f t="shared" si="17"/>
        <v>0.71666666666666667</v>
      </c>
      <c r="F392">
        <f t="shared" si="16"/>
        <v>132</v>
      </c>
    </row>
    <row r="393" spans="1:6">
      <c r="A393">
        <v>7</v>
      </c>
      <c r="B393" t="str">
        <f t="shared" si="13"/>
        <v>Rework</v>
      </c>
      <c r="C393">
        <f t="shared" si="14"/>
        <v>5</v>
      </c>
      <c r="D393" s="39">
        <f t="shared" si="15"/>
        <v>8.3333333333333329E-2</v>
      </c>
      <c r="E393" s="39">
        <f t="shared" si="17"/>
        <v>0.8</v>
      </c>
      <c r="F393">
        <f t="shared" si="16"/>
        <v>150</v>
      </c>
    </row>
    <row r="394" spans="1:6">
      <c r="A394">
        <v>8</v>
      </c>
      <c r="B394" t="str">
        <f t="shared" si="13"/>
        <v>Weather</v>
      </c>
      <c r="C394">
        <f t="shared" si="14"/>
        <v>5</v>
      </c>
      <c r="D394" s="39">
        <f t="shared" si="15"/>
        <v>8.3333333333333329E-2</v>
      </c>
      <c r="E394" s="39">
        <f t="shared" si="17"/>
        <v>0.88333333333333341</v>
      </c>
      <c r="F394">
        <f t="shared" si="16"/>
        <v>159</v>
      </c>
    </row>
    <row r="395" spans="1:6">
      <c r="A395">
        <v>9</v>
      </c>
      <c r="B395" t="str">
        <f t="shared" si="13"/>
        <v>Design Change</v>
      </c>
      <c r="C395">
        <f t="shared" si="14"/>
        <v>4</v>
      </c>
      <c r="D395" s="39">
        <f t="shared" si="15"/>
        <v>6.6666666666666666E-2</v>
      </c>
      <c r="E395" s="39">
        <f t="shared" si="17"/>
        <v>0.95000000000000007</v>
      </c>
      <c r="F395">
        <f t="shared" si="16"/>
        <v>62</v>
      </c>
    </row>
    <row r="396" spans="1:6">
      <c r="A396">
        <v>10</v>
      </c>
      <c r="B396" t="str">
        <f t="shared" si="13"/>
        <v>Subcontractor Default</v>
      </c>
      <c r="C396">
        <f t="shared" si="14"/>
        <v>3</v>
      </c>
      <c r="D396" s="39">
        <f t="shared" si="15"/>
        <v>0.05</v>
      </c>
      <c r="E396" s="39">
        <f t="shared" si="17"/>
        <v>1</v>
      </c>
      <c r="F396">
        <f t="shared" si="16"/>
        <v>82</v>
      </c>
    </row>
    <row r="397" spans="1:6">
      <c r="A397" s="44" t="str" cm="1">
        <f t="array" ref="A397">"ANSWER: The most frequent delay cause is "&amp;$B$387&amp;" with "&amp;$C$387&amp;" of "&amp;$B$385&amp;" events ("&amp;TEXT($D$387,"0.0%")&amp;") and "&amp;$F$387&amp;" delay days. The top 3 causes — "&amp;$B$387&amp;", "&amp;$B$388&amp;" and "&amp;$B$389&amp;" — account for "&amp;TEXT($E$389,"0.0%")&amp;" of all delay events (Pareto 80/20 point is reached at rank "&amp;MATCH(TRUE,INDEX($E$387:$E$396&gt;=0.8,0),0)&amp;")."</f>
        <v>ANSWER: The most frequent delay cause is RFI Response Delay with 11 of 60 events (18.3%) and 266 delay days. The top 3 causes — RFI Response Delay, Permit Delay and Material Delay — account for 45.0% of all delay events (Pareto 80/20 point is reached at rank 7).</v>
      </c>
    </row>
    <row r="399" spans="1:6">
      <c r="A399" s="42" t="s">
        <v>630</v>
      </c>
    </row>
    <row r="400" spans="1:6">
      <c r="A400" s="43" t="s">
        <v>1478</v>
      </c>
      <c r="B400" s="43" t="s">
        <v>1472</v>
      </c>
      <c r="C400" s="43" t="s">
        <v>1479</v>
      </c>
      <c r="D400" s="43" t="s">
        <v>1473</v>
      </c>
      <c r="E400" s="43" t="s">
        <v>1480</v>
      </c>
      <c r="F400" s="43" t="s">
        <v>1481</v>
      </c>
    </row>
    <row r="401" spans="1:6">
      <c r="A401" t="s">
        <v>512</v>
      </c>
      <c r="B401">
        <f>SUMIF('P06-DelayRCA'!$H$5:$H$64,$A401,'P06-DelayRCA'!$F$5:$F$64)</f>
        <v>121</v>
      </c>
      <c r="C401">
        <f>COUNTIF('P06-DelayRCA'!$H$5:$H$64,$A401)</f>
        <v>5</v>
      </c>
      <c r="D401" s="54">
        <f t="shared" ref="D401:D406" si="18">IFERROR(B401/C401,0)</f>
        <v>24.2</v>
      </c>
      <c r="E401" s="39">
        <f t="shared" ref="E401:E407" si="19">B401/$B$407</f>
        <v>8.2481254260395362E-2</v>
      </c>
      <c r="F401">
        <f>_xlfn.MAXIFS('P06-DelayRCA'!$F$5:$F$64,'P06-DelayRCA'!$H$5:$H$64,$A401)</f>
        <v>44</v>
      </c>
    </row>
    <row r="402" spans="1:6">
      <c r="A402" t="s">
        <v>479</v>
      </c>
      <c r="B402">
        <f>SUMIF('P06-DelayRCA'!$H$5:$H$64,$A402,'P06-DelayRCA'!$F$5:$F$64)</f>
        <v>339</v>
      </c>
      <c r="C402">
        <f>COUNTIF('P06-DelayRCA'!$H$5:$H$64,$A402)</f>
        <v>15</v>
      </c>
      <c r="D402" s="54">
        <f t="shared" si="18"/>
        <v>22.6</v>
      </c>
      <c r="E402" s="39">
        <f t="shared" si="19"/>
        <v>0.2310838445807771</v>
      </c>
      <c r="F402">
        <f>_xlfn.MAXIFS('P06-DelayRCA'!$F$5:$F$64,'P06-DelayRCA'!$H$5:$H$64,$A402)</f>
        <v>44</v>
      </c>
    </row>
    <row r="403" spans="1:6">
      <c r="A403" t="s">
        <v>406</v>
      </c>
      <c r="B403">
        <f>SUMIF('P06-DelayRCA'!$H$5:$H$64,$A403,'P06-DelayRCA'!$F$5:$F$64)</f>
        <v>145</v>
      </c>
      <c r="C403">
        <f>COUNTIF('P06-DelayRCA'!$H$5:$H$64,$A403)</f>
        <v>6</v>
      </c>
      <c r="D403" s="54">
        <f t="shared" si="18"/>
        <v>24.166666666666668</v>
      </c>
      <c r="E403" s="39">
        <f t="shared" si="19"/>
        <v>9.8841172460804358E-2</v>
      </c>
      <c r="F403">
        <f>_xlfn.MAXIFS('P06-DelayRCA'!$F$5:$F$64,'P06-DelayRCA'!$H$5:$H$64,$A403)</f>
        <v>40</v>
      </c>
    </row>
    <row r="404" spans="1:6">
      <c r="A404" t="s">
        <v>488</v>
      </c>
      <c r="B404">
        <f>SUMIF('P06-DelayRCA'!$H$5:$H$64,$A404,'P06-DelayRCA'!$F$5:$F$64)</f>
        <v>321</v>
      </c>
      <c r="C404">
        <f>COUNTIF('P06-DelayRCA'!$H$5:$H$64,$A404)</f>
        <v>13</v>
      </c>
      <c r="D404" s="54">
        <f t="shared" si="18"/>
        <v>24.692307692307693</v>
      </c>
      <c r="E404" s="39">
        <f t="shared" si="19"/>
        <v>0.21881390593047034</v>
      </c>
      <c r="F404">
        <f>_xlfn.MAXIFS('P06-DelayRCA'!$F$5:$F$64,'P06-DelayRCA'!$H$5:$H$64,$A404)</f>
        <v>45</v>
      </c>
    </row>
    <row r="405" spans="1:6">
      <c r="A405" t="s">
        <v>466</v>
      </c>
      <c r="B405">
        <f>SUMIF('P06-DelayRCA'!$H$5:$H$64,$A405,'P06-DelayRCA'!$F$5:$F$64)</f>
        <v>240</v>
      </c>
      <c r="C405">
        <f>COUNTIF('P06-DelayRCA'!$H$5:$H$64,$A405)</f>
        <v>10</v>
      </c>
      <c r="D405" s="54">
        <f t="shared" si="18"/>
        <v>24</v>
      </c>
      <c r="E405" s="39">
        <f t="shared" si="19"/>
        <v>0.16359918200408999</v>
      </c>
      <c r="F405">
        <f>_xlfn.MAXIFS('P06-DelayRCA'!$F$5:$F$64,'P06-DelayRCA'!$H$5:$H$64,$A405)</f>
        <v>38</v>
      </c>
    </row>
    <row r="406" spans="1:6">
      <c r="A406" t="s">
        <v>451</v>
      </c>
      <c r="B406">
        <f>SUMIF('P06-DelayRCA'!$H$5:$H$64,$A406,'P06-DelayRCA'!$F$5:$F$64)</f>
        <v>301</v>
      </c>
      <c r="C406">
        <f>COUNTIF('P06-DelayRCA'!$H$5:$H$64,$A406)</f>
        <v>11</v>
      </c>
      <c r="D406" s="54">
        <f t="shared" si="18"/>
        <v>27.363636363636363</v>
      </c>
      <c r="E406" s="39">
        <f t="shared" si="19"/>
        <v>0.20518064076346285</v>
      </c>
      <c r="F406">
        <f>_xlfn.MAXIFS('P06-DelayRCA'!$F$5:$F$64,'P06-DelayRCA'!$H$5:$H$64,$A406)</f>
        <v>43</v>
      </c>
    </row>
    <row r="407" spans="1:6">
      <c r="A407" s="36" t="s">
        <v>1307</v>
      </c>
      <c r="B407" s="36">
        <f>SUM(B401:B406)</f>
        <v>1467</v>
      </c>
      <c r="C407" s="36">
        <f>SUM(C401:C406)</f>
        <v>60</v>
      </c>
      <c r="D407" s="59">
        <f>B407/C407</f>
        <v>24.45</v>
      </c>
      <c r="E407" s="45">
        <f t="shared" si="19"/>
        <v>1</v>
      </c>
      <c r="F407" s="36">
        <f>MAX('P06-DelayRCA'!$F$5:$F$64)</f>
        <v>45</v>
      </c>
    </row>
    <row r="408" spans="1:6">
      <c r="A408" s="44" t="str">
        <f>"ANSWER: "&amp;INDEX($A$401:$A$406,MATCH(MAX($B$401:$B$406),$B$401:$B$406,0))&amp;" is responsible for the most delay — "&amp;TEXT(MAX($B$401:$B$406),"#,##0")&amp;" days ("&amp;TEXT(MAX($B$401:$B$406)/$B$407,"0.0%")&amp;" of the "&amp;TEXT($B$407,"#,##0")&amp;" total) across "&amp;INDEX($C$401:$C$406,MATCH(MAX($B$401:$B$406),$B$401:$B$406,0))&amp;" incidents. Lowest contributor: "&amp;INDEX($A$401:$A$406,MATCH(MIN($B$401:$B$406),$B$401:$B$406,0))&amp;" with "&amp;TEXT(MIN($B$401:$B$406),"#,##0")&amp;" days."</f>
        <v>ANSWER: Consultant is responsible for the most delay — 339 days (23.1% of the 1,467 total) across 15 incidents. Lowest contributor: Client with 121 days.</v>
      </c>
    </row>
    <row r="410" spans="1:6">
      <c r="A410" s="42" t="s">
        <v>1482</v>
      </c>
    </row>
    <row r="411" spans="1:6">
      <c r="A411" t="s">
        <v>1483</v>
      </c>
      <c r="B411">
        <f>SUMIF('P06-DelayRCA'!$B$5:$B$64,"WT-DC-MUM-01",'P06-DelayRCA'!$F$5:$F$64)</f>
        <v>382</v>
      </c>
      <c r="C411" t="s">
        <v>1484</v>
      </c>
      <c r="D411">
        <f>COUNTIF('P06-DelayRCA'!$B$5:$B$64,"WT-DC-MUM-01")</f>
        <v>12</v>
      </c>
      <c r="E411" t="s">
        <v>1485</v>
      </c>
      <c r="F411" s="54">
        <f>B411/D411</f>
        <v>31.833333333333332</v>
      </c>
    </row>
    <row r="412" spans="1:6">
      <c r="A412" s="43" t="s">
        <v>1470</v>
      </c>
      <c r="B412" s="43" t="s">
        <v>1486</v>
      </c>
      <c r="C412" s="43" t="s">
        <v>1487</v>
      </c>
      <c r="D412" s="43" t="s">
        <v>1488</v>
      </c>
      <c r="E412" s="43" t="s">
        <v>1489</v>
      </c>
      <c r="F412" s="43"/>
    </row>
    <row r="413" spans="1:6">
      <c r="A413" t="s">
        <v>450</v>
      </c>
      <c r="B413">
        <f>SUMIFS('P06-DelayRCA'!$F$5:$F$64,'P06-DelayRCA'!$B$5:$B$64,"WT-DC-MUM-01",'P06-DelayRCA'!$G$5:$G$64,$A413)</f>
        <v>0</v>
      </c>
      <c r="C413">
        <f>COUNTIFS('P06-DelayRCA'!$B$5:$B$64,"WT-DC-MUM-01",'P06-DelayRCA'!$G$5:$G$64,$A413)</f>
        <v>0</v>
      </c>
      <c r="D413" s="54">
        <f t="shared" ref="D413:D422" si="20">IFERROR(B413/C413,0)</f>
        <v>0</v>
      </c>
      <c r="E413">
        <f t="shared" ref="E413:E422" si="21">B413/$B$411</f>
        <v>0</v>
      </c>
      <c r="F413" s="39"/>
    </row>
    <row r="414" spans="1:6">
      <c r="A414" t="s">
        <v>456</v>
      </c>
      <c r="B414">
        <f>SUMIFS('P06-DelayRCA'!$F$5:$F$64,'P06-DelayRCA'!$B$5:$B$64,"WT-DC-MUM-01",'P06-DelayRCA'!$G$5:$G$64,$A414)</f>
        <v>80</v>
      </c>
      <c r="C414">
        <f>COUNTIFS('P06-DelayRCA'!$B$5:$B$64,"WT-DC-MUM-01",'P06-DelayRCA'!$G$5:$G$64,$A414)</f>
        <v>3</v>
      </c>
      <c r="D414" s="54">
        <f t="shared" si="20"/>
        <v>26.666666666666668</v>
      </c>
      <c r="E414">
        <f t="shared" si="21"/>
        <v>0.20942408376963351</v>
      </c>
      <c r="F414" s="39"/>
    </row>
    <row r="415" spans="1:6">
      <c r="A415" t="s">
        <v>461</v>
      </c>
      <c r="B415">
        <f>SUMIFS('P06-DelayRCA'!$F$5:$F$64,'P06-DelayRCA'!$B$5:$B$64,"WT-DC-MUM-01",'P06-DelayRCA'!$G$5:$G$64,$A415)</f>
        <v>105</v>
      </c>
      <c r="C415">
        <f>COUNTIFS('P06-DelayRCA'!$B$5:$B$64,"WT-DC-MUM-01",'P06-DelayRCA'!$G$5:$G$64,$A415)</f>
        <v>3</v>
      </c>
      <c r="D415" s="54">
        <f t="shared" si="20"/>
        <v>35</v>
      </c>
      <c r="E415">
        <f t="shared" si="21"/>
        <v>0.27486910994764396</v>
      </c>
      <c r="F415" s="39"/>
    </row>
    <row r="416" spans="1:6">
      <c r="A416" t="s">
        <v>470</v>
      </c>
      <c r="B416">
        <f>SUMIFS('P06-DelayRCA'!$F$5:$F$64,'P06-DelayRCA'!$B$5:$B$64,"WT-DC-MUM-01",'P06-DelayRCA'!$G$5:$G$64,$A416)</f>
        <v>0</v>
      </c>
      <c r="C416">
        <f>COUNTIFS('P06-DelayRCA'!$B$5:$B$64,"WT-DC-MUM-01",'P06-DelayRCA'!$G$5:$G$64,$A416)</f>
        <v>0</v>
      </c>
      <c r="D416" s="54">
        <f t="shared" si="20"/>
        <v>0</v>
      </c>
      <c r="E416">
        <f t="shared" si="21"/>
        <v>0</v>
      </c>
      <c r="F416" s="39"/>
    </row>
    <row r="417" spans="1:6">
      <c r="A417" t="s">
        <v>474</v>
      </c>
      <c r="B417">
        <f>SUMIFS('P06-DelayRCA'!$F$5:$F$64,'P06-DelayRCA'!$B$5:$B$64,"WT-DC-MUM-01",'P06-DelayRCA'!$G$5:$G$64,$A417)</f>
        <v>53</v>
      </c>
      <c r="C417">
        <f>COUNTIFS('P06-DelayRCA'!$B$5:$B$64,"WT-DC-MUM-01",'P06-DelayRCA'!$G$5:$G$64,$A417)</f>
        <v>2</v>
      </c>
      <c r="D417" s="54">
        <f t="shared" si="20"/>
        <v>26.5</v>
      </c>
      <c r="E417">
        <f t="shared" si="21"/>
        <v>0.13874345549738221</v>
      </c>
      <c r="F417" s="39"/>
    </row>
    <row r="418" spans="1:6">
      <c r="A418" t="s">
        <v>484</v>
      </c>
      <c r="B418">
        <f>SUMIFS('P06-DelayRCA'!$F$5:$F$64,'P06-DelayRCA'!$B$5:$B$64,"WT-DC-MUM-01",'P06-DelayRCA'!$G$5:$G$64,$A418)</f>
        <v>75</v>
      </c>
      <c r="C418">
        <f>COUNTIFS('P06-DelayRCA'!$B$5:$B$64,"WT-DC-MUM-01",'P06-DelayRCA'!$G$5:$G$64,$A418)</f>
        <v>2</v>
      </c>
      <c r="D418" s="54">
        <f t="shared" si="20"/>
        <v>37.5</v>
      </c>
      <c r="E418">
        <f t="shared" si="21"/>
        <v>0.19633507853403143</v>
      </c>
      <c r="F418" s="39"/>
    </row>
    <row r="419" spans="1:6">
      <c r="A419" t="s">
        <v>507</v>
      </c>
      <c r="B419">
        <f>SUMIFS('P06-DelayRCA'!$F$5:$F$64,'P06-DelayRCA'!$B$5:$B$64,"WT-DC-MUM-01",'P06-DelayRCA'!$G$5:$G$64,$A419)</f>
        <v>32</v>
      </c>
      <c r="C419">
        <f>COUNTIFS('P06-DelayRCA'!$B$5:$B$64,"WT-DC-MUM-01",'P06-DelayRCA'!$G$5:$G$64,$A419)</f>
        <v>1</v>
      </c>
      <c r="D419" s="54">
        <f t="shared" si="20"/>
        <v>32</v>
      </c>
      <c r="E419">
        <f t="shared" si="21"/>
        <v>8.3769633507853408E-2</v>
      </c>
      <c r="F419" s="39"/>
    </row>
    <row r="420" spans="1:6">
      <c r="A420" t="s">
        <v>511</v>
      </c>
      <c r="B420">
        <f>SUMIFS('P06-DelayRCA'!$F$5:$F$64,'P06-DelayRCA'!$B$5:$B$64,"WT-DC-MUM-01",'P06-DelayRCA'!$G$5:$G$64,$A420)</f>
        <v>0</v>
      </c>
      <c r="C420">
        <f>COUNTIFS('P06-DelayRCA'!$B$5:$B$64,"WT-DC-MUM-01",'P06-DelayRCA'!$G$5:$G$64,$A420)</f>
        <v>0</v>
      </c>
      <c r="D420" s="54">
        <f t="shared" si="20"/>
        <v>0</v>
      </c>
      <c r="E420">
        <f t="shared" si="21"/>
        <v>0</v>
      </c>
      <c r="F420" s="39"/>
    </row>
    <row r="421" spans="1:6">
      <c r="A421" t="s">
        <v>516</v>
      </c>
      <c r="B421">
        <f>SUMIFS('P06-DelayRCA'!$F$5:$F$64,'P06-DelayRCA'!$B$5:$B$64,"WT-DC-MUM-01",'P06-DelayRCA'!$G$5:$G$64,$A421)</f>
        <v>37</v>
      </c>
      <c r="C421">
        <f>COUNTIFS('P06-DelayRCA'!$B$5:$B$64,"WT-DC-MUM-01",'P06-DelayRCA'!$G$5:$G$64,$A421)</f>
        <v>1</v>
      </c>
      <c r="D421" s="54">
        <f t="shared" si="20"/>
        <v>37</v>
      </c>
      <c r="E421">
        <f t="shared" si="21"/>
        <v>9.6858638743455502E-2</v>
      </c>
      <c r="F421" s="39"/>
    </row>
    <row r="422" spans="1:6">
      <c r="A422" t="s">
        <v>554</v>
      </c>
      <c r="B422">
        <f>SUMIFS('P06-DelayRCA'!$F$5:$F$64,'P06-DelayRCA'!$B$5:$B$64,"WT-DC-MUM-01",'P06-DelayRCA'!$G$5:$G$64,$A422)</f>
        <v>0</v>
      </c>
      <c r="C422">
        <f>COUNTIFS('P06-DelayRCA'!$B$5:$B$64,"WT-DC-MUM-01",'P06-DelayRCA'!$G$5:$G$64,$A422)</f>
        <v>0</v>
      </c>
      <c r="D422" s="54">
        <f t="shared" si="20"/>
        <v>0</v>
      </c>
      <c r="E422">
        <f t="shared" si="21"/>
        <v>0</v>
      </c>
      <c r="F422" s="39"/>
    </row>
    <row r="423" spans="1:6">
      <c r="A423" s="44" t="str">
        <f>"ANSWER: WT-DC-MUM-01 has accumulated "&amp;TEXT($B$411,"#,##0")&amp;" delay days across "&amp;$D$411&amp;" events (avg "&amp;TEXT($F$411,"0.0")&amp;" days each). The dominant cause is "&amp;INDEX($A$413:$A$422,MATCH(MAX($B$413:$B$422),$B$413:$B$422,0))&amp;" with "&amp;TEXT(MAX($B$413:$B$422),"#,##0")&amp;" days ("&amp;TEXT(MAX($B$413:$B$422)/$B$411,"0.0%")&amp;" of the project's delay)."</f>
        <v>ANSWER: WT-DC-MUM-01 has accumulated 382 delay days across 12 events (avg 31.8 days each). The dominant cause is Material Delay with 105 days (27.5% of the project's delay).</v>
      </c>
    </row>
    <row r="425" spans="1:6">
      <c r="A425" s="42" t="s">
        <v>1490</v>
      </c>
    </row>
    <row r="426" spans="1:6">
      <c r="A426" s="43" t="s">
        <v>219</v>
      </c>
      <c r="B426" s="43" t="s">
        <v>1491</v>
      </c>
      <c r="C426" s="43" t="s">
        <v>1492</v>
      </c>
      <c r="D426" s="43" t="s">
        <v>1493</v>
      </c>
      <c r="E426" s="43" t="s">
        <v>1494</v>
      </c>
      <c r="F426" s="43" t="s">
        <v>1495</v>
      </c>
    </row>
    <row r="427" spans="1:6">
      <c r="A427" t="str">
        <f>TEXT(DATE(2024,1,1),"mmm")</f>
        <v>Jan</v>
      </c>
      <c r="B427" cm="1">
        <f t="array" ref="B427">SUMPRODUCT(('P06-DelayRCA'!$G$5:$G$64="Weather")*(MONTH(DATEVALUE('P06-DelayRCA'!$E$5:$E$64))=1)*'P06-DelayRCA'!$F$5:$F$64)</f>
        <v>36</v>
      </c>
      <c r="C427" cm="1">
        <f t="array" ref="C427">SUMPRODUCT(('P06-DelayRCA'!$G$5:$G$64="Weather")*(MONTH(DATEVALUE('P06-DelayRCA'!$E$5:$E$64))=1)*1)</f>
        <v>1</v>
      </c>
      <c r="D427" cm="1">
        <f t="array" ref="D427">SUMPRODUCT((MONTH(DATEVALUE('P06-DelayRCA'!$E$5:$E$64))=1)*'P06-DelayRCA'!$F$5:$F$64)</f>
        <v>72</v>
      </c>
      <c r="E427" cm="1">
        <f t="array" ref="E427">SUMPRODUCT((MONTH(DATEVALUE('P06-DelayRCA'!$E$5:$E$64))=1)*1)</f>
        <v>3</v>
      </c>
      <c r="F427" s="39">
        <f t="shared" ref="F427:F438" si="22">IFERROR(B427/D427,0)</f>
        <v>0.5</v>
      </c>
    </row>
    <row r="428" spans="1:6">
      <c r="A428" t="str">
        <f>TEXT(DATE(2024,2,1),"mmm")</f>
        <v>Feb</v>
      </c>
      <c r="B428" cm="1">
        <f t="array" ref="B428">SUMPRODUCT(('P06-DelayRCA'!$G$5:$G$64="Weather")*(MONTH(DATEVALUE('P06-DelayRCA'!$E$5:$E$64))=2)*'P06-DelayRCA'!$F$5:$F$64)</f>
        <v>0</v>
      </c>
      <c r="C428" cm="1">
        <f t="array" ref="C428">SUMPRODUCT(('P06-DelayRCA'!$G$5:$G$64="Weather")*(MONTH(DATEVALUE('P06-DelayRCA'!$E$5:$E$64))=2)*1)</f>
        <v>0</v>
      </c>
      <c r="D428" cm="1">
        <f t="array" ref="D428">SUMPRODUCT((MONTH(DATEVALUE('P06-DelayRCA'!$E$5:$E$64))=2)*'P06-DelayRCA'!$F$5:$F$64)</f>
        <v>0</v>
      </c>
      <c r="E428" cm="1">
        <f t="array" ref="E428">SUMPRODUCT((MONTH(DATEVALUE('P06-DelayRCA'!$E$5:$E$64))=2)*1)</f>
        <v>0</v>
      </c>
      <c r="F428" s="39">
        <f t="shared" si="22"/>
        <v>0</v>
      </c>
    </row>
    <row r="429" spans="1:6">
      <c r="A429" t="str">
        <f>TEXT(DATE(2024,3,1),"mmm")</f>
        <v>Mar</v>
      </c>
      <c r="B429" cm="1">
        <f t="array" ref="B429">SUMPRODUCT(('P06-DelayRCA'!$G$5:$G$64="Weather")*(MONTH(DATEVALUE('P06-DelayRCA'!$E$5:$E$64))=3)*'P06-DelayRCA'!$F$5:$F$64)</f>
        <v>0</v>
      </c>
      <c r="C429" cm="1">
        <f t="array" ref="C429">SUMPRODUCT(('P06-DelayRCA'!$G$5:$G$64="Weather")*(MONTH(DATEVALUE('P06-DelayRCA'!$E$5:$E$64))=3)*1)</f>
        <v>0</v>
      </c>
      <c r="D429" cm="1">
        <f t="array" ref="D429">SUMPRODUCT((MONTH(DATEVALUE('P06-DelayRCA'!$E$5:$E$64))=3)*'P06-DelayRCA'!$F$5:$F$64)</f>
        <v>0</v>
      </c>
      <c r="E429" cm="1">
        <f t="array" ref="E429">SUMPRODUCT((MONTH(DATEVALUE('P06-DelayRCA'!$E$5:$E$64))=3)*1)</f>
        <v>0</v>
      </c>
      <c r="F429" s="39">
        <f t="shared" si="22"/>
        <v>0</v>
      </c>
    </row>
    <row r="430" spans="1:6">
      <c r="A430" t="str">
        <f>TEXT(DATE(2024,4,1),"mmm")</f>
        <v>Apr</v>
      </c>
      <c r="B430" cm="1">
        <f t="array" ref="B430">SUMPRODUCT(('P06-DelayRCA'!$G$5:$G$64="Weather")*(MONTH(DATEVALUE('P06-DelayRCA'!$E$5:$E$64))=4)*'P06-DelayRCA'!$F$5:$F$64)</f>
        <v>0</v>
      </c>
      <c r="C430" cm="1">
        <f t="array" ref="C430">SUMPRODUCT(('P06-DelayRCA'!$G$5:$G$64="Weather")*(MONTH(DATEVALUE('P06-DelayRCA'!$E$5:$E$64))=4)*1)</f>
        <v>0</v>
      </c>
      <c r="D430" cm="1">
        <f t="array" ref="D430">SUMPRODUCT((MONTH(DATEVALUE('P06-DelayRCA'!$E$5:$E$64))=4)*'P06-DelayRCA'!$F$5:$F$64)</f>
        <v>48</v>
      </c>
      <c r="E430" cm="1">
        <f t="array" ref="E430">SUMPRODUCT((MONTH(DATEVALUE('P06-DelayRCA'!$E$5:$E$64))=4)*1)</f>
        <v>2</v>
      </c>
      <c r="F430" s="39">
        <f t="shared" si="22"/>
        <v>0</v>
      </c>
    </row>
    <row r="431" spans="1:6">
      <c r="A431" t="str">
        <f>TEXT(DATE(2024,5,1),"mmm")</f>
        <v>May</v>
      </c>
      <c r="B431" cm="1">
        <f t="array" ref="B431">SUMPRODUCT(('P06-DelayRCA'!$G$5:$G$64="Weather")*(MONTH(DATEVALUE('P06-DelayRCA'!$E$5:$E$64))=5)*'P06-DelayRCA'!$F$5:$F$64)</f>
        <v>0</v>
      </c>
      <c r="C431" cm="1">
        <f t="array" ref="C431">SUMPRODUCT(('P06-DelayRCA'!$G$5:$G$64="Weather")*(MONTH(DATEVALUE('P06-DelayRCA'!$E$5:$E$64))=5)*1)</f>
        <v>0</v>
      </c>
      <c r="D431" cm="1">
        <f t="array" ref="D431">SUMPRODUCT((MONTH(DATEVALUE('P06-DelayRCA'!$E$5:$E$64))=5)*'P06-DelayRCA'!$F$5:$F$64)</f>
        <v>103</v>
      </c>
      <c r="E431" cm="1">
        <f t="array" ref="E431">SUMPRODUCT((MONTH(DATEVALUE('P06-DelayRCA'!$E$5:$E$64))=5)*1)</f>
        <v>5</v>
      </c>
      <c r="F431" s="39">
        <f t="shared" si="22"/>
        <v>0</v>
      </c>
    </row>
    <row r="432" spans="1:6">
      <c r="A432" t="str">
        <f>TEXT(DATE(2024,6,1),"mmm")</f>
        <v>Jun</v>
      </c>
      <c r="B432" cm="1">
        <f t="array" ref="B432">SUMPRODUCT(('P06-DelayRCA'!$G$5:$G$64="Weather")*(MONTH(DATEVALUE('P06-DelayRCA'!$E$5:$E$64))=6)*'P06-DelayRCA'!$F$5:$F$64)</f>
        <v>44</v>
      </c>
      <c r="C432" cm="1">
        <f t="array" ref="C432">SUMPRODUCT(('P06-DelayRCA'!$G$5:$G$64="Weather")*(MONTH(DATEVALUE('P06-DelayRCA'!$E$5:$E$64))=6)*1)</f>
        <v>1</v>
      </c>
      <c r="D432" cm="1">
        <f t="array" ref="D432">SUMPRODUCT((MONTH(DATEVALUE('P06-DelayRCA'!$E$5:$E$64))=6)*'P06-DelayRCA'!$F$5:$F$64)</f>
        <v>285</v>
      </c>
      <c r="E432" cm="1">
        <f t="array" ref="E432">SUMPRODUCT((MONTH(DATEVALUE('P06-DelayRCA'!$E$5:$E$64))=6)*1)</f>
        <v>11</v>
      </c>
      <c r="F432" s="39">
        <f t="shared" si="22"/>
        <v>0.15438596491228071</v>
      </c>
    </row>
    <row r="433" spans="1:6">
      <c r="A433" t="str">
        <f>TEXT(DATE(2024,7,1),"mmm")</f>
        <v>Jul</v>
      </c>
      <c r="B433" cm="1">
        <f t="array" ref="B433">SUMPRODUCT(('P06-DelayRCA'!$G$5:$G$64="Weather")*(MONTH(DATEVALUE('P06-DelayRCA'!$E$5:$E$64))=7)*'P06-DelayRCA'!$F$5:$F$64)</f>
        <v>0</v>
      </c>
      <c r="C433" cm="1">
        <f t="array" ref="C433">SUMPRODUCT(('P06-DelayRCA'!$G$5:$G$64="Weather")*(MONTH(DATEVALUE('P06-DelayRCA'!$E$5:$E$64))=7)*1)</f>
        <v>0</v>
      </c>
      <c r="D433" cm="1">
        <f t="array" ref="D433">SUMPRODUCT((MONTH(DATEVALUE('P06-DelayRCA'!$E$5:$E$64))=7)*'P06-DelayRCA'!$F$5:$F$64)</f>
        <v>153</v>
      </c>
      <c r="E433" cm="1">
        <f t="array" ref="E433">SUMPRODUCT((MONTH(DATEVALUE('P06-DelayRCA'!$E$5:$E$64))=7)*1)</f>
        <v>6</v>
      </c>
      <c r="F433" s="39">
        <f t="shared" si="22"/>
        <v>0</v>
      </c>
    </row>
    <row r="434" spans="1:6">
      <c r="A434" t="str">
        <f>TEXT(DATE(2024,8,1),"mmm")</f>
        <v>Aug</v>
      </c>
      <c r="B434" cm="1">
        <f t="array" ref="B434">SUMPRODUCT(('P06-DelayRCA'!$G$5:$G$64="Weather")*(MONTH(DATEVALUE('P06-DelayRCA'!$E$5:$E$64))=8)*'P06-DelayRCA'!$F$5:$F$64)</f>
        <v>19</v>
      </c>
      <c r="C434" cm="1">
        <f t="array" ref="C434">SUMPRODUCT(('P06-DelayRCA'!$G$5:$G$64="Weather")*(MONTH(DATEVALUE('P06-DelayRCA'!$E$5:$E$64))=8)*1)</f>
        <v>1</v>
      </c>
      <c r="D434" cm="1">
        <f t="array" ref="D434">SUMPRODUCT((MONTH(DATEVALUE('P06-DelayRCA'!$E$5:$E$64))=8)*'P06-DelayRCA'!$F$5:$F$64)</f>
        <v>126</v>
      </c>
      <c r="E434" cm="1">
        <f t="array" ref="E434">SUMPRODUCT((MONTH(DATEVALUE('P06-DelayRCA'!$E$5:$E$64))=8)*1)</f>
        <v>5</v>
      </c>
      <c r="F434" s="39">
        <f t="shared" si="22"/>
        <v>0.15079365079365079</v>
      </c>
    </row>
    <row r="435" spans="1:6">
      <c r="A435" t="str">
        <f>TEXT(DATE(2024,9,1),"mmm")</f>
        <v>Sep</v>
      </c>
      <c r="B435" cm="1">
        <f t="array" ref="B435">SUMPRODUCT(('P06-DelayRCA'!$G$5:$G$64="Weather")*(MONTH(DATEVALUE('P06-DelayRCA'!$E$5:$E$64))=9)*'P06-DelayRCA'!$F$5:$F$64)</f>
        <v>0</v>
      </c>
      <c r="C435" cm="1">
        <f t="array" ref="C435">SUMPRODUCT(('P06-DelayRCA'!$G$5:$G$64="Weather")*(MONTH(DATEVALUE('P06-DelayRCA'!$E$5:$E$64))=9)*1)</f>
        <v>0</v>
      </c>
      <c r="D435" cm="1">
        <f t="array" ref="D435">SUMPRODUCT((MONTH(DATEVALUE('P06-DelayRCA'!$E$5:$E$64))=9)*'P06-DelayRCA'!$F$5:$F$64)</f>
        <v>239</v>
      </c>
      <c r="E435" cm="1">
        <f t="array" ref="E435">SUMPRODUCT((MONTH(DATEVALUE('P06-DelayRCA'!$E$5:$E$64))=9)*1)</f>
        <v>7</v>
      </c>
      <c r="F435" s="39">
        <f t="shared" si="22"/>
        <v>0</v>
      </c>
    </row>
    <row r="436" spans="1:6">
      <c r="A436" t="str">
        <f>TEXT(DATE(2024,10,1),"mmm")</f>
        <v>Oct</v>
      </c>
      <c r="B436" cm="1">
        <f t="array" ref="B436">SUMPRODUCT(('P06-DelayRCA'!$G$5:$G$64="Weather")*(MONTH(DATEVALUE('P06-DelayRCA'!$E$5:$E$64))=10)*'P06-DelayRCA'!$F$5:$F$64)</f>
        <v>0</v>
      </c>
      <c r="C436" cm="1">
        <f t="array" ref="C436">SUMPRODUCT(('P06-DelayRCA'!$G$5:$G$64="Weather")*(MONTH(DATEVALUE('P06-DelayRCA'!$E$5:$E$64))=10)*1)</f>
        <v>0</v>
      </c>
      <c r="D436" cm="1">
        <f t="array" ref="D436">SUMPRODUCT((MONTH(DATEVALUE('P06-DelayRCA'!$E$5:$E$64))=10)*'P06-DelayRCA'!$F$5:$F$64)</f>
        <v>33</v>
      </c>
      <c r="E436" cm="1">
        <f t="array" ref="E436">SUMPRODUCT((MONTH(DATEVALUE('P06-DelayRCA'!$E$5:$E$64))=10)*1)</f>
        <v>1</v>
      </c>
      <c r="F436" s="39">
        <f t="shared" si="22"/>
        <v>0</v>
      </c>
    </row>
    <row r="437" spans="1:6">
      <c r="A437" t="str">
        <f>TEXT(DATE(2024,11,1),"mmm")</f>
        <v>Nov</v>
      </c>
      <c r="B437" cm="1">
        <f t="array" ref="B437">SUMPRODUCT(('P06-DelayRCA'!$G$5:$G$64="Weather")*(MONTH(DATEVALUE('P06-DelayRCA'!$E$5:$E$64))=11)*'P06-DelayRCA'!$F$5:$F$64)</f>
        <v>45</v>
      </c>
      <c r="C437" cm="1">
        <f t="array" ref="C437">SUMPRODUCT(('P06-DelayRCA'!$G$5:$G$64="Weather")*(MONTH(DATEVALUE('P06-DelayRCA'!$E$5:$E$64))=11)*1)</f>
        <v>1</v>
      </c>
      <c r="D437" cm="1">
        <f t="array" ref="D437">SUMPRODUCT((MONTH(DATEVALUE('P06-DelayRCA'!$E$5:$E$64))=11)*'P06-DelayRCA'!$F$5:$F$64)</f>
        <v>141</v>
      </c>
      <c r="E437" cm="1">
        <f t="array" ref="E437">SUMPRODUCT((MONTH(DATEVALUE('P06-DelayRCA'!$E$5:$E$64))=11)*1)</f>
        <v>6</v>
      </c>
      <c r="F437" s="39">
        <f t="shared" si="22"/>
        <v>0.31914893617021278</v>
      </c>
    </row>
    <row r="438" spans="1:6">
      <c r="A438" t="str">
        <f>TEXT(DATE(2024,12,1),"mmm")</f>
        <v>Dec</v>
      </c>
      <c r="B438" cm="1">
        <f t="array" ref="B438">SUMPRODUCT(('P06-DelayRCA'!$G$5:$G$64="Weather")*(MONTH(DATEVALUE('P06-DelayRCA'!$E$5:$E$64))=12)*'P06-DelayRCA'!$F$5:$F$64)</f>
        <v>15</v>
      </c>
      <c r="C438" cm="1">
        <f t="array" ref="C438">SUMPRODUCT(('P06-DelayRCA'!$G$5:$G$64="Weather")*(MONTH(DATEVALUE('P06-DelayRCA'!$E$5:$E$64))=12)*1)</f>
        <v>1</v>
      </c>
      <c r="D438" cm="1">
        <f t="array" ref="D438">SUMPRODUCT((MONTH(DATEVALUE('P06-DelayRCA'!$E$5:$E$64))=12)*'P06-DelayRCA'!$F$5:$F$64)</f>
        <v>267</v>
      </c>
      <c r="E438" cm="1">
        <f t="array" ref="E438">SUMPRODUCT((MONTH(DATEVALUE('P06-DelayRCA'!$E$5:$E$64))=12)*1)</f>
        <v>14</v>
      </c>
      <c r="F438" s="39">
        <f t="shared" si="22"/>
        <v>5.6179775280898875E-2</v>
      </c>
    </row>
    <row r="439" spans="1:6">
      <c r="A439" s="44" t="str">
        <f>"ANSWER: Weather delays peak in "&amp;INDEX($A$427:$A$438,MATCH(MAX($B$427:$B$438),$B$427:$B$438,0))&amp;" ("&amp;TEXT(MAX($B$427:$B$438),"#,##0")&amp;" days) and total "&amp;TEXT(SUM($B$427:$B$438),"#,##0")&amp;" days, "&amp;TEXT(SUM($B$427:$B$438)/SUM($D$427:$D$438),"0.0%")&amp;" of all delay days. Overall delay days peak in "&amp;INDEX($A$427:$A$438,MATCH(MAX($D$427:$D$438),$D$427:$D$438,0))&amp;". "&amp;IF(MAX($B$427:$B$438)&gt;2*AVERAGE($B$427:$B$438),"That concentration points to a genuine seasonal (monsoon/winter) effect worth programming for.","Weather days are spread fairly evenly, so there is no strong seasonal signal in this sample.")</f>
        <v>ANSWER: Weather delays peak in Nov (45 days) and total 159 days, 10.8% of all delay days. Overall delay days peak in Jun. That concentration points to a genuine seasonal (monsoon/winter) effect worth programming for.</v>
      </c>
    </row>
    <row r="441" spans="1:6">
      <c r="A441" s="42" t="s">
        <v>633</v>
      </c>
    </row>
    <row r="442" spans="1:6">
      <c r="A442" s="43" t="s">
        <v>439</v>
      </c>
      <c r="B442" s="43" t="s">
        <v>1496</v>
      </c>
      <c r="C442" s="43" t="s">
        <v>1472</v>
      </c>
      <c r="D442" s="43" t="s">
        <v>1473</v>
      </c>
      <c r="E442" s="43" t="s">
        <v>1481</v>
      </c>
      <c r="F442" s="43" t="s">
        <v>1480</v>
      </c>
    </row>
    <row r="443" spans="1:6">
      <c r="A443" t="s">
        <v>490</v>
      </c>
      <c r="B443">
        <f>COUNTIF('P06-DelayRCA'!$C$5:$C$64,$A443)</f>
        <v>5</v>
      </c>
      <c r="C443">
        <f>SUMIF('P06-DelayRCA'!$C$5:$C$64,$A443,'P06-DelayRCA'!$F$5:$F$64)</f>
        <v>128</v>
      </c>
      <c r="D443" s="54">
        <f t="shared" ref="D443:D451" si="23">IFERROR(C443/B443,0)</f>
        <v>25.6</v>
      </c>
      <c r="E443">
        <f>_xlfn.MAXIFS('P06-DelayRCA'!$F$5:$F$64,'P06-DelayRCA'!$C$5:$C$64,$A443)</f>
        <v>36</v>
      </c>
      <c r="F443" s="39">
        <f t="shared" ref="F443:F451" si="24">C443/$B$407</f>
        <v>8.7252897068847993E-2</v>
      </c>
    </row>
    <row r="444" spans="1:6">
      <c r="A444" t="s">
        <v>447</v>
      </c>
      <c r="B444">
        <f>COUNTIF('P06-DelayRCA'!$C$5:$C$64,$A444)</f>
        <v>4</v>
      </c>
      <c r="C444">
        <f>SUMIF('P06-DelayRCA'!$C$5:$C$64,$A444,'P06-DelayRCA'!$F$5:$F$64)</f>
        <v>84</v>
      </c>
      <c r="D444" s="54">
        <f t="shared" si="23"/>
        <v>21</v>
      </c>
      <c r="E444">
        <f>_xlfn.MAXIFS('P06-DelayRCA'!$F$5:$F$64,'P06-DelayRCA'!$C$5:$C$64,$A444)</f>
        <v>43</v>
      </c>
      <c r="F444" s="39">
        <f t="shared" si="24"/>
        <v>5.7259713701431493E-2</v>
      </c>
    </row>
    <row r="445" spans="1:6">
      <c r="A445" t="s">
        <v>494</v>
      </c>
      <c r="B445">
        <f>COUNTIF('P06-DelayRCA'!$C$5:$C$64,$A445)</f>
        <v>6</v>
      </c>
      <c r="C445">
        <f>SUMIF('P06-DelayRCA'!$C$5:$C$64,$A445,'P06-DelayRCA'!$F$5:$F$64)</f>
        <v>201</v>
      </c>
      <c r="D445" s="54">
        <f t="shared" si="23"/>
        <v>33.5</v>
      </c>
      <c r="E445">
        <f>_xlfn.MAXIFS('P06-DelayRCA'!$F$5:$F$64,'P06-DelayRCA'!$C$5:$C$64,$A445)</f>
        <v>45</v>
      </c>
      <c r="F445" s="39">
        <f t="shared" si="24"/>
        <v>0.13701431492842536</v>
      </c>
    </row>
    <row r="446" spans="1:6">
      <c r="A446" t="s">
        <v>463</v>
      </c>
      <c r="B446">
        <f>COUNTIF('P06-DelayRCA'!$C$5:$C$64,$A446)</f>
        <v>6</v>
      </c>
      <c r="C446">
        <f>SUMIF('P06-DelayRCA'!$C$5:$C$64,$A446,'P06-DelayRCA'!$F$5:$F$64)</f>
        <v>133</v>
      </c>
      <c r="D446" s="54">
        <f t="shared" si="23"/>
        <v>22.166666666666668</v>
      </c>
      <c r="E446">
        <f>_xlfn.MAXIFS('P06-DelayRCA'!$F$5:$F$64,'P06-DelayRCA'!$C$5:$C$64,$A446)</f>
        <v>38</v>
      </c>
      <c r="F446" s="39">
        <f t="shared" si="24"/>
        <v>9.066121336059986E-2</v>
      </c>
    </row>
    <row r="447" spans="1:6">
      <c r="A447" t="s">
        <v>501</v>
      </c>
      <c r="B447">
        <f>COUNTIF('P06-DelayRCA'!$C$5:$C$64,$A447)</f>
        <v>9</v>
      </c>
      <c r="C447">
        <f>SUMIF('P06-DelayRCA'!$C$5:$C$64,$A447,'P06-DelayRCA'!$F$5:$F$64)</f>
        <v>182</v>
      </c>
      <c r="D447" s="54">
        <f t="shared" si="23"/>
        <v>20.222222222222221</v>
      </c>
      <c r="E447">
        <f>_xlfn.MAXIFS('P06-DelayRCA'!$F$5:$F$64,'P06-DelayRCA'!$C$5:$C$64,$A447)</f>
        <v>39</v>
      </c>
      <c r="F447" s="39">
        <f t="shared" si="24"/>
        <v>0.12406271301976823</v>
      </c>
    </row>
    <row r="448" spans="1:6">
      <c r="A448" t="s">
        <v>481</v>
      </c>
      <c r="B448">
        <f>COUNTIF('P06-DelayRCA'!$C$5:$C$64,$A448)</f>
        <v>7</v>
      </c>
      <c r="C448">
        <f>SUMIF('P06-DelayRCA'!$C$5:$C$64,$A448,'P06-DelayRCA'!$F$5:$F$64)</f>
        <v>143</v>
      </c>
      <c r="D448" s="54">
        <f t="shared" si="23"/>
        <v>20.428571428571427</v>
      </c>
      <c r="E448">
        <f>_xlfn.MAXIFS('P06-DelayRCA'!$F$5:$F$64,'P06-DelayRCA'!$C$5:$C$64,$A448)</f>
        <v>44</v>
      </c>
      <c r="F448" s="39">
        <f t="shared" si="24"/>
        <v>9.7477845944103608E-2</v>
      </c>
    </row>
    <row r="449" spans="1:6">
      <c r="A449" t="s">
        <v>476</v>
      </c>
      <c r="B449">
        <f>COUNTIF('P06-DelayRCA'!$C$5:$C$64,$A449)</f>
        <v>7</v>
      </c>
      <c r="C449">
        <f>SUMIF('P06-DelayRCA'!$C$5:$C$64,$A449,'P06-DelayRCA'!$F$5:$F$64)</f>
        <v>183</v>
      </c>
      <c r="D449" s="54">
        <f t="shared" si="23"/>
        <v>26.142857142857142</v>
      </c>
      <c r="E449">
        <f>_xlfn.MAXIFS('P06-DelayRCA'!$F$5:$F$64,'P06-DelayRCA'!$C$5:$C$64,$A449)</f>
        <v>44</v>
      </c>
      <c r="F449" s="39">
        <f t="shared" si="24"/>
        <v>0.12474437627811862</v>
      </c>
    </row>
    <row r="450" spans="1:6">
      <c r="A450" t="s">
        <v>458</v>
      </c>
      <c r="B450">
        <f>COUNTIF('P06-DelayRCA'!$C$5:$C$64,$A450)</f>
        <v>11</v>
      </c>
      <c r="C450">
        <f>SUMIF('P06-DelayRCA'!$C$5:$C$64,$A450,'P06-DelayRCA'!$F$5:$F$64)</f>
        <v>291</v>
      </c>
      <c r="D450" s="54">
        <f t="shared" si="23"/>
        <v>26.454545454545453</v>
      </c>
      <c r="E450">
        <f>_xlfn.MAXIFS('P06-DelayRCA'!$F$5:$F$64,'P06-DelayRCA'!$C$5:$C$64,$A450)</f>
        <v>44</v>
      </c>
      <c r="F450" s="39">
        <f t="shared" si="24"/>
        <v>0.19836400817995911</v>
      </c>
    </row>
    <row r="451" spans="1:6">
      <c r="A451" t="s">
        <v>453</v>
      </c>
      <c r="B451">
        <f>COUNTIF('P06-DelayRCA'!$C$5:$C$64,$A451)</f>
        <v>5</v>
      </c>
      <c r="C451">
        <f>SUMIF('P06-DelayRCA'!$C$5:$C$64,$A451,'P06-DelayRCA'!$F$5:$F$64)</f>
        <v>122</v>
      </c>
      <c r="D451" s="54">
        <f t="shared" si="23"/>
        <v>24.4</v>
      </c>
      <c r="E451">
        <f>_xlfn.MAXIFS('P06-DelayRCA'!$F$5:$F$64,'P06-DelayRCA'!$C$5:$C$64,$A451)</f>
        <v>37</v>
      </c>
      <c r="F451" s="39">
        <f t="shared" si="24"/>
        <v>8.3162917518745744E-2</v>
      </c>
    </row>
    <row r="452" spans="1:6">
      <c r="A452" s="44" t="str">
        <f>"ANSWER: "&amp;INDEX($A$443:$A$451,MATCH(MAX($C$443:$C$451),$C$443:$C$451,0))&amp;" is the most delay-prone activity with "&amp;TEXT(MAX($C$443:$C$451),"#,##0")&amp;" delay days over "&amp;INDEX($B$443:$B$451,MATCH(MAX($C$443:$C$451),$C$443:$C$451,0))&amp;" events ("&amp;TEXT(MAX($C$443:$C$451)/$B$407,"0.0%")&amp;" of all delay days). On a per-event basis the worst is "&amp;INDEX($A$443:$A$451,MATCH(MAX($D$443:$D$451),$D$443:$D$451,0))&amp;" at "&amp;TEXT(MAX($D$443:$D$451),"0.0")&amp;" days per event."</f>
        <v>ANSWER: Testing &amp; Commissioning is the most delay-prone activity with 291 delay days over 11 events (19.8% of all delay days). On a per-event basis the worst is MEP Rough-In at 33.5 days per event.</v>
      </c>
    </row>
    <row r="454" spans="1:6">
      <c r="A454" s="42" t="s">
        <v>1497</v>
      </c>
    </row>
    <row r="455" spans="1:6">
      <c r="A455" t="s">
        <v>1498</v>
      </c>
      <c r="B455" s="57">
        <v>15000</v>
      </c>
    </row>
    <row r="456" spans="1:6">
      <c r="A456" s="43" t="s">
        <v>68</v>
      </c>
      <c r="B456" s="43" t="s">
        <v>1472</v>
      </c>
      <c r="C456" s="43" t="s">
        <v>1499</v>
      </c>
      <c r="D456" s="43" t="s">
        <v>1496</v>
      </c>
      <c r="E456" s="43" t="s">
        <v>1500</v>
      </c>
      <c r="F456" s="43" t="s">
        <v>1501</v>
      </c>
    </row>
    <row r="457" spans="1:6">
      <c r="A457" t="s">
        <v>283</v>
      </c>
      <c r="B457">
        <f>SUMIF('P06-DelayRCA'!$B$5:$B$64,$A457,'P06-DelayRCA'!$F$5:$F$64)</f>
        <v>382</v>
      </c>
      <c r="C457" s="48">
        <f>B457*$B$455</f>
        <v>5730000</v>
      </c>
      <c r="D457">
        <f>COUNTIF('P06-DelayRCA'!$B$5:$B$64,$A457)</f>
        <v>12</v>
      </c>
      <c r="E457" s="54">
        <f>IFERROR(B457/D457,0)</f>
        <v>31.833333333333332</v>
      </c>
      <c r="F457" t="str" cm="1">
        <f t="array" ref="F457">INDEX('P06-DelayRCA'!$G$5:$G$64,SUMPRODUCT(MAX(('P06-DelayRCA'!$B$5:$B$64=$A457)*('P06-DelayRCA'!$F$5:$F$64=_xlfn.MAXIFS('P06-DelayRCA'!$F$5:$F$64,'P06-DelayRCA'!$B$5:$B$64,$A457))*ROW('P06-DelayRCA'!$F$5:$F$64)))-4)</f>
        <v>Material Delay</v>
      </c>
    </row>
    <row r="458" spans="1:6">
      <c r="A458" t="s">
        <v>317</v>
      </c>
      <c r="B458">
        <f>SUMIF('P06-DelayRCA'!$B$5:$B$64,$A458,'P06-DelayRCA'!$F$5:$F$64)</f>
        <v>277</v>
      </c>
      <c r="C458" s="48">
        <f>B458*$B$455</f>
        <v>4155000</v>
      </c>
      <c r="D458">
        <f>COUNTIF('P06-DelayRCA'!$B$5:$B$64,$A458)</f>
        <v>14</v>
      </c>
      <c r="E458" s="54">
        <f>IFERROR(B458/D458,0)</f>
        <v>19.785714285714285</v>
      </c>
      <c r="F458" t="str" cm="1">
        <f t="array" ref="F458">INDEX('P06-DelayRCA'!$G$5:$G$64,SUMPRODUCT(MAX(('P06-DelayRCA'!$B$5:$B$64=$A458)*('P06-DelayRCA'!$F$5:$F$64=_xlfn.MAXIFS('P06-DelayRCA'!$F$5:$F$64,'P06-DelayRCA'!$B$5:$B$64,$A458))*ROW('P06-DelayRCA'!$F$5:$F$64)))-4)</f>
        <v>Rework</v>
      </c>
    </row>
    <row r="459" spans="1:6">
      <c r="A459" t="s">
        <v>318</v>
      </c>
      <c r="B459">
        <f>SUMIF('P06-DelayRCA'!$B$5:$B$64,$A459,'P06-DelayRCA'!$F$5:$F$64)</f>
        <v>205</v>
      </c>
      <c r="C459" s="48">
        <f>B459*$B$455</f>
        <v>3075000</v>
      </c>
      <c r="D459">
        <f>COUNTIF('P06-DelayRCA'!$B$5:$B$64,$A459)</f>
        <v>8</v>
      </c>
      <c r="E459" s="54">
        <f>IFERROR(B459/D459,0)</f>
        <v>25.625</v>
      </c>
      <c r="F459" t="str" cm="1">
        <f t="array" ref="F459">INDEX('P06-DelayRCA'!$G$5:$G$64,SUMPRODUCT(MAX(('P06-DelayRCA'!$B$5:$B$64=$A459)*('P06-DelayRCA'!$F$5:$F$64=_xlfn.MAXIFS('P06-DelayRCA'!$F$5:$F$64,'P06-DelayRCA'!$B$5:$B$64,$A459))*ROW('P06-DelayRCA'!$F$5:$F$64)))-4)</f>
        <v>Rework</v>
      </c>
    </row>
    <row r="460" spans="1:6">
      <c r="A460" t="s">
        <v>446</v>
      </c>
      <c r="B460">
        <f>SUMIF('P06-DelayRCA'!$B$5:$B$64,$A460,'P06-DelayRCA'!$F$5:$F$64)</f>
        <v>246</v>
      </c>
      <c r="C460" s="48">
        <f>B460*$B$455</f>
        <v>3690000</v>
      </c>
      <c r="D460">
        <f>COUNTIF('P06-DelayRCA'!$B$5:$B$64,$A460)</f>
        <v>12</v>
      </c>
      <c r="E460" s="54">
        <f>IFERROR(B460/D460,0)</f>
        <v>20.5</v>
      </c>
      <c r="F460" t="str" cm="1">
        <f t="array" ref="F460">INDEX('P06-DelayRCA'!$G$5:$G$64,SUMPRODUCT(MAX(('P06-DelayRCA'!$B$5:$B$64=$A460)*('P06-DelayRCA'!$F$5:$F$64=_xlfn.MAXIFS('P06-DelayRCA'!$F$5:$F$64,'P06-DelayRCA'!$B$5:$B$64,$A460))*ROW('P06-DelayRCA'!$F$5:$F$64)))-4)</f>
        <v>Weather</v>
      </c>
    </row>
    <row r="461" spans="1:6">
      <c r="A461" t="s">
        <v>468</v>
      </c>
      <c r="B461">
        <f>SUMIF('P06-DelayRCA'!$B$5:$B$64,$A461,'P06-DelayRCA'!$F$5:$F$64)</f>
        <v>357</v>
      </c>
      <c r="C461" s="48">
        <f>B461*$B$455</f>
        <v>5355000</v>
      </c>
      <c r="D461">
        <f>COUNTIF('P06-DelayRCA'!$B$5:$B$64,$A461)</f>
        <v>14</v>
      </c>
      <c r="E461" s="54">
        <f>IFERROR(B461/D461,0)</f>
        <v>25.5</v>
      </c>
      <c r="F461" t="str" cm="1">
        <f t="array" ref="F461">INDEX('P06-DelayRCA'!$G$5:$G$64,SUMPRODUCT(MAX(('P06-DelayRCA'!$B$5:$B$64=$A461)*('P06-DelayRCA'!$F$5:$F$64=_xlfn.MAXIFS('P06-DelayRCA'!$F$5:$F$64,'P06-DelayRCA'!$B$5:$B$64,$A461))*ROW('P06-DelayRCA'!$F$5:$F$64)))-4)</f>
        <v>Weather</v>
      </c>
    </row>
    <row r="462" spans="1:6">
      <c r="A462" s="36" t="s">
        <v>1307</v>
      </c>
      <c r="B462" s="36">
        <f>SUM(B457:B461)</f>
        <v>1467</v>
      </c>
      <c r="C462" s="49">
        <f>SUM(C457:C461)</f>
        <v>22005000</v>
      </c>
      <c r="D462" s="36">
        <f>SUM(D457:D461)</f>
        <v>60</v>
      </c>
      <c r="E462" s="59">
        <f>B462/D462</f>
        <v>24.45</v>
      </c>
      <c r="F462" s="36"/>
    </row>
    <row r="463" spans="1:6">
      <c r="A463" s="44" t="str">
        <f>"ANSWER: At $15,000/day the portfolio's "&amp;TEXT($B$462,"#,##0")&amp;" delay days cost roughly "&amp;TEXT($C$462,"""$""#,##0")&amp;". The most exposed project is "&amp;INDEX($A$457:$A$461,MATCH(MAX($C$457:$C$461),$C$457:$C$461,0))&amp;" at "&amp;TEXT(MAX($C$457:$C$461),"""$""#,##0")&amp;" ("&amp;TEXT(MAX($B$457:$B$461),"#,##0")&amp;" days); the least is "&amp;INDEX($A$457:$A$461,MATCH(MIN($C$457:$C$461),$C$457:$C$461,0))&amp;" at "&amp;TEXT(MIN($C$457:$C$461),"""$""#,##0")&amp;"."</f>
        <v>ANSWER: At $15,000/day the portfolio's 1,467 delay days cost roughly $2,20,05,000. The most exposed project is WT-DC-MUM-01 at $57,30,000 (382 days); the least is WT-HOS-AKL-03 at $30,75,000.</v>
      </c>
    </row>
    <row r="465" spans="1:6">
      <c r="A465" s="41" t="s">
        <v>1502</v>
      </c>
      <c r="B465" s="41"/>
      <c r="C465" s="41"/>
      <c r="D465" s="41"/>
      <c r="E465" s="41"/>
      <c r="F465" s="41"/>
    </row>
    <row r="466" spans="1:6">
      <c r="A466" s="42" t="s">
        <v>642</v>
      </c>
    </row>
    <row r="467" spans="1:6">
      <c r="A467" s="43" t="s">
        <v>68</v>
      </c>
      <c r="B467" s="43" t="s">
        <v>1503</v>
      </c>
      <c r="C467" s="43" t="s">
        <v>1504</v>
      </c>
      <c r="D467" s="43" t="s">
        <v>1505</v>
      </c>
      <c r="E467" s="43" t="s">
        <v>1506</v>
      </c>
      <c r="F467" s="43" t="s">
        <v>1507</v>
      </c>
    </row>
    <row r="468" spans="1:6">
      <c r="A468" t="s">
        <v>283</v>
      </c>
      <c r="B468" s="60">
        <f>COUNTIFS('P07-CashFlow'!$B$5:$B$52,$A468,'P07-CashFlow'!$G$5:$G$52,"&lt;0")</f>
        <v>6</v>
      </c>
      <c r="C468" s="60">
        <f>COUNTIFS('P07-CashFlow'!$B$5:$B$52,$A468,'P07-CashFlow'!$G$5:$G$52,"&gt;=0")</f>
        <v>6</v>
      </c>
      <c r="D468" t="str" cm="1">
        <f t="array" ref="D468">INDEX('P07-CashFlow'!$A$5:$A$52,SUMPRODUCT(MAX(('P07-CashFlow'!$B$5:$B$52=$A468)*('P07-CashFlow'!$G$5:$G$52=_xlfn.MINIFS('P07-CashFlow'!$G$5:$G$52,'P07-CashFlow'!$B$5:$B$52,$A468))*ROW('P07-CashFlow'!$G$5:$G$52)))-4)</f>
        <v>2024-02</v>
      </c>
      <c r="E468" s="48">
        <f>_xlfn.MINIFS('P07-CashFlow'!$G$5:$G$52,'P07-CashFlow'!$B$5:$B$52,$A468)</f>
        <v>-868853</v>
      </c>
      <c r="F468" s="48">
        <f>SUMIF('P07-CashFlow'!$B$5:$B$52,$A468,'P07-CashFlow'!$G$5:$G$52)</f>
        <v>839758</v>
      </c>
    </row>
    <row r="469" spans="1:6">
      <c r="A469" t="s">
        <v>317</v>
      </c>
      <c r="B469" s="60">
        <f>COUNTIFS('P07-CashFlow'!$B$5:$B$52,$A469,'P07-CashFlow'!$G$5:$G$52,"&lt;0")</f>
        <v>6</v>
      </c>
      <c r="C469" s="60">
        <f>COUNTIFS('P07-CashFlow'!$B$5:$B$52,$A469,'P07-CashFlow'!$G$5:$G$52,"&gt;=0")</f>
        <v>6</v>
      </c>
      <c r="D469" t="str" cm="1">
        <f t="array" ref="D469">INDEX('P07-CashFlow'!$A$5:$A$52,SUMPRODUCT(MAX(('P07-CashFlow'!$B$5:$B$52=$A469)*('P07-CashFlow'!$G$5:$G$52=_xlfn.MINIFS('P07-CashFlow'!$G$5:$G$52,'P07-CashFlow'!$B$5:$B$52,$A469))*ROW('P07-CashFlow'!$G$5:$G$52)))-4)</f>
        <v>2024-01</v>
      </c>
      <c r="E469" s="48">
        <f>_xlfn.MINIFS('P07-CashFlow'!$G$5:$G$52,'P07-CashFlow'!$B$5:$B$52,$A469)</f>
        <v>-1317584</v>
      </c>
      <c r="F469" s="48">
        <f>SUMIF('P07-CashFlow'!$B$5:$B$52,$A469,'P07-CashFlow'!$G$5:$G$52)</f>
        <v>-1390187</v>
      </c>
    </row>
    <row r="470" spans="1:6">
      <c r="A470" t="s">
        <v>318</v>
      </c>
      <c r="B470" s="60">
        <f>COUNTIFS('P07-CashFlow'!$B$5:$B$52,$A470,'P07-CashFlow'!$G$5:$G$52,"&lt;0")</f>
        <v>9</v>
      </c>
      <c r="C470" s="60">
        <f>COUNTIFS('P07-CashFlow'!$B$5:$B$52,$A470,'P07-CashFlow'!$G$5:$G$52,"&gt;=0")</f>
        <v>3</v>
      </c>
      <c r="D470" t="str" cm="1">
        <f t="array" ref="D470">INDEX('P07-CashFlow'!$A$5:$A$52,SUMPRODUCT(MAX(('P07-CashFlow'!$B$5:$B$52=$A470)*('P07-CashFlow'!$G$5:$G$52=_xlfn.MINIFS('P07-CashFlow'!$G$5:$G$52,'P07-CashFlow'!$B$5:$B$52,$A470))*ROW('P07-CashFlow'!$G$5:$G$52)))-4)</f>
        <v>2024-12</v>
      </c>
      <c r="E470" s="48">
        <f>_xlfn.MINIFS('P07-CashFlow'!$G$5:$G$52,'P07-CashFlow'!$B$5:$B$52,$A470)</f>
        <v>-992486</v>
      </c>
      <c r="F470" s="48">
        <f>SUMIF('P07-CashFlow'!$B$5:$B$52,$A470,'P07-CashFlow'!$G$5:$G$52)</f>
        <v>-3867202</v>
      </c>
    </row>
    <row r="471" spans="1:6">
      <c r="A471" t="s">
        <v>337</v>
      </c>
      <c r="B471" s="60">
        <f>COUNTIFS('P07-CashFlow'!$B$5:$B$52,$A471,'P07-CashFlow'!$G$5:$G$52,"&lt;0")</f>
        <v>8</v>
      </c>
      <c r="C471" s="60">
        <f>COUNTIFS('P07-CashFlow'!$B$5:$B$52,$A471,'P07-CashFlow'!$G$5:$G$52,"&gt;=0")</f>
        <v>4</v>
      </c>
      <c r="D471" t="str" cm="1">
        <f t="array" ref="D471">INDEX('P07-CashFlow'!$A$5:$A$52,SUMPRODUCT(MAX(('P07-CashFlow'!$B$5:$B$52=$A471)*('P07-CashFlow'!$G$5:$G$52=_xlfn.MINIFS('P07-CashFlow'!$G$5:$G$52,'P07-CashFlow'!$B$5:$B$52,$A471))*ROW('P07-CashFlow'!$G$5:$G$52)))-4)</f>
        <v>2024-04</v>
      </c>
      <c r="E471" s="48">
        <f>_xlfn.MINIFS('P07-CashFlow'!$G$5:$G$52,'P07-CashFlow'!$B$5:$B$52,$A471)</f>
        <v>-1331420</v>
      </c>
      <c r="F471" s="48">
        <f>SUMIF('P07-CashFlow'!$B$5:$B$52,$A471,'P07-CashFlow'!$G$5:$G$52)</f>
        <v>-2898856</v>
      </c>
    </row>
    <row r="472" spans="1:6">
      <c r="A472" s="44" t="str">
        <f>"ANSWER: "&amp;INDEX($A$468:$A$471,MATCH(MAX($B$468:$B$471),$B$468:$B$471,0))&amp;" ran negative in "&amp;MAX($B$468:$B$471)&amp;" of 12 months — the most in the portfolio. Its worst month was "&amp;INDEX($D$468:$D$471,MATCH(MAX($B$468:$B$471),$B$468:$B$471,0))&amp;" at "&amp;TEXT(INDEX($E$468:$E$471,MATCH(MAX($B$468:$B$471),$B$468:$B$471,0)),"""$""#,##0")&amp;". Best cash discipline: "&amp;INDEX($A$468:$A$471,MATCH(MIN($B$468:$B$471),$B$468:$B$471,0))&amp;" with "&amp;MIN($B$468:$B$471)&amp;" negative months."</f>
        <v>ANSWER: WT-HOS-AKL-03 ran negative in 9 of 12 months — the most in the portfolio. Its worst month was 2024-12 at -$9,92,486. Best cash discipline: WT-DC-MUM-01 with 6 negative months.</v>
      </c>
    </row>
    <row r="474" spans="1:6">
      <c r="A474" s="42" t="s">
        <v>1508</v>
      </c>
    </row>
    <row r="475" spans="1:6">
      <c r="A475" s="43" t="s">
        <v>68</v>
      </c>
      <c r="B475" s="43" t="s">
        <v>1509</v>
      </c>
      <c r="C475" s="43" t="s">
        <v>1510</v>
      </c>
      <c r="D475" s="43" t="s">
        <v>1511</v>
      </c>
      <c r="E475" s="43" t="s">
        <v>1512</v>
      </c>
      <c r="F475" s="43" t="s">
        <v>1513</v>
      </c>
    </row>
    <row r="476" spans="1:6">
      <c r="A476" t="s">
        <v>283</v>
      </c>
      <c r="B476" s="48">
        <f>SUMIF('P07-CashFlow'!$B$5:$B$52,$A476,'P07-CashFlow'!$C$5:$C$52)</f>
        <v>14886232</v>
      </c>
      <c r="C476" s="48">
        <f>SUMIF('P07-CashFlow'!$B$5:$B$52,$A476,'P07-CashFlow'!$D$5:$D$52)</f>
        <v>11569465</v>
      </c>
      <c r="D476" s="48">
        <f>SUMIF('P07-CashFlow'!$B$5:$B$52,$A476,'P07-CashFlow'!$F$5:$F$52)</f>
        <v>10729707</v>
      </c>
      <c r="E476" s="48">
        <f>C476-D476</f>
        <v>839758</v>
      </c>
      <c r="F476" s="48">
        <f>C476-B476</f>
        <v>-3316767</v>
      </c>
    </row>
    <row r="477" spans="1:6">
      <c r="A477" t="s">
        <v>317</v>
      </c>
      <c r="B477" s="48">
        <f>SUMIF('P07-CashFlow'!$B$5:$B$52,$A477,'P07-CashFlow'!$C$5:$C$52)</f>
        <v>15300774</v>
      </c>
      <c r="C477" s="48">
        <f>SUMIF('P07-CashFlow'!$B$5:$B$52,$A477,'P07-CashFlow'!$D$5:$D$52)</f>
        <v>11902885</v>
      </c>
      <c r="D477" s="48">
        <f>SUMIF('P07-CashFlow'!$B$5:$B$52,$A477,'P07-CashFlow'!$F$5:$F$52)</f>
        <v>13293072</v>
      </c>
      <c r="E477" s="48">
        <f>C477-D477</f>
        <v>-1390187</v>
      </c>
      <c r="F477" s="48">
        <f>C477-B477</f>
        <v>-3397889</v>
      </c>
    </row>
    <row r="478" spans="1:6">
      <c r="A478" t="s">
        <v>318</v>
      </c>
      <c r="B478" s="48">
        <f>SUMIF('P07-CashFlow'!$B$5:$B$52,$A478,'P07-CashFlow'!$C$5:$C$52)</f>
        <v>14162244</v>
      </c>
      <c r="C478" s="48">
        <f>SUMIF('P07-CashFlow'!$B$5:$B$52,$A478,'P07-CashFlow'!$D$5:$D$52)</f>
        <v>10528520</v>
      </c>
      <c r="D478" s="48">
        <f>SUMIF('P07-CashFlow'!$B$5:$B$52,$A478,'P07-CashFlow'!$F$5:$F$52)</f>
        <v>14395722</v>
      </c>
      <c r="E478" s="48">
        <f>C478-D478</f>
        <v>-3867202</v>
      </c>
      <c r="F478" s="48">
        <f>C478-B478</f>
        <v>-3633724</v>
      </c>
    </row>
    <row r="479" spans="1:6">
      <c r="A479" t="s">
        <v>337</v>
      </c>
      <c r="B479" s="48">
        <f>SUMIF('P07-CashFlow'!$B$5:$B$52,$A479,'P07-CashFlow'!$C$5:$C$52)</f>
        <v>11554097</v>
      </c>
      <c r="C479" s="48">
        <f>SUMIF('P07-CashFlow'!$B$5:$B$52,$A479,'P07-CashFlow'!$D$5:$D$52)</f>
        <v>9005567</v>
      </c>
      <c r="D479" s="48">
        <f>SUMIF('P07-CashFlow'!$B$5:$B$52,$A479,'P07-CashFlow'!$F$5:$F$52)</f>
        <v>11904423</v>
      </c>
      <c r="E479" s="48">
        <f>C479-D479</f>
        <v>-2898856</v>
      </c>
      <c r="F479" s="48">
        <f>C479-B479</f>
        <v>-2548530</v>
      </c>
    </row>
    <row r="480" spans="1:6">
      <c r="A480" s="36" t="s">
        <v>1307</v>
      </c>
      <c r="B480" s="49">
        <f>SUM(B476:B479)</f>
        <v>55903347</v>
      </c>
      <c r="C480" s="49">
        <f>SUM(C476:C479)</f>
        <v>43006437</v>
      </c>
      <c r="D480" s="49">
        <f>SUM(D476:D479)</f>
        <v>50322924</v>
      </c>
      <c r="E480" s="49">
        <f>C480-D480</f>
        <v>-7316487</v>
      </c>
      <c r="F480" s="49">
        <f>C480-B480</f>
        <v>-12896910</v>
      </c>
    </row>
    <row r="481" spans="1:6">
      <c r="A481" s="44" t="str">
        <f>"ANSWER: At 31-Dec-2024 the portfolio sits at "&amp;TEXT($E$480,"""$""#,##0")&amp;" cumulative cash. "&amp;COUNTIF($E$476:$E$479,"&lt;0")&amp;" of 4 projects are cash-negative. Best: "&amp;INDEX($A$476:$A$479,MATCH(MAX($E$476:$E$479),$E$476:$E$479,0))&amp;" at "&amp;TEXT(MAX($E$476:$E$479),"""$""#,##0")&amp;"; worst: "&amp;INDEX($A$476:$A$479,MATCH(MIN($E$476:$E$479),$E$476:$E$479,0))&amp;" at "&amp;TEXT(MIN($E$476:$E$479),"""$""#,##0")&amp;". Collections came in "&amp;TEXT(ABS($F$480),"""$""#,##0")&amp;" "&amp;IF($F$480&lt;0,"below","above")&amp;" plan."</f>
        <v>ANSWER: At 31-Dec-2024 the portfolio sits at -$73,16,487 cumulative cash. 3 of 4 projects are cash-negative. Best: WT-DC-MUM-01 at $8,39,758; worst: WT-HOS-AKL-03 at -$38,67,202. Collections came in $1,28,96,910 below plan.</v>
      </c>
    </row>
    <row r="483" spans="1:6">
      <c r="A483" s="42" t="s">
        <v>1514</v>
      </c>
    </row>
    <row r="484" spans="1:6">
      <c r="A484" s="43" t="s">
        <v>219</v>
      </c>
      <c r="B484" s="43" t="s">
        <v>283</v>
      </c>
      <c r="C484" s="43" t="s">
        <v>317</v>
      </c>
      <c r="D484" s="43" t="s">
        <v>318</v>
      </c>
      <c r="E484" s="43" t="s">
        <v>337</v>
      </c>
      <c r="F484" s="43" t="s">
        <v>1515</v>
      </c>
    </row>
    <row r="485" spans="1:6">
      <c r="A485" t="s">
        <v>226</v>
      </c>
      <c r="B485" s="48">
        <f>SUMIFS('P07-CashFlow'!$G$5:$G$52,'P07-CashFlow'!$A$5:$A$52,$A485,'P07-CashFlow'!$B$5:$B$52,B$484)</f>
        <v>-574274</v>
      </c>
      <c r="C485" s="48">
        <f>SUMIFS('P07-CashFlow'!$G$5:$G$52,'P07-CashFlow'!$A$5:$A$52,$A485,'P07-CashFlow'!$B$5:$B$52,C$484)</f>
        <v>-1317584</v>
      </c>
      <c r="D485" s="48">
        <f>SUMIFS('P07-CashFlow'!$G$5:$G$52,'P07-CashFlow'!$A$5:$A$52,$A485,'P07-CashFlow'!$B$5:$B$52,D$484)</f>
        <v>-595005</v>
      </c>
      <c r="E485" s="48">
        <f>SUMIFS('P07-CashFlow'!$G$5:$G$52,'P07-CashFlow'!$A$5:$A$52,$A485,'P07-CashFlow'!$B$5:$B$52,E$484)</f>
        <v>545759</v>
      </c>
      <c r="F485" s="48">
        <f t="shared" ref="F485:F496" si="25">SUM(B485:E485)</f>
        <v>-1941104</v>
      </c>
    </row>
    <row r="486" spans="1:6">
      <c r="A486" t="s">
        <v>236</v>
      </c>
      <c r="B486" s="48">
        <f>SUMIFS('P07-CashFlow'!$G$5:$G$52,'P07-CashFlow'!$A$5:$A$52,$A486,'P07-CashFlow'!$B$5:$B$52,B$484)</f>
        <v>-868853</v>
      </c>
      <c r="C486" s="48">
        <f>SUMIFS('P07-CashFlow'!$G$5:$G$52,'P07-CashFlow'!$A$5:$A$52,$A486,'P07-CashFlow'!$B$5:$B$52,C$484)</f>
        <v>836765</v>
      </c>
      <c r="D486" s="48">
        <f>SUMIFS('P07-CashFlow'!$G$5:$G$52,'P07-CashFlow'!$A$5:$A$52,$A486,'P07-CashFlow'!$B$5:$B$52,D$484)</f>
        <v>-533153</v>
      </c>
      <c r="E486" s="48">
        <f>SUMIFS('P07-CashFlow'!$G$5:$G$52,'P07-CashFlow'!$A$5:$A$52,$A486,'P07-CashFlow'!$B$5:$B$52,E$484)</f>
        <v>-3935</v>
      </c>
      <c r="F486" s="48">
        <f t="shared" si="25"/>
        <v>-569176</v>
      </c>
    </row>
    <row r="487" spans="1:6">
      <c r="A487" t="s">
        <v>242</v>
      </c>
      <c r="B487" s="48">
        <f>SUMIFS('P07-CashFlow'!$G$5:$G$52,'P07-CashFlow'!$A$5:$A$52,$A487,'P07-CashFlow'!$B$5:$B$52,B$484)</f>
        <v>-221231</v>
      </c>
      <c r="C487" s="48">
        <f>SUMIFS('P07-CashFlow'!$G$5:$G$52,'P07-CashFlow'!$A$5:$A$52,$A487,'P07-CashFlow'!$B$5:$B$52,C$484)</f>
        <v>586100</v>
      </c>
      <c r="D487" s="48">
        <f>SUMIFS('P07-CashFlow'!$G$5:$G$52,'P07-CashFlow'!$A$5:$A$52,$A487,'P07-CashFlow'!$B$5:$B$52,D$484)</f>
        <v>61735</v>
      </c>
      <c r="E487" s="48">
        <f>SUMIFS('P07-CashFlow'!$G$5:$G$52,'P07-CashFlow'!$A$5:$A$52,$A487,'P07-CashFlow'!$B$5:$B$52,E$484)</f>
        <v>-186915</v>
      </c>
      <c r="F487" s="48">
        <f t="shared" si="25"/>
        <v>239689</v>
      </c>
    </row>
    <row r="488" spans="1:6">
      <c r="A488" t="s">
        <v>247</v>
      </c>
      <c r="B488" s="48">
        <f>SUMIFS('P07-CashFlow'!$G$5:$G$52,'P07-CashFlow'!$A$5:$A$52,$A488,'P07-CashFlow'!$B$5:$B$52,B$484)</f>
        <v>1074695</v>
      </c>
      <c r="C488" s="48">
        <f>SUMIFS('P07-CashFlow'!$G$5:$G$52,'P07-CashFlow'!$A$5:$A$52,$A488,'P07-CashFlow'!$B$5:$B$52,C$484)</f>
        <v>-455351</v>
      </c>
      <c r="D488" s="48">
        <f>SUMIFS('P07-CashFlow'!$G$5:$G$52,'P07-CashFlow'!$A$5:$A$52,$A488,'P07-CashFlow'!$B$5:$B$52,D$484)</f>
        <v>-572862</v>
      </c>
      <c r="E488" s="48">
        <f>SUMIFS('P07-CashFlow'!$G$5:$G$52,'P07-CashFlow'!$A$5:$A$52,$A488,'P07-CashFlow'!$B$5:$B$52,E$484)</f>
        <v>-1331420</v>
      </c>
      <c r="F488" s="48">
        <f t="shared" si="25"/>
        <v>-1284938</v>
      </c>
    </row>
    <row r="489" spans="1:6">
      <c r="A489" t="s">
        <v>248</v>
      </c>
      <c r="B489" s="48">
        <f>SUMIFS('P07-CashFlow'!$G$5:$G$52,'P07-CashFlow'!$A$5:$A$52,$A489,'P07-CashFlow'!$B$5:$B$52,B$484)</f>
        <v>389471</v>
      </c>
      <c r="C489" s="48">
        <f>SUMIFS('P07-CashFlow'!$G$5:$G$52,'P07-CashFlow'!$A$5:$A$52,$A489,'P07-CashFlow'!$B$5:$B$52,C$484)</f>
        <v>502180</v>
      </c>
      <c r="D489" s="48">
        <f>SUMIFS('P07-CashFlow'!$G$5:$G$52,'P07-CashFlow'!$A$5:$A$52,$A489,'P07-CashFlow'!$B$5:$B$52,D$484)</f>
        <v>579339</v>
      </c>
      <c r="E489" s="48">
        <f>SUMIFS('P07-CashFlow'!$G$5:$G$52,'P07-CashFlow'!$A$5:$A$52,$A489,'P07-CashFlow'!$B$5:$B$52,E$484)</f>
        <v>-107332</v>
      </c>
      <c r="F489" s="48">
        <f t="shared" si="25"/>
        <v>1363658</v>
      </c>
    </row>
    <row r="490" spans="1:6">
      <c r="A490" t="s">
        <v>251</v>
      </c>
      <c r="B490" s="48">
        <f>SUMIFS('P07-CashFlow'!$G$5:$G$52,'P07-CashFlow'!$A$5:$A$52,$A490,'P07-CashFlow'!$B$5:$B$52,B$484)</f>
        <v>676310</v>
      </c>
      <c r="C490" s="48">
        <f>SUMIFS('P07-CashFlow'!$G$5:$G$52,'P07-CashFlow'!$A$5:$A$52,$A490,'P07-CashFlow'!$B$5:$B$52,C$484)</f>
        <v>767572</v>
      </c>
      <c r="D490" s="48">
        <f>SUMIFS('P07-CashFlow'!$G$5:$G$52,'P07-CashFlow'!$A$5:$A$52,$A490,'P07-CashFlow'!$B$5:$B$52,D$484)</f>
        <v>-68464</v>
      </c>
      <c r="E490" s="48">
        <f>SUMIFS('P07-CashFlow'!$G$5:$G$52,'P07-CashFlow'!$A$5:$A$52,$A490,'P07-CashFlow'!$B$5:$B$52,E$484)</f>
        <v>-1097039</v>
      </c>
      <c r="F490" s="48">
        <f t="shared" si="25"/>
        <v>278379</v>
      </c>
    </row>
    <row r="491" spans="1:6">
      <c r="A491" t="s">
        <v>252</v>
      </c>
      <c r="B491" s="48">
        <f>SUMIFS('P07-CashFlow'!$G$5:$G$52,'P07-CashFlow'!$A$5:$A$52,$A491,'P07-CashFlow'!$B$5:$B$52,B$484)</f>
        <v>147369</v>
      </c>
      <c r="C491" s="48">
        <f>SUMIFS('P07-CashFlow'!$G$5:$G$52,'P07-CashFlow'!$A$5:$A$52,$A491,'P07-CashFlow'!$B$5:$B$52,C$484)</f>
        <v>-195047</v>
      </c>
      <c r="D491" s="48">
        <f>SUMIFS('P07-CashFlow'!$G$5:$G$52,'P07-CashFlow'!$A$5:$A$52,$A491,'P07-CashFlow'!$B$5:$B$52,D$484)</f>
        <v>102073</v>
      </c>
      <c r="E491" s="48">
        <f>SUMIFS('P07-CashFlow'!$G$5:$G$52,'P07-CashFlow'!$A$5:$A$52,$A491,'P07-CashFlow'!$B$5:$B$52,E$484)</f>
        <v>103162</v>
      </c>
      <c r="F491" s="48">
        <f t="shared" si="25"/>
        <v>157557</v>
      </c>
    </row>
    <row r="492" spans="1:6">
      <c r="A492" t="s">
        <v>253</v>
      </c>
      <c r="B492" s="48">
        <f>SUMIFS('P07-CashFlow'!$G$5:$G$52,'P07-CashFlow'!$A$5:$A$52,$A492,'P07-CashFlow'!$B$5:$B$52,B$484)</f>
        <v>-30373</v>
      </c>
      <c r="C492" s="48">
        <f>SUMIFS('P07-CashFlow'!$G$5:$G$52,'P07-CashFlow'!$A$5:$A$52,$A492,'P07-CashFlow'!$B$5:$B$52,C$484)</f>
        <v>-1056516</v>
      </c>
      <c r="D492" s="48">
        <f>SUMIFS('P07-CashFlow'!$G$5:$G$52,'P07-CashFlow'!$A$5:$A$52,$A492,'P07-CashFlow'!$B$5:$B$52,D$484)</f>
        <v>-436762</v>
      </c>
      <c r="E492" s="48">
        <f>SUMIFS('P07-CashFlow'!$G$5:$G$52,'P07-CashFlow'!$A$5:$A$52,$A492,'P07-CashFlow'!$B$5:$B$52,E$484)</f>
        <v>596012</v>
      </c>
      <c r="F492" s="48">
        <f t="shared" si="25"/>
        <v>-927639</v>
      </c>
    </row>
    <row r="493" spans="1:6">
      <c r="A493" t="s">
        <v>254</v>
      </c>
      <c r="B493" s="48">
        <f>SUMIFS('P07-CashFlow'!$G$5:$G$52,'P07-CashFlow'!$A$5:$A$52,$A493,'P07-CashFlow'!$B$5:$B$52,B$484)</f>
        <v>-576106</v>
      </c>
      <c r="C493" s="48">
        <f>SUMIFS('P07-CashFlow'!$G$5:$G$52,'P07-CashFlow'!$A$5:$A$52,$A493,'P07-CashFlow'!$B$5:$B$52,C$484)</f>
        <v>226548</v>
      </c>
      <c r="D493" s="48">
        <f>SUMIFS('P07-CashFlow'!$G$5:$G$52,'P07-CashFlow'!$A$5:$A$52,$A493,'P07-CashFlow'!$B$5:$B$52,D$484)</f>
        <v>-958914</v>
      </c>
      <c r="E493" s="48">
        <f>SUMIFS('P07-CashFlow'!$G$5:$G$52,'P07-CashFlow'!$A$5:$A$52,$A493,'P07-CashFlow'!$B$5:$B$52,E$484)</f>
        <v>-810634</v>
      </c>
      <c r="F493" s="48">
        <f t="shared" si="25"/>
        <v>-2119106</v>
      </c>
    </row>
    <row r="494" spans="1:6">
      <c r="A494" t="s">
        <v>256</v>
      </c>
      <c r="B494" s="48">
        <f>SUMIFS('P07-CashFlow'!$G$5:$G$52,'P07-CashFlow'!$A$5:$A$52,$A494,'P07-CashFlow'!$B$5:$B$52,B$484)</f>
        <v>701779</v>
      </c>
      <c r="C494" s="48">
        <f>SUMIFS('P07-CashFlow'!$G$5:$G$52,'P07-CashFlow'!$A$5:$A$52,$A494,'P07-CashFlow'!$B$5:$B$52,C$484)</f>
        <v>73497</v>
      </c>
      <c r="D494" s="48">
        <f>SUMIFS('P07-CashFlow'!$G$5:$G$52,'P07-CashFlow'!$A$5:$A$52,$A494,'P07-CashFlow'!$B$5:$B$52,D$484)</f>
        <v>-345897</v>
      </c>
      <c r="E494" s="48">
        <f>SUMIFS('P07-CashFlow'!$G$5:$G$52,'P07-CashFlow'!$A$5:$A$52,$A494,'P07-CashFlow'!$B$5:$B$52,E$484)</f>
        <v>-1038711</v>
      </c>
      <c r="F494" s="48">
        <f t="shared" si="25"/>
        <v>-609332</v>
      </c>
    </row>
    <row r="495" spans="1:6">
      <c r="A495" t="s">
        <v>257</v>
      </c>
      <c r="B495" s="48">
        <f>SUMIFS('P07-CashFlow'!$G$5:$G$52,'P07-CashFlow'!$A$5:$A$52,$A495,'P07-CashFlow'!$B$5:$B$52,B$484)</f>
        <v>674262</v>
      </c>
      <c r="C495" s="48">
        <f>SUMIFS('P07-CashFlow'!$G$5:$G$52,'P07-CashFlow'!$A$5:$A$52,$A495,'P07-CashFlow'!$B$5:$B$52,C$484)</f>
        <v>-824642</v>
      </c>
      <c r="D495" s="48">
        <f>SUMIFS('P07-CashFlow'!$G$5:$G$52,'P07-CashFlow'!$A$5:$A$52,$A495,'P07-CashFlow'!$B$5:$B$52,D$484)</f>
        <v>-106806</v>
      </c>
      <c r="E495" s="48">
        <f>SUMIFS('P07-CashFlow'!$G$5:$G$52,'P07-CashFlow'!$A$5:$A$52,$A495,'P07-CashFlow'!$B$5:$B$52,E$484)</f>
        <v>447192</v>
      </c>
      <c r="F495" s="48">
        <f t="shared" si="25"/>
        <v>190006</v>
      </c>
    </row>
    <row r="496" spans="1:6">
      <c r="A496" t="s">
        <v>258</v>
      </c>
      <c r="B496" s="48">
        <f>SUMIFS('P07-CashFlow'!$G$5:$G$52,'P07-CashFlow'!$A$5:$A$52,$A496,'P07-CashFlow'!$B$5:$B$52,B$484)</f>
        <v>-553291</v>
      </c>
      <c r="C496" s="48">
        <f>SUMIFS('P07-CashFlow'!$G$5:$G$52,'P07-CashFlow'!$A$5:$A$52,$A496,'P07-CashFlow'!$B$5:$B$52,C$484)</f>
        <v>-533709</v>
      </c>
      <c r="D496" s="48">
        <f>SUMIFS('P07-CashFlow'!$G$5:$G$52,'P07-CashFlow'!$A$5:$A$52,$A496,'P07-CashFlow'!$B$5:$B$52,D$484)</f>
        <v>-992486</v>
      </c>
      <c r="E496" s="48">
        <f>SUMIFS('P07-CashFlow'!$G$5:$G$52,'P07-CashFlow'!$A$5:$A$52,$A496,'P07-CashFlow'!$B$5:$B$52,E$484)</f>
        <v>-14995</v>
      </c>
      <c r="F496" s="48">
        <f t="shared" si="25"/>
        <v>-2094481</v>
      </c>
    </row>
    <row r="497" spans="1:6">
      <c r="A497" s="44" t="str">
        <f>"ANSWER: The chart to the right plots all four projects month by month. Portfolio net cash flow is negative in "&amp;COUNTIF($F$485:$F$496,"&lt;0")&amp;" of 12 months, with the deepest trough in "&amp;INDEX($A$485:$A$496,MATCH(MIN($F$485:$F$496),$F$485:$F$496,0))&amp;" ("&amp;TEXT(MIN($F$485:$F$496),"""$""#,##0")&amp;") and the strongest month "&amp;INDEX($A$485:$A$496,MATCH(MAX($F$485:$F$496),$F$485:$F$496,0))&amp;" ("&amp;TEXT(MAX($F$485:$F$496),"""$""#,##0")&amp;")."</f>
        <v>ANSWER: The chart to the right plots all four projects month by month. Portfolio net cash flow is negative in 7 of 12 months, with the deepest trough in 2024-09 (-$21,19,106) and the strongest month 2024-05 ($13,63,658).</v>
      </c>
    </row>
    <row r="499" spans="1:6">
      <c r="A499" s="42" t="s">
        <v>1516</v>
      </c>
    </row>
    <row r="500" spans="1:6">
      <c r="A500" t="s">
        <v>1517</v>
      </c>
      <c r="B500" s="56">
        <v>0.7</v>
      </c>
      <c r="C500" t="s">
        <v>1518</v>
      </c>
      <c r="D500" cm="1">
        <f t="array" ref="D500">SUMPRODUCT(('P07-CashFlow'!$D$5:$D$52&lt;$B$500*'P07-CashFlow'!$C$5:$C$52)*1)</f>
        <v>17</v>
      </c>
      <c r="E500" t="s">
        <v>1519</v>
      </c>
      <c r="F500">
        <f>COUNT('P07-CashFlow'!$D$5:$D$52)</f>
        <v>48</v>
      </c>
    </row>
    <row r="501" spans="1:6">
      <c r="A501" s="43" t="s">
        <v>2</v>
      </c>
      <c r="B501" s="43" t="s">
        <v>219</v>
      </c>
      <c r="C501" s="43" t="s">
        <v>68</v>
      </c>
      <c r="D501" s="43" t="s">
        <v>1520</v>
      </c>
      <c r="E501" s="43" t="s">
        <v>1521</v>
      </c>
      <c r="F501" s="43" t="s">
        <v>1522</v>
      </c>
    </row>
    <row r="502" spans="1:6">
      <c r="A502">
        <v>1</v>
      </c>
      <c r="B502" t="str" cm="1">
        <f t="array" ref="B502">IFERROR(INDEX('P07-CashFlow'!$A$5:$A$52,_xlfn.AGGREGATE(15,6,(ROW('P07-CashFlow'!$D$5:$D$52)-4)/(('P07-CashFlow'!$D$5:$D$52&lt;$B$500*'P07-CashFlow'!$C$5:$C$52)*1),$A502)),"")</f>
        <v>2024-01</v>
      </c>
      <c r="C502" t="str" cm="1">
        <f t="array" ref="C502">IFERROR(INDEX('P07-CashFlow'!$B$5:$B$52,_xlfn.AGGREGATE(15,6,(ROW('P07-CashFlow'!$D$5:$D$52)-4)/(('P07-CashFlow'!$D$5:$D$52&lt;$B$500*'P07-CashFlow'!$C$5:$C$52)*1),$A502)),"")</f>
        <v>WT-DC-MUM-01</v>
      </c>
      <c r="D502" s="48" cm="1">
        <f t="array" ref="D502">IFERROR(INDEX('P07-CashFlow'!$C$5:$C$52,_xlfn.AGGREGATE(15,6,(ROW('P07-CashFlow'!$D$5:$D$52)-4)/(('P07-CashFlow'!$D$5:$D$52&lt;$B$500*'P07-CashFlow'!$C$5:$C$52)*1),$A502)),"")</f>
        <v>1554546</v>
      </c>
      <c r="E502" s="48" cm="1">
        <f t="array" ref="E502">IFERROR(INDEX('P07-CashFlow'!$D$5:$D$52,_xlfn.AGGREGATE(15,6,(ROW('P07-CashFlow'!$D$5:$D$52)-4)/(('P07-CashFlow'!$D$5:$D$52&lt;$B$500*'P07-CashFlow'!$C$5:$C$52)*1),$A502)),"")</f>
        <v>978713</v>
      </c>
      <c r="F502" s="39" cm="1">
        <f t="array" ref="F502">IFERROR(INDEX('P07-CashFlow'!$D$5:$D$52,_xlfn.AGGREGATE(15,6,(ROW('P07-CashFlow'!$D$5:$D$52)-4)/(('P07-CashFlow'!$D$5:$D$52&lt;$B$500*'P07-CashFlow'!$C$5:$C$52)*1),$A502))/INDEX('P07-CashFlow'!$C$5:$C$52,_xlfn.AGGREGATE(15,6,(ROW('P07-CashFlow'!$D$5:$D$52)-4)/(('P07-CashFlow'!$D$5:$D$52&lt;$B$500*'P07-CashFlow'!$C$5:$C$52)*1),$A502)),"")</f>
        <v>0.62958124108260549</v>
      </c>
    </row>
    <row r="503" spans="1:6">
      <c r="A503">
        <v>2</v>
      </c>
      <c r="B503" t="str" cm="1">
        <f t="array" ref="B503">IFERROR(INDEX('P07-CashFlow'!$A$5:$A$52,_xlfn.AGGREGATE(15,6,(ROW('P07-CashFlow'!$D$5:$D$52)-4)/(('P07-CashFlow'!$D$5:$D$52&lt;$B$500*'P07-CashFlow'!$C$5:$C$52)*1),$A503)),"")</f>
        <v>2024-04</v>
      </c>
      <c r="C503" t="str" cm="1">
        <f t="array" ref="C503">IFERROR(INDEX('P07-CashFlow'!$B$5:$B$52,_xlfn.AGGREGATE(15,6,(ROW('P07-CashFlow'!$D$5:$D$52)-4)/(('P07-CashFlow'!$D$5:$D$52&lt;$B$500*'P07-CashFlow'!$C$5:$C$52)*1),$A503)),"")</f>
        <v>WT-DC-MUM-01</v>
      </c>
      <c r="D503" s="48" cm="1">
        <f t="array" ref="D503">IFERROR(INDEX('P07-CashFlow'!$C$5:$C$52,_xlfn.AGGREGATE(15,6,(ROW('P07-CashFlow'!$D$5:$D$52)-4)/(('P07-CashFlow'!$D$5:$D$52&lt;$B$500*'P07-CashFlow'!$C$5:$C$52)*1),$A503)),"")</f>
        <v>1956584</v>
      </c>
      <c r="E503" s="48" cm="1">
        <f t="array" ref="E503">IFERROR(INDEX('P07-CashFlow'!$D$5:$D$52,_xlfn.AGGREGATE(15,6,(ROW('P07-CashFlow'!$D$5:$D$52)-4)/(('P07-CashFlow'!$D$5:$D$52&lt;$B$500*'P07-CashFlow'!$C$5:$C$52)*1),$A503)),"")</f>
        <v>1345923</v>
      </c>
      <c r="F503" s="39" cm="1">
        <f t="array" ref="F503">IFERROR(INDEX('P07-CashFlow'!$D$5:$D$52,_xlfn.AGGREGATE(15,6,(ROW('P07-CashFlow'!$D$5:$D$52)-4)/(('P07-CashFlow'!$D$5:$D$52&lt;$B$500*'P07-CashFlow'!$C$5:$C$52)*1),$A503))/INDEX('P07-CashFlow'!$C$5:$C$52,_xlfn.AGGREGATE(15,6,(ROW('P07-CashFlow'!$D$5:$D$52)-4)/(('P07-CashFlow'!$D$5:$D$52&lt;$B$500*'P07-CashFlow'!$C$5:$C$52)*1),$A503)),"")</f>
        <v>0.68789430967441212</v>
      </c>
    </row>
    <row r="504" spans="1:6">
      <c r="A504">
        <v>3</v>
      </c>
      <c r="B504" t="str" cm="1">
        <f t="array" ref="B504">IFERROR(INDEX('P07-CashFlow'!$A$5:$A$52,_xlfn.AGGREGATE(15,6,(ROW('P07-CashFlow'!$D$5:$D$52)-4)/(('P07-CashFlow'!$D$5:$D$52&lt;$B$500*'P07-CashFlow'!$C$5:$C$52)*1),$A504)),"")</f>
        <v>2024-07</v>
      </c>
      <c r="C504" t="str" cm="1">
        <f t="array" ref="C504">IFERROR(INDEX('P07-CashFlow'!$B$5:$B$52,_xlfn.AGGREGATE(15,6,(ROW('P07-CashFlow'!$D$5:$D$52)-4)/(('P07-CashFlow'!$D$5:$D$52&lt;$B$500*'P07-CashFlow'!$C$5:$C$52)*1),$A504)),"")</f>
        <v>WT-DC-MUM-01</v>
      </c>
      <c r="D504" s="48" cm="1">
        <f t="array" ref="D504">IFERROR(INDEX('P07-CashFlow'!$C$5:$C$52,_xlfn.AGGREGATE(15,6,(ROW('P07-CashFlow'!$D$5:$D$52)-4)/(('P07-CashFlow'!$D$5:$D$52&lt;$B$500*'P07-CashFlow'!$C$5:$C$52)*1),$A504)),"")</f>
        <v>1464127</v>
      </c>
      <c r="E504" s="48" cm="1">
        <f t="array" ref="E504">IFERROR(INDEX('P07-CashFlow'!$D$5:$D$52,_xlfn.AGGREGATE(15,6,(ROW('P07-CashFlow'!$D$5:$D$52)-4)/(('P07-CashFlow'!$D$5:$D$52&lt;$B$500*'P07-CashFlow'!$C$5:$C$52)*1),$A504)),"")</f>
        <v>957027</v>
      </c>
      <c r="F504" s="39" cm="1">
        <f t="array" ref="F504">IFERROR(INDEX('P07-CashFlow'!$D$5:$D$52,_xlfn.AGGREGATE(15,6,(ROW('P07-CashFlow'!$D$5:$D$52)-4)/(('P07-CashFlow'!$D$5:$D$52&lt;$B$500*'P07-CashFlow'!$C$5:$C$52)*1),$A504))/INDEX('P07-CashFlow'!$C$5:$C$52,_xlfn.AGGREGATE(15,6,(ROW('P07-CashFlow'!$D$5:$D$52)-4)/(('P07-CashFlow'!$D$5:$D$52&lt;$B$500*'P07-CashFlow'!$C$5:$C$52)*1),$A504)),"")</f>
        <v>0.65365026394568226</v>
      </c>
    </row>
    <row r="505" spans="1:6">
      <c r="A505">
        <v>4</v>
      </c>
      <c r="B505" t="str" cm="1">
        <f t="array" ref="B505">IFERROR(INDEX('P07-CashFlow'!$A$5:$A$52,_xlfn.AGGREGATE(15,6,(ROW('P07-CashFlow'!$D$5:$D$52)-4)/(('P07-CashFlow'!$D$5:$D$52&lt;$B$500*'P07-CashFlow'!$C$5:$C$52)*1),$A505)),"")</f>
        <v>2024-10</v>
      </c>
      <c r="C505" t="str" cm="1">
        <f t="array" ref="C505">IFERROR(INDEX('P07-CashFlow'!$B$5:$B$52,_xlfn.AGGREGATE(15,6,(ROW('P07-CashFlow'!$D$5:$D$52)-4)/(('P07-CashFlow'!$D$5:$D$52&lt;$B$500*'P07-CashFlow'!$C$5:$C$52)*1),$A505)),"")</f>
        <v>WT-DC-MUM-01</v>
      </c>
      <c r="D505" s="48" cm="1">
        <f t="array" ref="D505">IFERROR(INDEX('P07-CashFlow'!$C$5:$C$52,_xlfn.AGGREGATE(15,6,(ROW('P07-CashFlow'!$D$5:$D$52)-4)/(('P07-CashFlow'!$D$5:$D$52&lt;$B$500*'P07-CashFlow'!$C$5:$C$52)*1),$A505)),"")</f>
        <v>1896205</v>
      </c>
      <c r="E505" s="48" cm="1">
        <f t="array" ref="E505">IFERROR(INDEX('P07-CashFlow'!$D$5:$D$52,_xlfn.AGGREGATE(15,6,(ROW('P07-CashFlow'!$D$5:$D$52)-4)/(('P07-CashFlow'!$D$5:$D$52&lt;$B$500*'P07-CashFlow'!$C$5:$C$52)*1),$A505)),"")</f>
        <v>1244523</v>
      </c>
      <c r="F505" s="39" cm="1">
        <f t="array" ref="F505">IFERROR(INDEX('P07-CashFlow'!$D$5:$D$52,_xlfn.AGGREGATE(15,6,(ROW('P07-CashFlow'!$D$5:$D$52)-4)/(('P07-CashFlow'!$D$5:$D$52&lt;$B$500*'P07-CashFlow'!$C$5:$C$52)*1),$A505))/INDEX('P07-CashFlow'!$C$5:$C$52,_xlfn.AGGREGATE(15,6,(ROW('P07-CashFlow'!$D$5:$D$52)-4)/(('P07-CashFlow'!$D$5:$D$52&lt;$B$500*'P07-CashFlow'!$C$5:$C$52)*1),$A505)),"")</f>
        <v>0.65632302414559607</v>
      </c>
    </row>
    <row r="506" spans="1:6">
      <c r="A506">
        <v>5</v>
      </c>
      <c r="B506" t="str" cm="1">
        <f t="array" ref="B506">IFERROR(INDEX('P07-CashFlow'!$A$5:$A$52,_xlfn.AGGREGATE(15,6,(ROW('P07-CashFlow'!$D$5:$D$52)-4)/(('P07-CashFlow'!$D$5:$D$52&lt;$B$500*'P07-CashFlow'!$C$5:$C$52)*1),$A506)),"")</f>
        <v>2024-01</v>
      </c>
      <c r="C506" t="str" cm="1">
        <f t="array" ref="C506">IFERROR(INDEX('P07-CashFlow'!$B$5:$B$52,_xlfn.AGGREGATE(15,6,(ROW('P07-CashFlow'!$D$5:$D$52)-4)/(('P07-CashFlow'!$D$5:$D$52&lt;$B$500*'P07-CashFlow'!$C$5:$C$52)*1),$A506)),"")</f>
        <v>WT-OFF-SYD-02</v>
      </c>
      <c r="D506" s="48" cm="1">
        <f t="array" ref="D506">IFERROR(INDEX('P07-CashFlow'!$C$5:$C$52,_xlfn.AGGREGATE(15,6,(ROW('P07-CashFlow'!$D$5:$D$52)-4)/(('P07-CashFlow'!$D$5:$D$52&lt;$B$500*'P07-CashFlow'!$C$5:$C$52)*1),$A506)),"")</f>
        <v>605088</v>
      </c>
      <c r="E506" s="48" cm="1">
        <f t="array" ref="E506">IFERROR(INDEX('P07-CashFlow'!$D$5:$D$52,_xlfn.AGGREGATE(15,6,(ROW('P07-CashFlow'!$D$5:$D$52)-4)/(('P07-CashFlow'!$D$5:$D$52&lt;$B$500*'P07-CashFlow'!$C$5:$C$52)*1),$A506)),"")</f>
        <v>416147</v>
      </c>
      <c r="F506" s="39" cm="1">
        <f t="array" ref="F506">IFERROR(INDEX('P07-CashFlow'!$D$5:$D$52,_xlfn.AGGREGATE(15,6,(ROW('P07-CashFlow'!$D$5:$D$52)-4)/(('P07-CashFlow'!$D$5:$D$52&lt;$B$500*'P07-CashFlow'!$C$5:$C$52)*1),$A506))/INDEX('P07-CashFlow'!$C$5:$C$52,_xlfn.AGGREGATE(15,6,(ROW('P07-CashFlow'!$D$5:$D$52)-4)/(('P07-CashFlow'!$D$5:$D$52&lt;$B$500*'P07-CashFlow'!$C$5:$C$52)*1),$A506)),"")</f>
        <v>0.68774624517425564</v>
      </c>
    </row>
    <row r="507" spans="1:6">
      <c r="A507">
        <v>6</v>
      </c>
      <c r="B507" t="str" cm="1">
        <f t="array" ref="B507">IFERROR(INDEX('P07-CashFlow'!$A$5:$A$52,_xlfn.AGGREGATE(15,6,(ROW('P07-CashFlow'!$D$5:$D$52)-4)/(('P07-CashFlow'!$D$5:$D$52&lt;$B$500*'P07-CashFlow'!$C$5:$C$52)*1),$A507)),"")</f>
        <v>2024-03</v>
      </c>
      <c r="C507" t="str" cm="1">
        <f t="array" ref="C507">IFERROR(INDEX('P07-CashFlow'!$B$5:$B$52,_xlfn.AGGREGATE(15,6,(ROW('P07-CashFlow'!$D$5:$D$52)-4)/(('P07-CashFlow'!$D$5:$D$52&lt;$B$500*'P07-CashFlow'!$C$5:$C$52)*1),$A507)),"")</f>
        <v>WT-OFF-SYD-02</v>
      </c>
      <c r="D507" s="48" cm="1">
        <f t="array" ref="D507">IFERROR(INDEX('P07-CashFlow'!$C$5:$C$52,_xlfn.AGGREGATE(15,6,(ROW('P07-CashFlow'!$D$5:$D$52)-4)/(('P07-CashFlow'!$D$5:$D$52&lt;$B$500*'P07-CashFlow'!$C$5:$C$52)*1),$A507)),"")</f>
        <v>1603531</v>
      </c>
      <c r="E507" s="48" cm="1">
        <f t="array" ref="E507">IFERROR(INDEX('P07-CashFlow'!$D$5:$D$52,_xlfn.AGGREGATE(15,6,(ROW('P07-CashFlow'!$D$5:$D$52)-4)/(('P07-CashFlow'!$D$5:$D$52&lt;$B$500*'P07-CashFlow'!$C$5:$C$52)*1),$A507)),"")</f>
        <v>1038595</v>
      </c>
      <c r="F507" s="39" cm="1">
        <f t="array" ref="F507">IFERROR(INDEX('P07-CashFlow'!$D$5:$D$52,_xlfn.AGGREGATE(15,6,(ROW('P07-CashFlow'!$D$5:$D$52)-4)/(('P07-CashFlow'!$D$5:$D$52&lt;$B$500*'P07-CashFlow'!$C$5:$C$52)*1),$A507))/INDEX('P07-CashFlow'!$C$5:$C$52,_xlfn.AGGREGATE(15,6,(ROW('P07-CashFlow'!$D$5:$D$52)-4)/(('P07-CashFlow'!$D$5:$D$52&lt;$B$500*'P07-CashFlow'!$C$5:$C$52)*1),$A507)),"")</f>
        <v>0.64769249861711431</v>
      </c>
    </row>
    <row r="508" spans="1:6">
      <c r="A508">
        <v>7</v>
      </c>
      <c r="B508" t="str" cm="1">
        <f t="array" ref="B508">IFERROR(INDEX('P07-CashFlow'!$A$5:$A$52,_xlfn.AGGREGATE(15,6,(ROW('P07-CashFlow'!$D$5:$D$52)-4)/(('P07-CashFlow'!$D$5:$D$52&lt;$B$500*'P07-CashFlow'!$C$5:$C$52)*1),$A508)),"")</f>
        <v>2024-04</v>
      </c>
      <c r="C508" t="str" cm="1">
        <f t="array" ref="C508">IFERROR(INDEX('P07-CashFlow'!$B$5:$B$52,_xlfn.AGGREGATE(15,6,(ROW('P07-CashFlow'!$D$5:$D$52)-4)/(('P07-CashFlow'!$D$5:$D$52&lt;$B$500*'P07-CashFlow'!$C$5:$C$52)*1),$A508)),"")</f>
        <v>WT-OFF-SYD-02</v>
      </c>
      <c r="D508" s="48" cm="1">
        <f t="array" ref="D508">IFERROR(INDEX('P07-CashFlow'!$C$5:$C$52,_xlfn.AGGREGATE(15,6,(ROW('P07-CashFlow'!$D$5:$D$52)-4)/(('P07-CashFlow'!$D$5:$D$52&lt;$B$500*'P07-CashFlow'!$C$5:$C$52)*1),$A508)),"")</f>
        <v>720192</v>
      </c>
      <c r="E508" s="48" cm="1">
        <f t="array" ref="E508">IFERROR(INDEX('P07-CashFlow'!$D$5:$D$52,_xlfn.AGGREGATE(15,6,(ROW('P07-CashFlow'!$D$5:$D$52)-4)/(('P07-CashFlow'!$D$5:$D$52&lt;$B$500*'P07-CashFlow'!$C$5:$C$52)*1),$A508)),"")</f>
        <v>434574</v>
      </c>
      <c r="F508" s="39" cm="1">
        <f t="array" ref="F508">IFERROR(INDEX('P07-CashFlow'!$D$5:$D$52,_xlfn.AGGREGATE(15,6,(ROW('P07-CashFlow'!$D$5:$D$52)-4)/(('P07-CashFlow'!$D$5:$D$52&lt;$B$500*'P07-CashFlow'!$C$5:$C$52)*1),$A508))/INDEX('P07-CashFlow'!$C$5:$C$52,_xlfn.AGGREGATE(15,6,(ROW('P07-CashFlow'!$D$5:$D$52)-4)/(('P07-CashFlow'!$D$5:$D$52&lt;$B$500*'P07-CashFlow'!$C$5:$C$52)*1),$A508)),"")</f>
        <v>0.60341408957611309</v>
      </c>
    </row>
    <row r="509" spans="1:6">
      <c r="A509">
        <v>8</v>
      </c>
      <c r="B509" t="str" cm="1">
        <f t="array" ref="B509">IFERROR(INDEX('P07-CashFlow'!$A$5:$A$52,_xlfn.AGGREGATE(15,6,(ROW('P07-CashFlow'!$D$5:$D$52)-4)/(('P07-CashFlow'!$D$5:$D$52&lt;$B$500*'P07-CashFlow'!$C$5:$C$52)*1),$A509)),"")</f>
        <v>2024-08</v>
      </c>
      <c r="C509" t="str" cm="1">
        <f t="array" ref="C509">IFERROR(INDEX('P07-CashFlow'!$B$5:$B$52,_xlfn.AGGREGATE(15,6,(ROW('P07-CashFlow'!$D$5:$D$52)-4)/(('P07-CashFlow'!$D$5:$D$52&lt;$B$500*'P07-CashFlow'!$C$5:$C$52)*1),$A509)),"")</f>
        <v>WT-OFF-SYD-02</v>
      </c>
      <c r="D509" s="48" cm="1">
        <f t="array" ref="D509">IFERROR(INDEX('P07-CashFlow'!$C$5:$C$52,_xlfn.AGGREGATE(15,6,(ROW('P07-CashFlow'!$D$5:$D$52)-4)/(('P07-CashFlow'!$D$5:$D$52&lt;$B$500*'P07-CashFlow'!$C$5:$C$52)*1),$A509)),"")</f>
        <v>843419</v>
      </c>
      <c r="E509" s="48" cm="1">
        <f t="array" ref="E509">IFERROR(INDEX('P07-CashFlow'!$D$5:$D$52,_xlfn.AGGREGATE(15,6,(ROW('P07-CashFlow'!$D$5:$D$52)-4)/(('P07-CashFlow'!$D$5:$D$52&lt;$B$500*'P07-CashFlow'!$C$5:$C$52)*1),$A509)),"")</f>
        <v>573405</v>
      </c>
      <c r="F509" s="39" cm="1">
        <f t="array" ref="F509">IFERROR(INDEX('P07-CashFlow'!$D$5:$D$52,_xlfn.AGGREGATE(15,6,(ROW('P07-CashFlow'!$D$5:$D$52)-4)/(('P07-CashFlow'!$D$5:$D$52&lt;$B$500*'P07-CashFlow'!$C$5:$C$52)*1),$A509))/INDEX('P07-CashFlow'!$C$5:$C$52,_xlfn.AGGREGATE(15,6,(ROW('P07-CashFlow'!$D$5:$D$52)-4)/(('P07-CashFlow'!$D$5:$D$52&lt;$B$500*'P07-CashFlow'!$C$5:$C$52)*1),$A509)),"")</f>
        <v>0.67985781681465562</v>
      </c>
    </row>
    <row r="510" spans="1:6">
      <c r="A510">
        <v>9</v>
      </c>
      <c r="B510" t="str" cm="1">
        <f t="array" ref="B510">IFERROR(INDEX('P07-CashFlow'!$A$5:$A$52,_xlfn.AGGREGATE(15,6,(ROW('P07-CashFlow'!$D$5:$D$52)-4)/(('P07-CashFlow'!$D$5:$D$52&lt;$B$500*'P07-CashFlow'!$C$5:$C$52)*1),$A510)),"")</f>
        <v>2024-03</v>
      </c>
      <c r="C510" t="str" cm="1">
        <f t="array" ref="C510">IFERROR(INDEX('P07-CashFlow'!$B$5:$B$52,_xlfn.AGGREGATE(15,6,(ROW('P07-CashFlow'!$D$5:$D$52)-4)/(('P07-CashFlow'!$D$5:$D$52&lt;$B$500*'P07-CashFlow'!$C$5:$C$52)*1),$A510)),"")</f>
        <v>WT-HOS-AKL-03</v>
      </c>
      <c r="D510" s="48" cm="1">
        <f t="array" ref="D510">IFERROR(INDEX('P07-CashFlow'!$C$5:$C$52,_xlfn.AGGREGATE(15,6,(ROW('P07-CashFlow'!$D$5:$D$52)-4)/(('P07-CashFlow'!$D$5:$D$52&lt;$B$500*'P07-CashFlow'!$C$5:$C$52)*1),$A510)),"")</f>
        <v>1851236</v>
      </c>
      <c r="E510" s="48" cm="1">
        <f t="array" ref="E510">IFERROR(INDEX('P07-CashFlow'!$D$5:$D$52,_xlfn.AGGREGATE(15,6,(ROW('P07-CashFlow'!$D$5:$D$52)-4)/(('P07-CashFlow'!$D$5:$D$52&lt;$B$500*'P07-CashFlow'!$C$5:$C$52)*1),$A510)),"")</f>
        <v>1186522</v>
      </c>
      <c r="F510" s="39" cm="1">
        <f t="array" ref="F510">IFERROR(INDEX('P07-CashFlow'!$D$5:$D$52,_xlfn.AGGREGATE(15,6,(ROW('P07-CashFlow'!$D$5:$D$52)-4)/(('P07-CashFlow'!$D$5:$D$52&lt;$B$500*'P07-CashFlow'!$C$5:$C$52)*1),$A510))/INDEX('P07-CashFlow'!$C$5:$C$52,_xlfn.AGGREGATE(15,6,(ROW('P07-CashFlow'!$D$5:$D$52)-4)/(('P07-CashFlow'!$D$5:$D$52&lt;$B$500*'P07-CashFlow'!$C$5:$C$52)*1),$A510)),"")</f>
        <v>0.64093502935336177</v>
      </c>
    </row>
    <row r="511" spans="1:6">
      <c r="A511">
        <v>10</v>
      </c>
      <c r="B511" t="str" cm="1">
        <f t="array" ref="B511">IFERROR(INDEX('P07-CashFlow'!$A$5:$A$52,_xlfn.AGGREGATE(15,6,(ROW('P07-CashFlow'!$D$5:$D$52)-4)/(('P07-CashFlow'!$D$5:$D$52&lt;$B$500*'P07-CashFlow'!$C$5:$C$52)*1),$A511)),"")</f>
        <v>2024-04</v>
      </c>
      <c r="C511" t="str" cm="1">
        <f t="array" ref="C511">IFERROR(INDEX('P07-CashFlow'!$B$5:$B$52,_xlfn.AGGREGATE(15,6,(ROW('P07-CashFlow'!$D$5:$D$52)-4)/(('P07-CashFlow'!$D$5:$D$52&lt;$B$500*'P07-CashFlow'!$C$5:$C$52)*1),$A511)),"")</f>
        <v>WT-HOS-AKL-03</v>
      </c>
      <c r="D511" s="48" cm="1">
        <f t="array" ref="D511">IFERROR(INDEX('P07-CashFlow'!$C$5:$C$52,_xlfn.AGGREGATE(15,6,(ROW('P07-CashFlow'!$D$5:$D$52)-4)/(('P07-CashFlow'!$D$5:$D$52&lt;$B$500*'P07-CashFlow'!$C$5:$C$52)*1),$A511)),"")</f>
        <v>958717</v>
      </c>
      <c r="E511" s="48" cm="1">
        <f t="array" ref="E511">IFERROR(INDEX('P07-CashFlow'!$D$5:$D$52,_xlfn.AGGREGATE(15,6,(ROW('P07-CashFlow'!$D$5:$D$52)-4)/(('P07-CashFlow'!$D$5:$D$52&lt;$B$500*'P07-CashFlow'!$C$5:$C$52)*1),$A511)),"")</f>
        <v>612669</v>
      </c>
      <c r="F511" s="39" cm="1">
        <f t="array" ref="F511">IFERROR(INDEX('P07-CashFlow'!$D$5:$D$52,_xlfn.AGGREGATE(15,6,(ROW('P07-CashFlow'!$D$5:$D$52)-4)/(('P07-CashFlow'!$D$5:$D$52&lt;$B$500*'P07-CashFlow'!$C$5:$C$52)*1),$A511))/INDEX('P07-CashFlow'!$C$5:$C$52,_xlfn.AGGREGATE(15,6,(ROW('P07-CashFlow'!$D$5:$D$52)-4)/(('P07-CashFlow'!$D$5:$D$52&lt;$B$500*'P07-CashFlow'!$C$5:$C$52)*1),$A511)),"")</f>
        <v>0.63905093995412621</v>
      </c>
    </row>
    <row r="512" spans="1:6">
      <c r="A512">
        <v>11</v>
      </c>
      <c r="B512" t="str" cm="1">
        <f t="array" ref="B512">IFERROR(INDEX('P07-CashFlow'!$A$5:$A$52,_xlfn.AGGREGATE(15,6,(ROW('P07-CashFlow'!$D$5:$D$52)-4)/(('P07-CashFlow'!$D$5:$D$52&lt;$B$500*'P07-CashFlow'!$C$5:$C$52)*1),$A512)),"")</f>
        <v>2024-06</v>
      </c>
      <c r="C512" t="str" cm="1">
        <f t="array" ref="C512">IFERROR(INDEX('P07-CashFlow'!$B$5:$B$52,_xlfn.AGGREGATE(15,6,(ROW('P07-CashFlow'!$D$5:$D$52)-4)/(('P07-CashFlow'!$D$5:$D$52&lt;$B$500*'P07-CashFlow'!$C$5:$C$52)*1),$A512)),"")</f>
        <v>WT-HOS-AKL-03</v>
      </c>
      <c r="D512" s="48" cm="1">
        <f t="array" ref="D512">IFERROR(INDEX('P07-CashFlow'!$C$5:$C$52,_xlfn.AGGREGATE(15,6,(ROW('P07-CashFlow'!$D$5:$D$52)-4)/(('P07-CashFlow'!$D$5:$D$52&lt;$B$500*'P07-CashFlow'!$C$5:$C$52)*1),$A512)),"")</f>
        <v>1325457</v>
      </c>
      <c r="E512" s="48" cm="1">
        <f t="array" ref="E512">IFERROR(INDEX('P07-CashFlow'!$D$5:$D$52,_xlfn.AGGREGATE(15,6,(ROW('P07-CashFlow'!$D$5:$D$52)-4)/(('P07-CashFlow'!$D$5:$D$52&lt;$B$500*'P07-CashFlow'!$C$5:$C$52)*1),$A512)),"")</f>
        <v>894585</v>
      </c>
      <c r="F512" s="39" cm="1">
        <f t="array" ref="F512">IFERROR(INDEX('P07-CashFlow'!$D$5:$D$52,_xlfn.AGGREGATE(15,6,(ROW('P07-CashFlow'!$D$5:$D$52)-4)/(('P07-CashFlow'!$D$5:$D$52&lt;$B$500*'P07-CashFlow'!$C$5:$C$52)*1),$A512))/INDEX('P07-CashFlow'!$C$5:$C$52,_xlfn.AGGREGATE(15,6,(ROW('P07-CashFlow'!$D$5:$D$52)-4)/(('P07-CashFlow'!$D$5:$D$52&lt;$B$500*'P07-CashFlow'!$C$5:$C$52)*1),$A512)),"")</f>
        <v>0.67492570487009385</v>
      </c>
    </row>
    <row r="513" spans="1:6">
      <c r="A513">
        <v>12</v>
      </c>
      <c r="B513" t="str" cm="1">
        <f t="array" ref="B513">IFERROR(INDEX('P07-CashFlow'!$A$5:$A$52,_xlfn.AGGREGATE(15,6,(ROW('P07-CashFlow'!$D$5:$D$52)-4)/(('P07-CashFlow'!$D$5:$D$52&lt;$B$500*'P07-CashFlow'!$C$5:$C$52)*1),$A513)),"")</f>
        <v>2024-07</v>
      </c>
      <c r="C513" t="str" cm="1">
        <f t="array" ref="C513">IFERROR(INDEX('P07-CashFlow'!$B$5:$B$52,_xlfn.AGGREGATE(15,6,(ROW('P07-CashFlow'!$D$5:$D$52)-4)/(('P07-CashFlow'!$D$5:$D$52&lt;$B$500*'P07-CashFlow'!$C$5:$C$52)*1),$A513)),"")</f>
        <v>WT-HOS-AKL-03</v>
      </c>
      <c r="D513" s="48" cm="1">
        <f t="array" ref="D513">IFERROR(INDEX('P07-CashFlow'!$C$5:$C$52,_xlfn.AGGREGATE(15,6,(ROW('P07-CashFlow'!$D$5:$D$52)-4)/(('P07-CashFlow'!$D$5:$D$52&lt;$B$500*'P07-CashFlow'!$C$5:$C$52)*1),$A513)),"")</f>
        <v>1126606</v>
      </c>
      <c r="E513" s="48" cm="1">
        <f t="array" ref="E513">IFERROR(INDEX('P07-CashFlow'!$D$5:$D$52,_xlfn.AGGREGATE(15,6,(ROW('P07-CashFlow'!$D$5:$D$52)-4)/(('P07-CashFlow'!$D$5:$D$52&lt;$B$500*'P07-CashFlow'!$C$5:$C$52)*1),$A513)),"")</f>
        <v>741441</v>
      </c>
      <c r="F513" s="39" cm="1">
        <f t="array" ref="F513">IFERROR(INDEX('P07-CashFlow'!$D$5:$D$52,_xlfn.AGGREGATE(15,6,(ROW('P07-CashFlow'!$D$5:$D$52)-4)/(('P07-CashFlow'!$D$5:$D$52&lt;$B$500*'P07-CashFlow'!$C$5:$C$52)*1),$A513))/INDEX('P07-CashFlow'!$C$5:$C$52,_xlfn.AGGREGATE(15,6,(ROW('P07-CashFlow'!$D$5:$D$52)-4)/(('P07-CashFlow'!$D$5:$D$52&lt;$B$500*'P07-CashFlow'!$C$5:$C$52)*1),$A513)),"")</f>
        <v>0.65811916499645839</v>
      </c>
    </row>
    <row r="514" spans="1:6">
      <c r="A514">
        <v>13</v>
      </c>
      <c r="B514" t="str" cm="1">
        <f t="array" ref="B514">IFERROR(INDEX('P07-CashFlow'!$A$5:$A$52,_xlfn.AGGREGATE(15,6,(ROW('P07-CashFlow'!$D$5:$D$52)-4)/(('P07-CashFlow'!$D$5:$D$52&lt;$B$500*'P07-CashFlow'!$C$5:$C$52)*1),$A514)),"")</f>
        <v>2024-08</v>
      </c>
      <c r="C514" t="str" cm="1">
        <f t="array" ref="C514">IFERROR(INDEX('P07-CashFlow'!$B$5:$B$52,_xlfn.AGGREGATE(15,6,(ROW('P07-CashFlow'!$D$5:$D$52)-4)/(('P07-CashFlow'!$D$5:$D$52&lt;$B$500*'P07-CashFlow'!$C$5:$C$52)*1),$A514)),"")</f>
        <v>WT-HOS-AKL-03</v>
      </c>
      <c r="D514" s="48" cm="1">
        <f t="array" ref="D514">IFERROR(INDEX('P07-CashFlow'!$C$5:$C$52,_xlfn.AGGREGATE(15,6,(ROW('P07-CashFlow'!$D$5:$D$52)-4)/(('P07-CashFlow'!$D$5:$D$52&lt;$B$500*'P07-CashFlow'!$C$5:$C$52)*1),$A514)),"")</f>
        <v>1225146</v>
      </c>
      <c r="E514" s="48" cm="1">
        <f t="array" ref="E514">IFERROR(INDEX('P07-CashFlow'!$D$5:$D$52,_xlfn.AGGREGATE(15,6,(ROW('P07-CashFlow'!$D$5:$D$52)-4)/(('P07-CashFlow'!$D$5:$D$52&lt;$B$500*'P07-CashFlow'!$C$5:$C$52)*1),$A514)),"")</f>
        <v>790795</v>
      </c>
      <c r="F514" s="39" cm="1">
        <f t="array" ref="F514">IFERROR(INDEX('P07-CashFlow'!$D$5:$D$52,_xlfn.AGGREGATE(15,6,(ROW('P07-CashFlow'!$D$5:$D$52)-4)/(('P07-CashFlow'!$D$5:$D$52&lt;$B$500*'P07-CashFlow'!$C$5:$C$52)*1),$A514))/INDEX('P07-CashFlow'!$C$5:$C$52,_xlfn.AGGREGATE(15,6,(ROW('P07-CashFlow'!$D$5:$D$52)-4)/(('P07-CashFlow'!$D$5:$D$52&lt;$B$500*'P07-CashFlow'!$C$5:$C$52)*1),$A514)),"")</f>
        <v>0.64547000928868881</v>
      </c>
    </row>
    <row r="515" spans="1:6">
      <c r="A515">
        <v>14</v>
      </c>
      <c r="B515" t="str" cm="1">
        <f t="array" ref="B515">IFERROR(INDEX('P07-CashFlow'!$A$5:$A$52,_xlfn.AGGREGATE(15,6,(ROW('P07-CashFlow'!$D$5:$D$52)-4)/(('P07-CashFlow'!$D$5:$D$52&lt;$B$500*'P07-CashFlow'!$C$5:$C$52)*1),$A515)),"")</f>
        <v>2024-10</v>
      </c>
      <c r="C515" t="str" cm="1">
        <f t="array" ref="C515">IFERROR(INDEX('P07-CashFlow'!$B$5:$B$52,_xlfn.AGGREGATE(15,6,(ROW('P07-CashFlow'!$D$5:$D$52)-4)/(('P07-CashFlow'!$D$5:$D$52&lt;$B$500*'P07-CashFlow'!$C$5:$C$52)*1),$A515)),"")</f>
        <v>WT-HOS-AKL-03</v>
      </c>
      <c r="D515" s="48" cm="1">
        <f t="array" ref="D515">IFERROR(INDEX('P07-CashFlow'!$C$5:$C$52,_xlfn.AGGREGATE(15,6,(ROW('P07-CashFlow'!$D$5:$D$52)-4)/(('P07-CashFlow'!$D$5:$D$52&lt;$B$500*'P07-CashFlow'!$C$5:$C$52)*1),$A515)),"")</f>
        <v>1382607</v>
      </c>
      <c r="E515" s="48" cm="1">
        <f t="array" ref="E515">IFERROR(INDEX('P07-CashFlow'!$D$5:$D$52,_xlfn.AGGREGATE(15,6,(ROW('P07-CashFlow'!$D$5:$D$52)-4)/(('P07-CashFlow'!$D$5:$D$52&lt;$B$500*'P07-CashFlow'!$C$5:$C$52)*1),$A515)),"")</f>
        <v>869477</v>
      </c>
      <c r="F515" s="39" cm="1">
        <f t="array" ref="F515">IFERROR(INDEX('P07-CashFlow'!$D$5:$D$52,_xlfn.AGGREGATE(15,6,(ROW('P07-CashFlow'!$D$5:$D$52)-4)/(('P07-CashFlow'!$D$5:$D$52&lt;$B$500*'P07-CashFlow'!$C$5:$C$52)*1),$A515))/INDEX('P07-CashFlow'!$C$5:$C$52,_xlfn.AGGREGATE(15,6,(ROW('P07-CashFlow'!$D$5:$D$52)-4)/(('P07-CashFlow'!$D$5:$D$52&lt;$B$500*'P07-CashFlow'!$C$5:$C$52)*1),$A515)),"")</f>
        <v>0.62886778383155884</v>
      </c>
    </row>
    <row r="516" spans="1:6">
      <c r="A516" s="44" t="str" cm="1">
        <f t="array" ref="A516">"ANSWER: "&amp;$D$500&amp;" of "&amp;$F$500&amp;" project-months collected less than 70% of planned inflow (the first 14 are listed above). The single worst is "&amp;INDEX('P07-CashFlow'!$B$5:$B$52,SUMPRODUCT(MAX((('P07-CashFlow'!$D$5:$D$52/'P07-CashFlow'!$C$5:$C$52)=MIN(('P07-CashFlow'!$D$5:$D$52/'P07-CashFlow'!$C$5:$C$52)))*ROW('P07-CashFlow'!$D$5:$D$52)))-4)&amp;" in "&amp;INDEX('P07-CashFlow'!$A$5:$A$52,SUMPRODUCT(MAX((('P07-CashFlow'!$D$5:$D$52/'P07-CashFlow'!$C$5:$C$52)=MIN(('P07-CashFlow'!$D$5:$D$52/'P07-CashFlow'!$C$5:$C$52)))*ROW('P07-CashFlow'!$D$5:$D$52)))-4)&amp;" at "&amp;TEXT(MIN(('P07-CashFlow'!$D$5:$D$52/'P07-CashFlow'!$C$5:$C$52)),"0.0%")&amp;" of plan. Concentrate collection effort on the projects appearing most often in column C."</f>
        <v>ANSWER: 17 of 48 project-months collected less than 70% of planned inflow (the first 14 are listed above). The single worst is WT-OFF-SYD-02 in 2024-04 at 60.3% of plan. Concentrate collection effort on the projects appearing most often in column C.</v>
      </c>
    </row>
    <row r="518" spans="1:6">
      <c r="A518" s="42" t="s">
        <v>1523</v>
      </c>
    </row>
    <row r="519" spans="1:6">
      <c r="A519" s="43" t="s">
        <v>1524</v>
      </c>
      <c r="B519" s="43" t="s">
        <v>1525</v>
      </c>
    </row>
    <row r="520" spans="1:6">
      <c r="A520" t="s">
        <v>1526</v>
      </c>
      <c r="B520" s="48">
        <f>SUM(C476:C479)</f>
        <v>43006437</v>
      </c>
      <c r="C520" t="s">
        <v>1527</v>
      </c>
      <c r="D520" s="48">
        <f>SUM(B476:B479)</f>
        <v>55903347</v>
      </c>
    </row>
    <row r="521" spans="1:6">
      <c r="A521" t="s">
        <v>1528</v>
      </c>
      <c r="B521" s="48">
        <f>SUM(D476:D479)</f>
        <v>50322924</v>
      </c>
      <c r="C521" t="s">
        <v>1529</v>
      </c>
      <c r="D521" s="48">
        <f>SUM('P07-CashFlow'!$E$5:$E$52)</f>
        <v>49699767</v>
      </c>
    </row>
    <row r="522" spans="1:6">
      <c r="A522" t="s">
        <v>1530</v>
      </c>
      <c r="B522" s="48">
        <f>B520-B521</f>
        <v>-7316487</v>
      </c>
      <c r="C522" t="s">
        <v>1531</v>
      </c>
      <c r="D522">
        <f>COUNTIF($E$476:$E$479,"&lt;0")</f>
        <v>3</v>
      </c>
    </row>
    <row r="523" spans="1:6">
      <c r="A523" s="44" t="str">
        <f>"ANSWER: Across all four projects WT collected "&amp;TEXT($B$520,"""$""#,##0")&amp;" and spent "&amp;TEXT($B$521,"""$""#,##0")&amp;", a net "&amp;IF($B$522&lt;0,"DEFICIT of ","SURPLUS of ")&amp;TEXT(ABS($B$522),"""$""#,##0")&amp;" for 2024. "&amp;$D$522&amp;" of 4 projects are individually in deficit."</f>
        <v>ANSWER: Across all four projects WT collected $4,30,06,437 and spent $5,03,22,924, a net DEFICIT of $73,16,487 for 2024. 3 of 4 projects are individually in deficit.</v>
      </c>
    </row>
    <row r="525" spans="1:6">
      <c r="A525" s="42" t="s">
        <v>1532</v>
      </c>
    </row>
    <row r="526" spans="1:6">
      <c r="A526" s="43" t="s">
        <v>68</v>
      </c>
      <c r="B526" s="43" t="s">
        <v>1520</v>
      </c>
      <c r="C526" s="43" t="s">
        <v>1521</v>
      </c>
      <c r="D526" s="43" t="s">
        <v>1533</v>
      </c>
      <c r="E526" s="43" t="s">
        <v>1534</v>
      </c>
      <c r="F526" s="43" t="s">
        <v>1535</v>
      </c>
    </row>
    <row r="527" spans="1:6">
      <c r="A527" t="s">
        <v>283</v>
      </c>
      <c r="B527" s="48">
        <f>SUMIF('P07-CashFlow'!$B$5:$B$52,$A527,'P07-CashFlow'!$C$5:$C$52)</f>
        <v>14886232</v>
      </c>
      <c r="C527" s="48">
        <f>SUMIF('P07-CashFlow'!$B$5:$B$52,$A527,'P07-CashFlow'!$D$5:$D$52)</f>
        <v>11569465</v>
      </c>
      <c r="D527" s="39">
        <f>C527/B527</f>
        <v>0.7771923076302989</v>
      </c>
      <c r="E527" s="60" cm="1">
        <f t="array" ref="E527">SUMPRODUCT(('P07-CashFlow'!$B$5:$B$52=$A527)*('P07-CashFlow'!$D$5:$D$52&lt;0.7*'P07-CashFlow'!$C$5:$C$52)*1)</f>
        <v>4</v>
      </c>
      <c r="F527" s="39" cm="1">
        <f t="array" ref="F527">MAX(IF('P07-CashFlow'!$B$5:$B$52=$A527,'P07-CashFlow'!$D$5:$D$52/'P07-CashFlow'!$C$5:$C$52))</f>
        <v>1.0566134713536051</v>
      </c>
    </row>
    <row r="528" spans="1:6">
      <c r="A528" t="s">
        <v>317</v>
      </c>
      <c r="B528" s="48">
        <f>SUMIF('P07-CashFlow'!$B$5:$B$52,$A528,'P07-CashFlow'!$C$5:$C$52)</f>
        <v>15300774</v>
      </c>
      <c r="C528" s="48">
        <f>SUMIF('P07-CashFlow'!$B$5:$B$52,$A528,'P07-CashFlow'!$D$5:$D$52)</f>
        <v>11902885</v>
      </c>
      <c r="D528" s="39">
        <f>C528/B528</f>
        <v>0.77792698591587583</v>
      </c>
      <c r="E528" s="60" cm="1">
        <f t="array" ref="E528">SUMPRODUCT(('P07-CashFlow'!$B$5:$B$52=$A528)*('P07-CashFlow'!$D$5:$D$52&lt;0.7*'P07-CashFlow'!$C$5:$C$52)*1)</f>
        <v>4</v>
      </c>
      <c r="F528" s="39" cm="1">
        <f t="array" ref="F528">MAX(IF('P07-CashFlow'!$B$5:$B$52=$A528,'P07-CashFlow'!$D$5:$D$52/'P07-CashFlow'!$C$5:$C$52))</f>
        <v>0.9849200162820374</v>
      </c>
    </row>
    <row r="529" spans="1:6">
      <c r="A529" t="s">
        <v>318</v>
      </c>
      <c r="B529" s="48">
        <f>SUMIF('P07-CashFlow'!$B$5:$B$52,$A529,'P07-CashFlow'!$C$5:$C$52)</f>
        <v>14162244</v>
      </c>
      <c r="C529" s="48">
        <f>SUMIF('P07-CashFlow'!$B$5:$B$52,$A529,'P07-CashFlow'!$D$5:$D$52)</f>
        <v>10528520</v>
      </c>
      <c r="D529" s="39">
        <f>C529/B529</f>
        <v>0.74342173457822081</v>
      </c>
      <c r="E529" s="60" cm="1">
        <f t="array" ref="E529">SUMPRODUCT(('P07-CashFlow'!$B$5:$B$52=$A529)*('P07-CashFlow'!$D$5:$D$52&lt;0.7*'P07-CashFlow'!$C$5:$C$52)*1)</f>
        <v>6</v>
      </c>
      <c r="F529" s="39" cm="1">
        <f t="array" ref="F529">MAX(IF('P07-CashFlow'!$B$5:$B$52=$A529,'P07-CashFlow'!$D$5:$D$52/'P07-CashFlow'!$C$5:$C$52))</f>
        <v>0.9786752209452938</v>
      </c>
    </row>
    <row r="530" spans="1:6">
      <c r="A530" t="s">
        <v>337</v>
      </c>
      <c r="B530" s="48">
        <f>SUMIF('P07-CashFlow'!$B$5:$B$52,$A530,'P07-CashFlow'!$C$5:$C$52)</f>
        <v>11554097</v>
      </c>
      <c r="C530" s="48">
        <f>SUMIF('P07-CashFlow'!$B$5:$B$52,$A530,'P07-CashFlow'!$D$5:$D$52)</f>
        <v>9005567</v>
      </c>
      <c r="D530" s="39">
        <f>C530/B530</f>
        <v>0.77942629354764803</v>
      </c>
      <c r="E530" s="60" cm="1">
        <f t="array" ref="E530">SUMPRODUCT(('P07-CashFlow'!$B$5:$B$52=$A530)*('P07-CashFlow'!$D$5:$D$52&lt;0.7*'P07-CashFlow'!$C$5:$C$52)*1)</f>
        <v>3</v>
      </c>
      <c r="F530" s="39" cm="1">
        <f t="array" ref="F530">MAX(IF('P07-CashFlow'!$B$5:$B$52=$A530,'P07-CashFlow'!$D$5:$D$52/'P07-CashFlow'!$C$5:$C$52))</f>
        <v>1.067289690990149</v>
      </c>
    </row>
    <row r="531" spans="1:6">
      <c r="A531" s="36" t="s">
        <v>1536</v>
      </c>
      <c r="B531" s="49">
        <f>SUM(B527:B530)</f>
        <v>55903347</v>
      </c>
      <c r="C531" s="49">
        <f>SUM(C527:C530)</f>
        <v>43006437</v>
      </c>
      <c r="D531" s="45">
        <f>C531/B531</f>
        <v>0.76929985963094483</v>
      </c>
      <c r="E531" s="61">
        <f>SUM(E527:E530)</f>
        <v>17</v>
      </c>
      <c r="F531" s="45">
        <f>MAX(F527:F530)</f>
        <v>1.067289690990149</v>
      </c>
    </row>
    <row r="532" spans="1:6">
      <c r="A532" s="44" t="str">
        <f>"ANSWER: Portfolio forecast accuracy is "&amp;TEXT($D$531,"0.0%")&amp;" — collections are running "&amp;TEXT(1-$D$531,"0.0%")&amp;" below the cash-flow forecast. Most accurate project: "&amp;INDEX($A$527:$A$530,MATCH(MAX($D$527:$D$530),$D$527:$D$530,0))&amp;" ("&amp;TEXT(MAX($D$527:$D$530),"0.0%")&amp;"); least accurate: "&amp;INDEX($A$527:$A$530,MATCH(MIN($D$527:$D$530),$D$527:$D$530,0))&amp;" ("&amp;TEXT(MIN($D$527:$D$530),"0.0%")&amp;"). Anything below ~90% means the forecast, not just the client, needs fixing."</f>
        <v>ANSWER: Portfolio forecast accuracy is 76.9% — collections are running 23.1% below the cash-flow forecast. Most accurate project: WT-ITP-BLR-04 (77.9%); least accurate: WT-HOS-AKL-03 (74.3%). Anything below ~90% means the forecast, not just the client, needs fixing.</v>
      </c>
    </row>
    <row r="534" spans="1:6">
      <c r="A534" s="41" t="s">
        <v>1537</v>
      </c>
      <c r="B534" s="41"/>
      <c r="C534" s="41"/>
      <c r="D534" s="41"/>
      <c r="E534" s="41"/>
      <c r="F534" s="41"/>
    </row>
    <row r="535" spans="1:6">
      <c r="A535" s="42" t="s">
        <v>1538</v>
      </c>
    </row>
    <row r="536" spans="1:6">
      <c r="A536" s="43" t="s">
        <v>68</v>
      </c>
      <c r="B536" s="43" t="s">
        <v>1539</v>
      </c>
      <c r="C536" s="43" t="s">
        <v>1540</v>
      </c>
      <c r="D536" s="43" t="s">
        <v>1541</v>
      </c>
      <c r="E536" s="43" t="s">
        <v>1542</v>
      </c>
      <c r="F536" s="43" t="s">
        <v>1543</v>
      </c>
    </row>
    <row r="537" spans="1:6">
      <c r="A537" t="s">
        <v>283</v>
      </c>
      <c r="B537">
        <f>COUNTIFS('P08-ChangeOrder'!$B$5:$B$49,$A537,'P08-ChangeOrder'!$G$5:$G$49,"Approved")</f>
        <v>1</v>
      </c>
      <c r="C537" s="48">
        <f>SUMIFS('P08-ChangeOrder'!$E$5:$E$49,'P08-ChangeOrder'!$B$5:$B$49,$A537,'P08-ChangeOrder'!$G$5:$G$49,"Approved")</f>
        <v>791101</v>
      </c>
      <c r="D537">
        <f>COUNTIF('P08-ChangeOrder'!$B$5:$B$49,$A537)</f>
        <v>8</v>
      </c>
      <c r="E537" s="48">
        <f>SUMIF('P08-ChangeOrder'!$B$5:$B$49,$A537,'P08-ChangeOrder'!$E$5:$E$49)</f>
        <v>2083172</v>
      </c>
      <c r="F537">
        <f>SUMIFS('P08-ChangeOrder'!$F$5:$F$49,'P08-ChangeOrder'!$B$5:$B$49,$A537,'P08-ChangeOrder'!$G$5:$G$49,"Approved")</f>
        <v>-2</v>
      </c>
    </row>
    <row r="538" spans="1:6">
      <c r="A538" t="s">
        <v>317</v>
      </c>
      <c r="B538">
        <f>COUNTIFS('P08-ChangeOrder'!$B$5:$B$49,$A538,'P08-ChangeOrder'!$G$5:$G$49,"Approved")</f>
        <v>6</v>
      </c>
      <c r="C538" s="48">
        <f>SUMIFS('P08-ChangeOrder'!$E$5:$E$49,'P08-ChangeOrder'!$B$5:$B$49,$A538,'P08-ChangeOrder'!$G$5:$G$49,"Approved")</f>
        <v>583674</v>
      </c>
      <c r="D538">
        <f>COUNTIF('P08-ChangeOrder'!$B$5:$B$49,$A538)</f>
        <v>14</v>
      </c>
      <c r="E538" s="48">
        <f>SUMIF('P08-ChangeOrder'!$B$5:$B$49,$A538,'P08-ChangeOrder'!$E$5:$E$49)</f>
        <v>4884716</v>
      </c>
      <c r="F538">
        <f>SUMIFS('P08-ChangeOrder'!$F$5:$F$49,'P08-ChangeOrder'!$B$5:$B$49,$A538,'P08-ChangeOrder'!$G$5:$G$49,"Approved")</f>
        <v>44</v>
      </c>
    </row>
    <row r="539" spans="1:6">
      <c r="A539" t="s">
        <v>318</v>
      </c>
      <c r="B539">
        <f>COUNTIFS('P08-ChangeOrder'!$B$5:$B$49,$A539,'P08-ChangeOrder'!$G$5:$G$49,"Approved")</f>
        <v>4</v>
      </c>
      <c r="C539" s="48">
        <f>SUMIFS('P08-ChangeOrder'!$E$5:$E$49,'P08-ChangeOrder'!$B$5:$B$49,$A539,'P08-ChangeOrder'!$G$5:$G$49,"Approved")</f>
        <v>1919398</v>
      </c>
      <c r="D539">
        <f>COUNTIF('P08-ChangeOrder'!$B$5:$B$49,$A539)</f>
        <v>12</v>
      </c>
      <c r="E539" s="48">
        <f>SUMIF('P08-ChangeOrder'!$B$5:$B$49,$A539,'P08-ChangeOrder'!$E$5:$E$49)</f>
        <v>3608761</v>
      </c>
      <c r="F539">
        <f>SUMIFS('P08-ChangeOrder'!$F$5:$F$49,'P08-ChangeOrder'!$B$5:$B$49,$A539,'P08-ChangeOrder'!$G$5:$G$49,"Approved")</f>
        <v>48</v>
      </c>
    </row>
    <row r="540" spans="1:6">
      <c r="A540" t="s">
        <v>446</v>
      </c>
      <c r="B540">
        <f>COUNTIFS('P08-ChangeOrder'!$B$5:$B$49,$A540,'P08-ChangeOrder'!$G$5:$G$49,"Approved")</f>
        <v>2</v>
      </c>
      <c r="C540" s="48">
        <f>SUMIFS('P08-ChangeOrder'!$E$5:$E$49,'P08-ChangeOrder'!$B$5:$B$49,$A540,'P08-ChangeOrder'!$G$5:$G$49,"Approved")</f>
        <v>892260</v>
      </c>
      <c r="D540">
        <f>COUNTIF('P08-ChangeOrder'!$B$5:$B$49,$A540)</f>
        <v>11</v>
      </c>
      <c r="E540" s="48">
        <f>SUMIF('P08-ChangeOrder'!$B$5:$B$49,$A540,'P08-ChangeOrder'!$E$5:$E$49)</f>
        <v>3770085</v>
      </c>
      <c r="F540">
        <f>SUMIFS('P08-ChangeOrder'!$F$5:$F$49,'P08-ChangeOrder'!$B$5:$B$49,$A540,'P08-ChangeOrder'!$G$5:$G$49,"Approved")</f>
        <v>44</v>
      </c>
    </row>
    <row r="541" spans="1:6">
      <c r="A541" s="36" t="s">
        <v>1307</v>
      </c>
      <c r="B541" s="36">
        <f>SUM(B537:B540)</f>
        <v>13</v>
      </c>
      <c r="C541" s="49">
        <f>SUM(C537:C540)</f>
        <v>4186433</v>
      </c>
      <c r="D541" s="36">
        <f>SUM(D537:D540)</f>
        <v>45</v>
      </c>
      <c r="E541" s="49">
        <f>SUM(E537:E540)</f>
        <v>14346734</v>
      </c>
      <c r="F541" s="36">
        <f>SUM(F537:F540)</f>
        <v>134</v>
      </c>
    </row>
    <row r="542" spans="1:6">
      <c r="A542" s="44" t="str">
        <f>"ANSWER: Approved change orders add "&amp;TEXT($C$541,"""$""#,##0")&amp;" across the four projects ("&amp;$B$541&amp;" of "&amp;$D$541&amp;" VOs approved). The largest approved exposure is "&amp;INDEX($A$537:$A$540,MATCH(MAX($C$537:$C$540),$C$537:$C$540,0))&amp;" at "&amp;TEXT(MAX($C$537:$C$540),"""$""#,##0")&amp;"; the smallest is "&amp;INDEX($A$537:$A$540,MATCH(MIN($C$537:$C$540),$C$537:$C$540,0))&amp;" at "&amp;TEXT(MIN($C$537:$C$540),"""$""#,##0")&amp;"."</f>
        <v>ANSWER: Approved change orders add $41,86,433 across the four projects (13 of 45 VOs approved). The largest approved exposure is WT-HOS-AKL-03 at $19,19,398; the smallest is WT-OFF-SYD-02 at $5,83,674.</v>
      </c>
    </row>
    <row r="544" spans="1:6">
      <c r="A544" s="42" t="s">
        <v>1544</v>
      </c>
    </row>
    <row r="545" spans="1:6">
      <c r="A545" s="43" t="s">
        <v>1545</v>
      </c>
      <c r="B545" s="43" t="s">
        <v>1546</v>
      </c>
      <c r="C545" s="43" t="s">
        <v>1547</v>
      </c>
      <c r="D545" s="43" t="s">
        <v>1548</v>
      </c>
      <c r="E545" s="43" t="s">
        <v>1540</v>
      </c>
      <c r="F545" s="43" t="s">
        <v>1549</v>
      </c>
    </row>
    <row r="546" spans="1:6">
      <c r="A546" t="s">
        <v>512</v>
      </c>
      <c r="B546">
        <f>COUNTIF('P08-ChangeOrder'!$D$5:$D$49,$A546)</f>
        <v>11</v>
      </c>
      <c r="C546" s="39">
        <f>B546/$B$550</f>
        <v>0.24444444444444444</v>
      </c>
      <c r="D546" s="48">
        <f>SUMIF('P08-ChangeOrder'!$D$5:$D$49,$A546,'P08-ChangeOrder'!$E$5:$E$49)</f>
        <v>5297017</v>
      </c>
      <c r="E546" s="48">
        <f>SUMIFS('P08-ChangeOrder'!$E$5:$E$49,'P08-ChangeOrder'!$D$5:$D$49,$A546,'P08-ChangeOrder'!$G$5:$G$49,"Approved")</f>
        <v>1842542</v>
      </c>
      <c r="F546" s="48">
        <f>IFERROR(D546/B546,0)</f>
        <v>481547</v>
      </c>
    </row>
    <row r="547" spans="1:6">
      <c r="A547" t="s">
        <v>479</v>
      </c>
      <c r="B547">
        <f>COUNTIF('P08-ChangeOrder'!$D$5:$D$49,$A547)</f>
        <v>16</v>
      </c>
      <c r="C547" s="39">
        <f>B547/$B$550</f>
        <v>0.35555555555555557</v>
      </c>
      <c r="D547" s="48">
        <f>SUMIF('P08-ChangeOrder'!$D$5:$D$49,$A547,'P08-ChangeOrder'!$E$5:$E$49)</f>
        <v>4771005</v>
      </c>
      <c r="E547" s="48">
        <f>SUMIFS('P08-ChangeOrder'!$E$5:$E$49,'P08-ChangeOrder'!$D$5:$D$49,$A547,'P08-ChangeOrder'!$G$5:$G$49,"Approved")</f>
        <v>1046274</v>
      </c>
      <c r="F547" s="48">
        <f>IFERROR(D547/B547,0)</f>
        <v>298187.8125</v>
      </c>
    </row>
    <row r="548" spans="1:6">
      <c r="A548" t="s">
        <v>406</v>
      </c>
      <c r="B548">
        <f>COUNTIF('P08-ChangeOrder'!$D$5:$D$49,$A548)</f>
        <v>4</v>
      </c>
      <c r="C548" s="39">
        <f>B548/$B$550</f>
        <v>8.8888888888888892E-2</v>
      </c>
      <c r="D548" s="48">
        <f>SUMIF('P08-ChangeOrder'!$D$5:$D$49,$A548,'P08-ChangeOrder'!$E$5:$E$49)</f>
        <v>1151753</v>
      </c>
      <c r="E548" s="48">
        <f>SUMIFS('P08-ChangeOrder'!$E$5:$E$49,'P08-ChangeOrder'!$D$5:$D$49,$A548,'P08-ChangeOrder'!$G$5:$G$49,"Approved")</f>
        <v>195489</v>
      </c>
      <c r="F548" s="48">
        <f>IFERROR(D548/B548,0)</f>
        <v>287938.25</v>
      </c>
    </row>
    <row r="549" spans="1:6">
      <c r="A549" t="s">
        <v>659</v>
      </c>
      <c r="B549">
        <f>COUNTIF('P08-ChangeOrder'!$D$5:$D$49,$A549)</f>
        <v>14</v>
      </c>
      <c r="C549" s="39">
        <f>B549/$B$550</f>
        <v>0.31111111111111112</v>
      </c>
      <c r="D549" s="48">
        <f>SUMIF('P08-ChangeOrder'!$D$5:$D$49,$A549,'P08-ChangeOrder'!$E$5:$E$49)</f>
        <v>3126959</v>
      </c>
      <c r="E549" s="48">
        <f>SUMIFS('P08-ChangeOrder'!$E$5:$E$49,'P08-ChangeOrder'!$D$5:$D$49,$A549,'P08-ChangeOrder'!$G$5:$G$49,"Approved")</f>
        <v>1102128</v>
      </c>
      <c r="F549" s="48">
        <f>IFERROR(D549/B549,0)</f>
        <v>223354.21428571429</v>
      </c>
    </row>
    <row r="550" spans="1:6">
      <c r="A550" s="36" t="s">
        <v>1307</v>
      </c>
      <c r="B550" s="36">
        <f>SUM(B546:B549)</f>
        <v>45</v>
      </c>
      <c r="C550" s="45">
        <f>SUM(C546:C549)</f>
        <v>1</v>
      </c>
      <c r="D550" s="49">
        <f>SUM(D546:D549)</f>
        <v>14346734</v>
      </c>
      <c r="E550" s="49">
        <f>SUM(E546:E549)</f>
        <v>4186433</v>
      </c>
      <c r="F550" s="49">
        <f>D550/B550</f>
        <v>318816.31111111114</v>
      </c>
    </row>
    <row r="551" spans="1:6">
      <c r="A551" s="44" t="str">
        <f>"ANSWER: "&amp;INDEX($A$546:$A$549,MATCH(MAX($B$546:$B$549),$B$546:$B$549,0))&amp;" initiates the most change orders — "&amp;MAX($B$546:$B$549)&amp;" of "&amp;$B$550&amp;" ("&amp;TEXT(MAX($B$546:$B$549)/$B$550,"0.0%")&amp;"). By value the biggest driver is "&amp;INDEX($A$546:$A$549,MATCH(MAX($D$546:$D$549),$D$546:$D$549,0))&amp;" at "&amp;TEXT(MAX($D$546:$D$549),"""$""#,##0")&amp;" of cost impact."</f>
        <v>ANSWER: Consultant initiates the most change orders — 16 of 45 (35.6%). By value the biggest driver is Client at $52,97,017 of cost impact.</v>
      </c>
    </row>
    <row r="553" spans="1:6">
      <c r="A553" s="42" t="s">
        <v>1550</v>
      </c>
    </row>
    <row r="554" spans="1:6">
      <c r="A554" s="43" t="s">
        <v>655</v>
      </c>
      <c r="B554" s="43" t="s">
        <v>1551</v>
      </c>
      <c r="C554" s="43" t="s">
        <v>1552</v>
      </c>
      <c r="D554" s="43" t="s">
        <v>1553</v>
      </c>
      <c r="E554" s="43" t="s">
        <v>1554</v>
      </c>
      <c r="F554" s="43" t="s">
        <v>1555</v>
      </c>
    </row>
    <row r="555" spans="1:6">
      <c r="A555" t="s">
        <v>688</v>
      </c>
      <c r="B555">
        <f>COUNTIF('P08-ChangeOrder'!$G$5:$G$49,$A555)</f>
        <v>13</v>
      </c>
      <c r="C555" s="39">
        <f>B555/$B$559</f>
        <v>0.28888888888888886</v>
      </c>
      <c r="D555" s="48">
        <f>SUMIF('P08-ChangeOrder'!$G$5:$G$49,$A555,'P08-ChangeOrder'!$E$5:$E$49)</f>
        <v>4186433</v>
      </c>
      <c r="E555" s="39">
        <f>D555/$D$559</f>
        <v>0.29180390463780814</v>
      </c>
      <c r="F555" s="22">
        <f>IFERROR(AVERAGEIF('P08-ChangeOrder'!$G$5:$G$49,$A555,'P08-ChangeOrder'!$F$5:$F$49),0)</f>
        <v>10.307692307692308</v>
      </c>
    </row>
    <row r="556" spans="1:6">
      <c r="A556" t="s">
        <v>660</v>
      </c>
      <c r="B556">
        <f>COUNTIF('P08-ChangeOrder'!$G$5:$G$49,$A556)</f>
        <v>7</v>
      </c>
      <c r="C556" s="39">
        <f>B556/$B$559</f>
        <v>0.15555555555555556</v>
      </c>
      <c r="D556" s="48">
        <f>SUMIF('P08-ChangeOrder'!$G$5:$G$49,$A556,'P08-ChangeOrder'!$E$5:$E$49)</f>
        <v>1322846</v>
      </c>
      <c r="E556" s="39">
        <f>D556/$D$559</f>
        <v>9.2205375801907255E-2</v>
      </c>
      <c r="F556" s="22">
        <f>IFERROR(AVERAGEIF('P08-ChangeOrder'!$G$5:$G$49,$A556,'P08-ChangeOrder'!$F$5:$F$49),0)</f>
        <v>11.857142857142858</v>
      </c>
    </row>
    <row r="557" spans="1:6">
      <c r="A557" t="s">
        <v>675</v>
      </c>
      <c r="B557">
        <f>COUNTIF('P08-ChangeOrder'!$G$5:$G$49,$A557)</f>
        <v>8</v>
      </c>
      <c r="C557" s="39">
        <f>B557/$B$559</f>
        <v>0.17777777777777778</v>
      </c>
      <c r="D557" s="48">
        <f>SUMIF('P08-ChangeOrder'!$G$5:$G$49,$A557,'P08-ChangeOrder'!$E$5:$E$49)</f>
        <v>1974306</v>
      </c>
      <c r="E557" s="39">
        <f>D557/$D$559</f>
        <v>0.13761361993607743</v>
      </c>
      <c r="F557" s="22">
        <f>IFERROR(AVERAGEIF('P08-ChangeOrder'!$G$5:$G$49,$A557,'P08-ChangeOrder'!$F$5:$F$49),0)</f>
        <v>12.625</v>
      </c>
    </row>
    <row r="558" spans="1:6">
      <c r="A558" t="s">
        <v>668</v>
      </c>
      <c r="B558">
        <f>COUNTIF('P08-ChangeOrder'!$G$5:$G$49,$A558)</f>
        <v>17</v>
      </c>
      <c r="C558" s="39">
        <f>B558/$B$559</f>
        <v>0.37777777777777777</v>
      </c>
      <c r="D558" s="48">
        <f>SUMIF('P08-ChangeOrder'!$G$5:$G$49,$A558,'P08-ChangeOrder'!$E$5:$E$49)</f>
        <v>6863149</v>
      </c>
      <c r="E558" s="39">
        <f>D558/$D$559</f>
        <v>0.47837709962420716</v>
      </c>
      <c r="F558" s="22">
        <f>IFERROR(AVERAGEIF('P08-ChangeOrder'!$G$5:$G$49,$A558,'P08-ChangeOrder'!$F$5:$F$49),0)</f>
        <v>15.823529411764707</v>
      </c>
    </row>
    <row r="559" spans="1:6">
      <c r="A559" s="36" t="s">
        <v>1307</v>
      </c>
      <c r="B559" s="36">
        <f>SUM(B555:B558)</f>
        <v>45</v>
      </c>
      <c r="C559" s="45">
        <f>SUM(C555:C558)</f>
        <v>1</v>
      </c>
      <c r="D559" s="49">
        <f>SUM(D555:D558)</f>
        <v>14346734</v>
      </c>
      <c r="E559" s="45">
        <f>SUM(E555:E558)</f>
        <v>1</v>
      </c>
      <c r="F559" s="62">
        <f>AVERAGE('P08-ChangeOrder'!$F$5:$F$49)</f>
        <v>13.044444444444444</v>
      </c>
    </row>
    <row r="560" spans="1:6">
      <c r="A560" s="36" t="s">
        <v>1556</v>
      </c>
      <c r="B560" s="36">
        <f>B556+B557</f>
        <v>15</v>
      </c>
      <c r="C560" s="45">
        <f>B560/$B$559</f>
        <v>0.33333333333333331</v>
      </c>
      <c r="D560" s="49">
        <f>D556+D557</f>
        <v>3297152</v>
      </c>
      <c r="E560" s="45">
        <f>D560/$D$559</f>
        <v>0.2298189957379847</v>
      </c>
      <c r="F560" s="36"/>
    </row>
    <row r="561" spans="1:6">
      <c r="A561" s="44" t="str">
        <f>"ANSWER: "&amp;$B$560&amp;" of "&amp;$B$559&amp;" change orders ("&amp;TEXT($C$560,"0.0%")&amp;") are still Pending or Under Review, carrying "&amp;TEXT($D$560,"""$""#,##0")&amp;" of unquantified cost exposure ("&amp;TEXT($E$560,"0.0%")&amp;" of all VO value). That is the number to put in the risk register until these are determined."</f>
        <v>ANSWER: 15 of 45 change orders (33.3%) are still Pending or Under Review, carrying $32,97,152 of unquantified cost exposure (23.0% of all VO value). That is the number to put in the risk register until these are determined.</v>
      </c>
    </row>
    <row r="563" spans="1:6">
      <c r="A563" s="42" t="s">
        <v>755</v>
      </c>
    </row>
    <row r="564" spans="1:6">
      <c r="A564" t="s">
        <v>1557</v>
      </c>
      <c r="B564" s="40">
        <f>CORREL('P08-ChangeOrder'!$E$5:$E$49,'P08-ChangeOrder'!$F$5:$F$49)</f>
        <v>0.12416804852982183</v>
      </c>
      <c r="C564" t="s">
        <v>1558</v>
      </c>
      <c r="D564" s="48">
        <f>AVERAGE('P08-ChangeOrder'!$E$5:$E$49)</f>
        <v>318816.31111111114</v>
      </c>
      <c r="E564" t="s">
        <v>1559</v>
      </c>
      <c r="F564" s="22">
        <f>AVERAGE('P08-ChangeOrder'!$F$5:$F$49)</f>
        <v>13.044444444444444</v>
      </c>
    </row>
    <row r="565" spans="1:6">
      <c r="A565" s="44" t="str">
        <f>"ANSWER: r = "&amp;TEXT($B$564,"0.000")&amp;" — "&amp;IF(ABS($B$564)&lt;0.2,"there is effectively no linear relationship between the money and the time a VO costs; expensive variations are not necessarily the ones that delay the programme",IF(ABS($B$564)&lt;0.5,"a weak "&amp;IF($B$564&gt;0,"positive","negative")&amp;" relationship","a strong "&amp;IF($B$564&gt;0,"positive","negative")&amp;" relationship"))&amp;". Average VO: "&amp;TEXT($D$564,"""$""#,##0")&amp;" and "&amp;TEXT($F$564,"0.0")&amp;" days."</f>
        <v>ANSWER: r = 0.124 — there is effectively no linear relationship between the money and the time a VO costs; expensive variations are not necessarily the ones that delay the programme. Average VO: $3,18,816 and 13.0 days.</v>
      </c>
    </row>
    <row r="567" spans="1:6">
      <c r="A567" s="42" t="s">
        <v>756</v>
      </c>
    </row>
    <row r="568" spans="1:6">
      <c r="A568" s="43" t="s">
        <v>68</v>
      </c>
      <c r="B568" s="43" t="s">
        <v>1546</v>
      </c>
      <c r="C568" s="43" t="s">
        <v>1560</v>
      </c>
      <c r="D568" s="43" t="s">
        <v>1561</v>
      </c>
      <c r="E568" s="43" t="s">
        <v>1562</v>
      </c>
      <c r="F568" s="43" t="s">
        <v>1563</v>
      </c>
    </row>
    <row r="569" spans="1:6">
      <c r="A569" t="s">
        <v>283</v>
      </c>
      <c r="B569">
        <f>COUNTIF('P08-ChangeOrder'!$B$5:$B$49,$A569)</f>
        <v>8</v>
      </c>
      <c r="C569" t="str" cm="1">
        <f t="array" ref="C569">TEXT(_xlfn.AGGREGATE(15,6,DATEVALUE('P08-ChangeOrder'!$H$5:$H$49)/(('P08-ChangeOrder'!$B$5:$B$49=$A569)*1),1),"yyyy-mm")</f>
        <v>2024-04</v>
      </c>
      <c r="D569" t="str" cm="1">
        <f t="array" ref="D569">TEXT(_xlfn.AGGREGATE(14,6,DATEVALUE('P08-ChangeOrder'!$H$5:$H$49)/(('P08-ChangeOrder'!$B$5:$B$49=$A569)*1),1),"yyyy-mm")</f>
        <v>2025-01</v>
      </c>
      <c r="E569" cm="1">
        <f t="array" ref="E569">(YEAR(_xlfn.AGGREGATE(14,6,DATEVALUE('P08-ChangeOrder'!$H$5:$H$49)/(('P08-ChangeOrder'!$B$5:$B$49=$A569)*1),1))-YEAR(_xlfn.AGGREGATE(15,6,DATEVALUE('P08-ChangeOrder'!$H$5:$H$49)/(('P08-ChangeOrder'!$B$5:$B$49=$A569)*1),1)))*12+MONTH(_xlfn.AGGREGATE(14,6,DATEVALUE('P08-ChangeOrder'!$H$5:$H$49)/(('P08-ChangeOrder'!$B$5:$B$49=$A569)*1),1))-MONTH(_xlfn.AGGREGATE(15,6,DATEVALUE('P08-ChangeOrder'!$H$5:$H$49)/(('P08-ChangeOrder'!$B$5:$B$49=$A569)*1),1))+1</f>
        <v>10</v>
      </c>
      <c r="F569" s="22">
        <f>B569/E569</f>
        <v>0.8</v>
      </c>
    </row>
    <row r="570" spans="1:6">
      <c r="A570" t="s">
        <v>317</v>
      </c>
      <c r="B570">
        <f>COUNTIF('P08-ChangeOrder'!$B$5:$B$49,$A570)</f>
        <v>14</v>
      </c>
      <c r="C570" t="str" cm="1">
        <f t="array" ref="C570">TEXT(_xlfn.AGGREGATE(15,6,DATEVALUE('P08-ChangeOrder'!$H$5:$H$49)/(('P08-ChangeOrder'!$B$5:$B$49=$A570)*1),1),"yyyy-mm")</f>
        <v>2024-01</v>
      </c>
      <c r="D570" t="str" cm="1">
        <f t="array" ref="D570">TEXT(_xlfn.AGGREGATE(14,6,DATEVALUE('P08-ChangeOrder'!$H$5:$H$49)/(('P08-ChangeOrder'!$B$5:$B$49=$A570)*1),1),"yyyy-mm")</f>
        <v>2024-12</v>
      </c>
      <c r="E570" cm="1">
        <f t="array" ref="E570">(YEAR(_xlfn.AGGREGATE(14,6,DATEVALUE('P08-ChangeOrder'!$H$5:$H$49)/(('P08-ChangeOrder'!$B$5:$B$49=$A570)*1),1))-YEAR(_xlfn.AGGREGATE(15,6,DATEVALUE('P08-ChangeOrder'!$H$5:$H$49)/(('P08-ChangeOrder'!$B$5:$B$49=$A570)*1),1)))*12+MONTH(_xlfn.AGGREGATE(14,6,DATEVALUE('P08-ChangeOrder'!$H$5:$H$49)/(('P08-ChangeOrder'!$B$5:$B$49=$A570)*1),1))-MONTH(_xlfn.AGGREGATE(15,6,DATEVALUE('P08-ChangeOrder'!$H$5:$H$49)/(('P08-ChangeOrder'!$B$5:$B$49=$A570)*1),1))+1</f>
        <v>12</v>
      </c>
      <c r="F570" s="22">
        <f>B570/E570</f>
        <v>1.1666666666666667</v>
      </c>
    </row>
    <row r="571" spans="1:6">
      <c r="A571" t="s">
        <v>318</v>
      </c>
      <c r="B571">
        <f>COUNTIF('P08-ChangeOrder'!$B$5:$B$49,$A571)</f>
        <v>12</v>
      </c>
      <c r="C571" t="str" cm="1">
        <f t="array" ref="C571">TEXT(_xlfn.AGGREGATE(15,6,DATEVALUE('P08-ChangeOrder'!$H$5:$H$49)/(('P08-ChangeOrder'!$B$5:$B$49=$A571)*1),1),"yyyy-mm")</f>
        <v>2024-01</v>
      </c>
      <c r="D571" t="str" cm="1">
        <f t="array" ref="D571">TEXT(_xlfn.AGGREGATE(14,6,DATEVALUE('P08-ChangeOrder'!$H$5:$H$49)/(('P08-ChangeOrder'!$B$5:$B$49=$A571)*1),1),"yyyy-mm")</f>
        <v>2024-10</v>
      </c>
      <c r="E571" cm="1">
        <f t="array" ref="E571">(YEAR(_xlfn.AGGREGATE(14,6,DATEVALUE('P08-ChangeOrder'!$H$5:$H$49)/(('P08-ChangeOrder'!$B$5:$B$49=$A571)*1),1))-YEAR(_xlfn.AGGREGATE(15,6,DATEVALUE('P08-ChangeOrder'!$H$5:$H$49)/(('P08-ChangeOrder'!$B$5:$B$49=$A571)*1),1)))*12+MONTH(_xlfn.AGGREGATE(14,6,DATEVALUE('P08-ChangeOrder'!$H$5:$H$49)/(('P08-ChangeOrder'!$B$5:$B$49=$A571)*1),1))-MONTH(_xlfn.AGGREGATE(15,6,DATEVALUE('P08-ChangeOrder'!$H$5:$H$49)/(('P08-ChangeOrder'!$B$5:$B$49=$A571)*1),1))+1</f>
        <v>10</v>
      </c>
      <c r="F571" s="22">
        <f>B571/E571</f>
        <v>1.2</v>
      </c>
    </row>
    <row r="572" spans="1:6">
      <c r="A572" t="s">
        <v>446</v>
      </c>
      <c r="B572">
        <f>COUNTIF('P08-ChangeOrder'!$B$5:$B$49,$A572)</f>
        <v>11</v>
      </c>
      <c r="C572" t="str" cm="1">
        <f t="array" ref="C572">TEXT(_xlfn.AGGREGATE(15,6,DATEVALUE('P08-ChangeOrder'!$H$5:$H$49)/(('P08-ChangeOrder'!$B$5:$B$49=$A572)*1),1),"yyyy-mm")</f>
        <v>2024-01</v>
      </c>
      <c r="D572" t="str" cm="1">
        <f t="array" ref="D572">TEXT(_xlfn.AGGREGATE(14,6,DATEVALUE('P08-ChangeOrder'!$H$5:$H$49)/(('P08-ChangeOrder'!$B$5:$B$49=$A572)*1),1),"yyyy-mm")</f>
        <v>2025-01</v>
      </c>
      <c r="E572" cm="1">
        <f t="array" ref="E572">(YEAR(_xlfn.AGGREGATE(14,6,DATEVALUE('P08-ChangeOrder'!$H$5:$H$49)/(('P08-ChangeOrder'!$B$5:$B$49=$A572)*1),1))-YEAR(_xlfn.AGGREGATE(15,6,DATEVALUE('P08-ChangeOrder'!$H$5:$H$49)/(('P08-ChangeOrder'!$B$5:$B$49=$A572)*1),1)))*12+MONTH(_xlfn.AGGREGATE(14,6,DATEVALUE('P08-ChangeOrder'!$H$5:$H$49)/(('P08-ChangeOrder'!$B$5:$B$49=$A572)*1),1))-MONTH(_xlfn.AGGREGATE(15,6,DATEVALUE('P08-ChangeOrder'!$H$5:$H$49)/(('P08-ChangeOrder'!$B$5:$B$49=$A572)*1),1))+1</f>
        <v>13</v>
      </c>
      <c r="F572" s="22">
        <f>B572/E572</f>
        <v>0.84615384615384615</v>
      </c>
    </row>
    <row r="573" spans="1:6">
      <c r="A573" s="44" t="str">
        <f>"ANSWER: "&amp;INDEX($A$569:$A$572,MATCH(MAX($F$569:$F$572),$F$569:$F$572,0))&amp;" has the highest change-order frequency at "&amp;TEXT(MAX($F$569:$F$572),"0.00")&amp;" VOs per active month ("&amp;INDEX($B$569:$B$572,MATCH(MAX($F$569:$F$572),$F$569:$F$572,0))&amp;" VOs over "&amp;INDEX($E$569:$E$572,MATCH(MAX($F$569:$F$572),$F$569:$F$572,0))&amp;" months). Lowest churn: "&amp;INDEX($A$569:$A$572,MATCH(MIN($F$569:$F$572),$F$569:$F$572,0))&amp;" at "&amp;TEXT(MIN($F$569:$F$572),"0.00")&amp;" per month."</f>
        <v>ANSWER: WT-HOS-AKL-03 has the highest change-order frequency at 1.20 VOs per active month (12 VOs over 10 months). Lowest churn: WT-DC-MUM-01 at 0.80 per month.</v>
      </c>
    </row>
    <row r="575" spans="1:6">
      <c r="A575" s="42" t="s">
        <v>1564</v>
      </c>
    </row>
    <row r="576" spans="1:6">
      <c r="A576" s="43" t="s">
        <v>68</v>
      </c>
      <c r="B576" s="43" t="s">
        <v>1565</v>
      </c>
      <c r="C576" s="43" t="s">
        <v>1566</v>
      </c>
      <c r="D576" s="43" t="s">
        <v>1567</v>
      </c>
      <c r="E576" s="43" t="s">
        <v>1568</v>
      </c>
      <c r="F576" s="43" t="s">
        <v>1569</v>
      </c>
    </row>
    <row r="577" spans="1:9">
      <c r="A577" t="s">
        <v>283</v>
      </c>
      <c r="B577" s="48">
        <f>SUMIFS('P08-ChangeOrder'!$E$5:$E$49,'P08-ChangeOrder'!$B$5:$B$49,$A577,'P08-ChangeOrder'!$G$5:$G$49,"Approved")</f>
        <v>791101</v>
      </c>
      <c r="C577" s="48">
        <f>SUMIFS('P08-ChangeOrder'!$E$5:$E$49,'P08-ChangeOrder'!$B$5:$B$49,$A577,'P08-ChangeOrder'!$G$5:$G$49,"Pending")</f>
        <v>758642</v>
      </c>
      <c r="D577" s="48">
        <f>SUMIFS('P08-ChangeOrder'!$E$5:$E$49,'P08-ChangeOrder'!$B$5:$B$49,$A577,'P08-ChangeOrder'!$G$5:$G$49,"Under Review")</f>
        <v>675467</v>
      </c>
      <c r="E577" s="48">
        <f>SUMIFS('P08-ChangeOrder'!$E$5:$E$49,'P08-ChangeOrder'!$B$5:$B$49,$A577,'P08-ChangeOrder'!$G$5:$G$49,"Rejected")</f>
        <v>-142038</v>
      </c>
      <c r="F577" s="48">
        <f>SUM(B577:E577)</f>
        <v>2083172</v>
      </c>
    </row>
    <row r="578" spans="1:9">
      <c r="A578" t="s">
        <v>317</v>
      </c>
      <c r="B578" s="48">
        <f>SUMIFS('P08-ChangeOrder'!$E$5:$E$49,'P08-ChangeOrder'!$B$5:$B$49,$A578,'P08-ChangeOrder'!$G$5:$G$49,"Approved")</f>
        <v>583674</v>
      </c>
      <c r="C578" s="48">
        <f>SUMIFS('P08-ChangeOrder'!$E$5:$E$49,'P08-ChangeOrder'!$B$5:$B$49,$A578,'P08-ChangeOrder'!$G$5:$G$49,"Pending")</f>
        <v>0</v>
      </c>
      <c r="D578" s="48">
        <f>SUMIFS('P08-ChangeOrder'!$E$5:$E$49,'P08-ChangeOrder'!$B$5:$B$49,$A578,'P08-ChangeOrder'!$G$5:$G$49,"Under Review")</f>
        <v>577493</v>
      </c>
      <c r="E578" s="48">
        <f>SUMIFS('P08-ChangeOrder'!$E$5:$E$49,'P08-ChangeOrder'!$B$5:$B$49,$A578,'P08-ChangeOrder'!$G$5:$G$49,"Rejected")</f>
        <v>3723549</v>
      </c>
      <c r="F578" s="48">
        <f>SUM(B578:E578)</f>
        <v>4884716</v>
      </c>
    </row>
    <row r="579" spans="1:9">
      <c r="A579" t="s">
        <v>318</v>
      </c>
      <c r="B579" s="48">
        <f>SUMIFS('P08-ChangeOrder'!$E$5:$E$49,'P08-ChangeOrder'!$B$5:$B$49,$A579,'P08-ChangeOrder'!$G$5:$G$49,"Approved")</f>
        <v>1919398</v>
      </c>
      <c r="C579" s="48">
        <f>SUMIFS('P08-ChangeOrder'!$E$5:$E$49,'P08-ChangeOrder'!$B$5:$B$49,$A579,'P08-ChangeOrder'!$G$5:$G$49,"Pending")</f>
        <v>449749</v>
      </c>
      <c r="D579" s="48">
        <f>SUMIFS('P08-ChangeOrder'!$E$5:$E$49,'P08-ChangeOrder'!$B$5:$B$49,$A579,'P08-ChangeOrder'!$G$5:$G$49,"Under Review")</f>
        <v>158155</v>
      </c>
      <c r="E579" s="48">
        <f>SUMIFS('P08-ChangeOrder'!$E$5:$E$49,'P08-ChangeOrder'!$B$5:$B$49,$A579,'P08-ChangeOrder'!$G$5:$G$49,"Rejected")</f>
        <v>1081459</v>
      </c>
      <c r="F579" s="48">
        <f>SUM(B579:E579)</f>
        <v>3608761</v>
      </c>
    </row>
    <row r="580" spans="1:9">
      <c r="A580" t="s">
        <v>446</v>
      </c>
      <c r="B580" s="48">
        <f>SUMIFS('P08-ChangeOrder'!$E$5:$E$49,'P08-ChangeOrder'!$B$5:$B$49,$A580,'P08-ChangeOrder'!$G$5:$G$49,"Approved")</f>
        <v>892260</v>
      </c>
      <c r="C580" s="48">
        <f>SUMIFS('P08-ChangeOrder'!$E$5:$E$49,'P08-ChangeOrder'!$B$5:$B$49,$A580,'P08-ChangeOrder'!$G$5:$G$49,"Pending")</f>
        <v>114455</v>
      </c>
      <c r="D580" s="48">
        <f>SUMIFS('P08-ChangeOrder'!$E$5:$E$49,'P08-ChangeOrder'!$B$5:$B$49,$A580,'P08-ChangeOrder'!$G$5:$G$49,"Under Review")</f>
        <v>563191</v>
      </c>
      <c r="E580" s="48">
        <f>SUMIFS('P08-ChangeOrder'!$E$5:$E$49,'P08-ChangeOrder'!$B$5:$B$49,$A580,'P08-ChangeOrder'!$G$5:$G$49,"Rejected")</f>
        <v>2200179</v>
      </c>
      <c r="F580" s="48">
        <f>SUM(B580:E580)</f>
        <v>3770085</v>
      </c>
    </row>
    <row r="581" spans="1:9">
      <c r="A581" s="36" t="s">
        <v>1307</v>
      </c>
      <c r="B581" s="49">
        <f>SUM(B577:B580)</f>
        <v>4186433</v>
      </c>
      <c r="C581" s="49">
        <f>SUM(C577:C580)</f>
        <v>1322846</v>
      </c>
      <c r="D581" s="49">
        <f>SUM(D577:D580)</f>
        <v>1974306</v>
      </c>
      <c r="E581" s="49">
        <f>SUM(E577:E580)</f>
        <v>6863149</v>
      </c>
      <c r="F581" s="49">
        <f>SUM(F577:F580)</f>
        <v>14346734</v>
      </c>
    </row>
    <row r="582" spans="1:9">
      <c r="A582" s="44" t="str">
        <f>"ANSWER: The stacked bar to the right splits VO value by status for each project. Portfolio-wide: "&amp;TEXT($B$581,"""$""#,##0")&amp;" approved, "&amp;TEXT($C$581,"""$""#,##0")&amp;" pending, "&amp;TEXT($D$581,"""$""#,##0")&amp;" under review and "&amp;TEXT($E$581,"""$""#,##0")&amp;" rejected, on a total VO book of "&amp;TEXT($F$581,"""$""#,##0")&amp;"."</f>
        <v>ANSWER: The stacked bar to the right splits VO value by status for each project. Portfolio-wide: $41,86,433 approved, $13,22,846 pending, $19,74,306 under review and $68,63,149 rejected, on a total VO book of $1,43,46,734.</v>
      </c>
    </row>
    <row r="584" spans="1:9">
      <c r="A584" s="41" t="s">
        <v>1570</v>
      </c>
      <c r="B584" s="41"/>
      <c r="C584" s="41"/>
      <c r="D584" s="41"/>
      <c r="E584" s="41"/>
      <c r="F584" s="41"/>
    </row>
    <row r="585" spans="1:9">
      <c r="A585" s="42" t="s">
        <v>1571</v>
      </c>
    </row>
    <row r="586" spans="1:9">
      <c r="A586" s="43" t="s">
        <v>1309</v>
      </c>
      <c r="B586" s="43" t="s">
        <v>488</v>
      </c>
      <c r="C586" s="43" t="s">
        <v>1444</v>
      </c>
      <c r="D586" s="43" t="s">
        <v>1572</v>
      </c>
      <c r="E586" s="43" t="s">
        <v>1573</v>
      </c>
      <c r="F586" s="43" t="s">
        <v>1574</v>
      </c>
      <c r="H586" s="64" t="s">
        <v>1596</v>
      </c>
      <c r="I586" s="64"/>
    </row>
    <row r="587" spans="1:9">
      <c r="A587">
        <v>1</v>
      </c>
      <c r="B587" t="str">
        <f t="shared" ref="B587:B599" si="26">INDEX($H$587:$H$599,MATCH(LARGE($I$587:$I$599,$A587),$I$587:$I$599,0))</f>
        <v>Contractor-C</v>
      </c>
      <c r="C587" s="22">
        <f t="shared" ref="C587:C599" si="27">LARGE($I$587:$I$599,$A587)</f>
        <v>3.86</v>
      </c>
      <c r="D587">
        <f>COUNTIF('P09-SubconScore'!$A$5:$A$34,$B587)</f>
        <v>1</v>
      </c>
      <c r="E587" s="22">
        <f>AVERAGEIF('P09-SubconScore'!$A$5:$A$34,$B587,'P09-SubconScore'!$D$5:$D$34)</f>
        <v>4</v>
      </c>
      <c r="F587">
        <f>SUMIF('P09-SubconScore'!$A$5:$A$34,$B587,'P09-SubconScore'!$I$5:$I$34)</f>
        <v>13</v>
      </c>
      <c r="H587" s="64" t="s">
        <v>417</v>
      </c>
      <c r="I587" s="65">
        <f>AVERAGEIF('P09-SubconScore'!$A$5:$A$34,$H587,'P09-SubconScore'!$J$5:$J$34)</f>
        <v>3.24</v>
      </c>
    </row>
    <row r="588" spans="1:9">
      <c r="A588">
        <v>2</v>
      </c>
      <c r="B588" t="str">
        <f t="shared" si="26"/>
        <v>Contractor-M</v>
      </c>
      <c r="C588" s="22">
        <f t="shared" si="27"/>
        <v>3.7974999999999999</v>
      </c>
      <c r="D588">
        <f>COUNTIF('P09-SubconScore'!$A$5:$A$34,$B588)</f>
        <v>2</v>
      </c>
      <c r="E588" s="22">
        <f>AVERAGEIF('P09-SubconScore'!$A$5:$A$34,$B588,'P09-SubconScore'!$D$5:$D$34)</f>
        <v>3.15</v>
      </c>
      <c r="F588">
        <f>SUMIF('P09-SubconScore'!$A$5:$A$34,$B588,'P09-SubconScore'!$I$5:$I$34)</f>
        <v>32</v>
      </c>
      <c r="H588" s="64" t="s">
        <v>422</v>
      </c>
      <c r="I588" s="65">
        <f>AVERAGEIF('P09-SubconScore'!$A$5:$A$34,$H588,'P09-SubconScore'!$J$5:$J$34)</f>
        <v>3.645</v>
      </c>
    </row>
    <row r="589" spans="1:9">
      <c r="A589">
        <v>3</v>
      </c>
      <c r="B589" t="str">
        <f t="shared" si="26"/>
        <v>Contractor-B</v>
      </c>
      <c r="C589" s="22">
        <f t="shared" si="27"/>
        <v>3.645</v>
      </c>
      <c r="D589">
        <f>COUNTIF('P09-SubconScore'!$A$5:$A$34,$B589)</f>
        <v>2</v>
      </c>
      <c r="E589" s="22">
        <f>AVERAGEIF('P09-SubconScore'!$A$5:$A$34,$B589,'P09-SubconScore'!$D$5:$D$34)</f>
        <v>4.25</v>
      </c>
      <c r="F589">
        <f>SUMIF('P09-SubconScore'!$A$5:$A$34,$B589,'P09-SubconScore'!$I$5:$I$34)</f>
        <v>37</v>
      </c>
      <c r="H589" s="64" t="s">
        <v>771</v>
      </c>
      <c r="I589" s="65">
        <f>AVERAGEIF('P09-SubconScore'!$A$5:$A$34,$H589,'P09-SubconScore'!$J$5:$J$34)</f>
        <v>3.86</v>
      </c>
    </row>
    <row r="590" spans="1:9">
      <c r="A590">
        <v>4</v>
      </c>
      <c r="B590" t="str">
        <f t="shared" si="26"/>
        <v>Contractor-H</v>
      </c>
      <c r="C590" s="22">
        <f t="shared" si="27"/>
        <v>3.6050000000000004</v>
      </c>
      <c r="D590">
        <f>COUNTIF('P09-SubconScore'!$A$5:$A$34,$B590)</f>
        <v>1</v>
      </c>
      <c r="E590" s="22">
        <f>AVERAGEIF('P09-SubconScore'!$A$5:$A$34,$B590,'P09-SubconScore'!$D$5:$D$34)</f>
        <v>3.2</v>
      </c>
      <c r="F590">
        <f>SUMIF('P09-SubconScore'!$A$5:$A$34,$B590,'P09-SubconScore'!$I$5:$I$34)</f>
        <v>9</v>
      </c>
      <c r="H590" s="64" t="s">
        <v>415</v>
      </c>
      <c r="I590" s="65">
        <f>AVERAGEIF('P09-SubconScore'!$A$5:$A$34,$H590,'P09-SubconScore'!$J$5:$J$34)</f>
        <v>3.47</v>
      </c>
    </row>
    <row r="591" spans="1:9">
      <c r="A591">
        <v>5</v>
      </c>
      <c r="B591" t="str">
        <f t="shared" si="26"/>
        <v>Contractor-F</v>
      </c>
      <c r="C591" s="22">
        <f t="shared" si="27"/>
        <v>3.5074999999999998</v>
      </c>
      <c r="D591">
        <f>COUNTIF('P09-SubconScore'!$A$5:$A$34,$B591)</f>
        <v>2</v>
      </c>
      <c r="E591" s="22">
        <f>AVERAGEIF('P09-SubconScore'!$A$5:$A$34,$B591,'P09-SubconScore'!$D$5:$D$34)</f>
        <v>3.7</v>
      </c>
      <c r="F591">
        <f>SUMIF('P09-SubconScore'!$A$5:$A$34,$B591,'P09-SubconScore'!$I$5:$I$34)</f>
        <v>23</v>
      </c>
      <c r="H591" s="64" t="s">
        <v>427</v>
      </c>
      <c r="I591" s="65">
        <f>AVERAGEIF('P09-SubconScore'!$A$5:$A$34,$H591,'P09-SubconScore'!$J$5:$J$34)</f>
        <v>3.2474999999999996</v>
      </c>
    </row>
    <row r="592" spans="1:9">
      <c r="A592">
        <v>6</v>
      </c>
      <c r="B592" t="str">
        <f t="shared" si="26"/>
        <v>Contractor-I</v>
      </c>
      <c r="C592" s="22">
        <f t="shared" si="27"/>
        <v>3.4716666666666662</v>
      </c>
      <c r="D592">
        <f>COUNTIF('P09-SubconScore'!$A$5:$A$34,$B592)</f>
        <v>3</v>
      </c>
      <c r="E592" s="22">
        <f>AVERAGEIF('P09-SubconScore'!$A$5:$A$34,$B592,'P09-SubconScore'!$D$5:$D$34)</f>
        <v>3.9333333333333336</v>
      </c>
      <c r="F592">
        <f>SUMIF('P09-SubconScore'!$A$5:$A$34,$B592,'P09-SubconScore'!$I$5:$I$34)</f>
        <v>53</v>
      </c>
      <c r="H592" s="64" t="s">
        <v>423</v>
      </c>
      <c r="I592" s="65">
        <f>AVERAGEIF('P09-SubconScore'!$A$5:$A$34,$H592,'P09-SubconScore'!$J$5:$J$34)</f>
        <v>3.5074999999999998</v>
      </c>
    </row>
    <row r="593" spans="1:9">
      <c r="A593">
        <v>7</v>
      </c>
      <c r="B593" t="str">
        <f t="shared" si="26"/>
        <v>Contractor-D</v>
      </c>
      <c r="C593" s="22">
        <f t="shared" si="27"/>
        <v>3.47</v>
      </c>
      <c r="D593">
        <f>COUNTIF('P09-SubconScore'!$A$5:$A$34,$B593)</f>
        <v>1</v>
      </c>
      <c r="E593" s="22">
        <f>AVERAGEIF('P09-SubconScore'!$A$5:$A$34,$B593,'P09-SubconScore'!$D$5:$D$34)</f>
        <v>3.7</v>
      </c>
      <c r="F593">
        <f>SUMIF('P09-SubconScore'!$A$5:$A$34,$B593,'P09-SubconScore'!$I$5:$I$34)</f>
        <v>20</v>
      </c>
      <c r="H593" s="64" t="s">
        <v>768</v>
      </c>
      <c r="I593" s="65">
        <f>AVERAGEIF('P09-SubconScore'!$A$5:$A$34,$H593,'P09-SubconScore'!$J$5:$J$34)</f>
        <v>3.3950000000000005</v>
      </c>
    </row>
    <row r="594" spans="1:9">
      <c r="A594">
        <v>8</v>
      </c>
      <c r="B594" t="str">
        <f t="shared" si="26"/>
        <v>Contractor-G</v>
      </c>
      <c r="C594" s="22">
        <f t="shared" si="27"/>
        <v>3.3950000000000005</v>
      </c>
      <c r="D594">
        <f>COUNTIF('P09-SubconScore'!$A$5:$A$34,$B594)</f>
        <v>5</v>
      </c>
      <c r="E594" s="22">
        <f>AVERAGEIF('P09-SubconScore'!$A$5:$A$34,$B594,'P09-SubconScore'!$D$5:$D$34)</f>
        <v>2.9400000000000004</v>
      </c>
      <c r="F594">
        <f>SUMIF('P09-SubconScore'!$A$5:$A$34,$B594,'P09-SubconScore'!$I$5:$I$34)</f>
        <v>71</v>
      </c>
      <c r="H594" s="64" t="s">
        <v>419</v>
      </c>
      <c r="I594" s="65">
        <f>AVERAGEIF('P09-SubconScore'!$A$5:$A$34,$H594,'P09-SubconScore'!$J$5:$J$34)</f>
        <v>3.6050000000000004</v>
      </c>
    </row>
    <row r="595" spans="1:9">
      <c r="A595">
        <v>9</v>
      </c>
      <c r="B595" t="str">
        <f t="shared" si="26"/>
        <v>Contractor-J</v>
      </c>
      <c r="C595" s="22">
        <f t="shared" si="27"/>
        <v>3.3550000000000004</v>
      </c>
      <c r="D595">
        <f>COUNTIF('P09-SubconScore'!$A$5:$A$34,$B595)</f>
        <v>5</v>
      </c>
      <c r="E595" s="22">
        <f>AVERAGEIF('P09-SubconScore'!$A$5:$A$34,$B595,'P09-SubconScore'!$D$5:$D$34)</f>
        <v>3.3200000000000003</v>
      </c>
      <c r="F595">
        <f>SUMIF('P09-SubconScore'!$A$5:$A$34,$B595,'P09-SubconScore'!$I$5:$I$34)</f>
        <v>50</v>
      </c>
      <c r="H595" s="64" t="s">
        <v>426</v>
      </c>
      <c r="I595" s="65">
        <f>AVERAGEIF('P09-SubconScore'!$A$5:$A$34,$H595,'P09-SubconScore'!$J$5:$J$34)</f>
        <v>3.4716666666666662</v>
      </c>
    </row>
    <row r="596" spans="1:9">
      <c r="A596">
        <v>10</v>
      </c>
      <c r="B596" t="str">
        <f t="shared" si="26"/>
        <v>Contractor-L</v>
      </c>
      <c r="C596" s="22">
        <f t="shared" si="27"/>
        <v>3.3066666666666666</v>
      </c>
      <c r="D596">
        <f>COUNTIF('P09-SubconScore'!$A$5:$A$34,$B596)</f>
        <v>3</v>
      </c>
      <c r="E596" s="22">
        <f>AVERAGEIF('P09-SubconScore'!$A$5:$A$34,$B596,'P09-SubconScore'!$D$5:$D$34)</f>
        <v>3.1666666666666665</v>
      </c>
      <c r="F596">
        <f>SUMIF('P09-SubconScore'!$A$5:$A$34,$B596,'P09-SubconScore'!$I$5:$I$34)</f>
        <v>39</v>
      </c>
      <c r="H596" s="64" t="s">
        <v>425</v>
      </c>
      <c r="I596" s="65">
        <f>AVERAGEIF('P09-SubconScore'!$A$5:$A$34,$H596,'P09-SubconScore'!$J$5:$J$34)</f>
        <v>3.3550000000000004</v>
      </c>
    </row>
    <row r="597" spans="1:9">
      <c r="A597">
        <v>11</v>
      </c>
      <c r="B597" t="str">
        <f t="shared" si="26"/>
        <v>Contractor-E</v>
      </c>
      <c r="C597" s="22">
        <f t="shared" si="27"/>
        <v>3.2474999999999996</v>
      </c>
      <c r="D597">
        <f>COUNTIF('P09-SubconScore'!$A$5:$A$34,$B597)</f>
        <v>2</v>
      </c>
      <c r="E597" s="22">
        <f>AVERAGEIF('P09-SubconScore'!$A$5:$A$34,$B597,'P09-SubconScore'!$D$5:$D$34)</f>
        <v>3.15</v>
      </c>
      <c r="F597">
        <f>SUMIF('P09-SubconScore'!$A$5:$A$34,$B597,'P09-SubconScore'!$I$5:$I$34)</f>
        <v>36</v>
      </c>
      <c r="H597" s="64" t="s">
        <v>429</v>
      </c>
      <c r="I597" s="65">
        <f>AVERAGEIF('P09-SubconScore'!$A$5:$A$34,$H597,'P09-SubconScore'!$J$5:$J$34)</f>
        <v>3.3066666666666666</v>
      </c>
    </row>
    <row r="598" spans="1:9">
      <c r="A598">
        <v>12</v>
      </c>
      <c r="B598" t="str">
        <f t="shared" si="26"/>
        <v>Contractor-A</v>
      </c>
      <c r="C598" s="22">
        <f t="shared" si="27"/>
        <v>3.24</v>
      </c>
      <c r="D598">
        <f>COUNTIF('P09-SubconScore'!$A$5:$A$34,$B598)</f>
        <v>1</v>
      </c>
      <c r="E598" s="22">
        <f>AVERAGEIF('P09-SubconScore'!$A$5:$A$34,$B598,'P09-SubconScore'!$D$5:$D$34)</f>
        <v>2.6</v>
      </c>
      <c r="F598">
        <f>SUMIF('P09-SubconScore'!$A$5:$A$34,$B598,'P09-SubconScore'!$I$5:$I$34)</f>
        <v>15</v>
      </c>
      <c r="H598" s="64" t="s">
        <v>418</v>
      </c>
      <c r="I598" s="65">
        <f>AVERAGEIF('P09-SubconScore'!$A$5:$A$34,$H598,'P09-SubconScore'!$J$5:$J$34)</f>
        <v>3.7974999999999999</v>
      </c>
    </row>
    <row r="599" spans="1:9">
      <c r="A599">
        <v>13</v>
      </c>
      <c r="B599" t="str">
        <f t="shared" si="26"/>
        <v>Contractor-N</v>
      </c>
      <c r="C599" s="22">
        <f t="shared" si="27"/>
        <v>3.1475</v>
      </c>
      <c r="D599">
        <f>COUNTIF('P09-SubconScore'!$A$5:$A$34,$B599)</f>
        <v>2</v>
      </c>
      <c r="E599" s="22">
        <f>AVERAGEIF('P09-SubconScore'!$A$5:$A$34,$B599,'P09-SubconScore'!$D$5:$D$34)</f>
        <v>3</v>
      </c>
      <c r="F599">
        <f>SUMIF('P09-SubconScore'!$A$5:$A$34,$B599,'P09-SubconScore'!$I$5:$I$34)</f>
        <v>27</v>
      </c>
      <c r="H599" s="64" t="s">
        <v>416</v>
      </c>
      <c r="I599" s="65">
        <f>AVERAGEIF('P09-SubconScore'!$A$5:$A$34,$H599,'P09-SubconScore'!$J$5:$J$34)</f>
        <v>3.1475</v>
      </c>
    </row>
    <row r="600" spans="1:9">
      <c r="A600" s="44" t="str">
        <f>"ANSWER: Top 3 — "&amp;$B$587&amp;" ("&amp;TEXT($C$587,"0.00")&amp;"), "&amp;$B$588&amp;" ("&amp;TEXT($C$588,"0.00")&amp;") and "&amp;$B$589&amp;" ("&amp;TEXT($C$589,"0.00")&amp;"). Bottom 3 — "&amp;$B$599&amp;" ("&amp;TEXT($C$599,"0.00")&amp;"), "&amp;$B$598&amp;" ("&amp;TEXT($C$598,"0.00")&amp;") and "&amp;$B$597&amp;" ("&amp;TEXT($C$597,"0.00")&amp;"). Portfolio average weighted score: "&amp;TEXT(AVERAGE('P09-SubconScore'!$J$5:$J$34),"0.00")&amp;"."</f>
        <v>ANSWER: Top 3 — Contractor-C (3.86), Contractor-M (3.80) and Contractor-B (3.65). Bottom 3 — Contractor-N (3.15), Contractor-A (3.24) and Contractor-E (3.25). Portfolio average weighted score: 3.43.</v>
      </c>
    </row>
    <row r="602" spans="1:9">
      <c r="A602" s="42" t="s">
        <v>773</v>
      </c>
    </row>
    <row r="603" spans="1:9">
      <c r="A603" s="43" t="s">
        <v>274</v>
      </c>
      <c r="B603" s="43" t="s">
        <v>1573</v>
      </c>
      <c r="C603" s="43" t="s">
        <v>1572</v>
      </c>
      <c r="D603" s="43" t="s">
        <v>1444</v>
      </c>
      <c r="E603" s="43" t="s">
        <v>1575</v>
      </c>
      <c r="F603" s="43" t="s">
        <v>1574</v>
      </c>
    </row>
    <row r="604" spans="1:9">
      <c r="A604" t="s">
        <v>284</v>
      </c>
      <c r="B604" s="22">
        <f>IFERROR(AVERAGEIF('P09-SubconScore'!$B$5:$B$34,$A604,'P09-SubconScore'!$D$5:$D$34),"-")</f>
        <v>2.4500000000000002</v>
      </c>
      <c r="C604">
        <f>COUNTIF('P09-SubconScore'!$B$5:$B$34,$A604)</f>
        <v>2</v>
      </c>
      <c r="D604" s="22">
        <f>IFERROR(AVERAGEIF('P09-SubconScore'!$B$5:$B$34,$A604,'P09-SubconScore'!$J$5:$J$34),"-")</f>
        <v>3.3875000000000002</v>
      </c>
      <c r="E604" s="22">
        <f>IFERROR(AVERAGEIF('P09-SubconScore'!$B$5:$B$34,$A604,'P09-SubconScore'!$F$5:$F$34),"-")</f>
        <v>4</v>
      </c>
      <c r="F604">
        <f>SUMIF('P09-SubconScore'!$B$5:$B$34,$A604,'P09-SubconScore'!$I$5:$I$34)</f>
        <v>48</v>
      </c>
    </row>
    <row r="605" spans="1:9">
      <c r="A605" t="s">
        <v>300</v>
      </c>
      <c r="B605" s="22">
        <f>IFERROR(AVERAGEIF('P09-SubconScore'!$B$5:$B$34,$A605,'P09-SubconScore'!$D$5:$D$34),"-")</f>
        <v>3.5</v>
      </c>
      <c r="C605">
        <f>COUNTIF('P09-SubconScore'!$B$5:$B$34,$A605)</f>
        <v>4</v>
      </c>
      <c r="D605" s="22">
        <f>IFERROR(AVERAGEIF('P09-SubconScore'!$B$5:$B$34,$A605,'P09-SubconScore'!$J$5:$J$34),"-")</f>
        <v>3.5124999999999997</v>
      </c>
      <c r="E605" s="22">
        <f>IFERROR(AVERAGEIF('P09-SubconScore'!$B$5:$B$34,$A605,'P09-SubconScore'!$F$5:$F$34),"-")</f>
        <v>3.6750000000000003</v>
      </c>
      <c r="F605">
        <f>SUMIF('P09-SubconScore'!$B$5:$B$34,$A605,'P09-SubconScore'!$I$5:$I$34)</f>
        <v>66</v>
      </c>
    </row>
    <row r="606" spans="1:9">
      <c r="A606" t="s">
        <v>306</v>
      </c>
      <c r="B606" s="22">
        <f>IFERROR(AVERAGEIF('P09-SubconScore'!$B$5:$B$34,$A606,'P09-SubconScore'!$D$5:$D$34),"-")</f>
        <v>3.2749999999999999</v>
      </c>
      <c r="C606">
        <f>COUNTIF('P09-SubconScore'!$B$5:$B$34,$A606)</f>
        <v>4</v>
      </c>
      <c r="D606" s="22">
        <f>IFERROR(AVERAGEIF('P09-SubconScore'!$B$5:$B$34,$A606,'P09-SubconScore'!$J$5:$J$34),"-")</f>
        <v>3.5700000000000003</v>
      </c>
      <c r="E606" s="22">
        <f>IFERROR(AVERAGEIF('P09-SubconScore'!$B$5:$B$34,$A606,'P09-SubconScore'!$F$5:$F$34),"-")</f>
        <v>3.9750000000000005</v>
      </c>
      <c r="F606">
        <f>SUMIF('P09-SubconScore'!$B$5:$B$34,$A606,'P09-SubconScore'!$I$5:$I$34)</f>
        <v>53</v>
      </c>
    </row>
    <row r="607" spans="1:9">
      <c r="A607" t="s">
        <v>294</v>
      </c>
      <c r="B607" s="22">
        <f>IFERROR(AVERAGEIF('P09-SubconScore'!$B$5:$B$34,$A607,'P09-SubconScore'!$D$5:$D$34),"-")</f>
        <v>3.6</v>
      </c>
      <c r="C607">
        <f>COUNTIF('P09-SubconScore'!$B$5:$B$34,$A607)</f>
        <v>2</v>
      </c>
      <c r="D607" s="22">
        <f>IFERROR(AVERAGEIF('P09-SubconScore'!$B$5:$B$34,$A607,'P09-SubconScore'!$J$5:$J$34),"-")</f>
        <v>3.3275000000000001</v>
      </c>
      <c r="E607" s="22">
        <f>IFERROR(AVERAGEIF('P09-SubconScore'!$B$5:$B$34,$A607,'P09-SubconScore'!$F$5:$F$34),"-")</f>
        <v>2.5999999999999996</v>
      </c>
      <c r="F607">
        <f>SUMIF('P09-SubconScore'!$B$5:$B$34,$A607,'P09-SubconScore'!$I$5:$I$34)</f>
        <v>22</v>
      </c>
    </row>
    <row r="608" spans="1:9">
      <c r="A608" t="s">
        <v>334</v>
      </c>
      <c r="B608" s="22">
        <f>IFERROR(AVERAGEIF('P09-SubconScore'!$B$5:$B$34,$A608,'P09-SubconScore'!$D$5:$D$34),"-")</f>
        <v>2.65</v>
      </c>
      <c r="C608">
        <f>COUNTIF('P09-SubconScore'!$B$5:$B$34,$A608)</f>
        <v>2</v>
      </c>
      <c r="D608" s="22">
        <f>IFERROR(AVERAGEIF('P09-SubconScore'!$B$5:$B$34,$A608,'P09-SubconScore'!$J$5:$J$34),"-")</f>
        <v>3.3499999999999996</v>
      </c>
      <c r="E608" s="22">
        <f>IFERROR(AVERAGEIF('P09-SubconScore'!$B$5:$B$34,$A608,'P09-SubconScore'!$F$5:$F$34),"-")</f>
        <v>3.65</v>
      </c>
      <c r="F608">
        <f>SUMIF('P09-SubconScore'!$B$5:$B$34,$A608,'P09-SubconScore'!$I$5:$I$34)</f>
        <v>32</v>
      </c>
    </row>
    <row r="609" spans="1:6">
      <c r="A609" t="s">
        <v>311</v>
      </c>
      <c r="B609" s="22">
        <f>IFERROR(AVERAGEIF('P09-SubconScore'!$B$5:$B$34,$A609,'P09-SubconScore'!$D$5:$D$34),"-")</f>
        <v>3.875</v>
      </c>
      <c r="C609">
        <f>COUNTIF('P09-SubconScore'!$B$5:$B$34,$A609)</f>
        <v>4</v>
      </c>
      <c r="D609" s="22">
        <f>IFERROR(AVERAGEIF('P09-SubconScore'!$B$5:$B$34,$A609,'P09-SubconScore'!$J$5:$J$34),"-")</f>
        <v>3.6949999999999998</v>
      </c>
      <c r="E609" s="22">
        <f>IFERROR(AVERAGEIF('P09-SubconScore'!$B$5:$B$34,$A609,'P09-SubconScore'!$F$5:$F$34),"-")</f>
        <v>3.7</v>
      </c>
      <c r="F609">
        <f>SUMIF('P09-SubconScore'!$B$5:$B$34,$A609,'P09-SubconScore'!$I$5:$I$34)</f>
        <v>61</v>
      </c>
    </row>
    <row r="610" spans="1:6">
      <c r="A610" t="s">
        <v>770</v>
      </c>
      <c r="B610" s="22">
        <f>IFERROR(AVERAGEIF('P09-SubconScore'!$B$5:$B$34,$A610,'P09-SubconScore'!$D$5:$D$34),"-")</f>
        <v>2.9</v>
      </c>
      <c r="C610">
        <f>COUNTIF('P09-SubconScore'!$B$5:$B$34,$A610)</f>
        <v>3</v>
      </c>
      <c r="D610" s="22">
        <f>IFERROR(AVERAGEIF('P09-SubconScore'!$B$5:$B$34,$A610,'P09-SubconScore'!$J$5:$J$34),"-")</f>
        <v>3.2233333333333332</v>
      </c>
      <c r="E610" s="22">
        <f>IFERROR(AVERAGEIF('P09-SubconScore'!$B$5:$B$34,$A610,'P09-SubconScore'!$F$5:$F$34),"-")</f>
        <v>3.4666666666666668</v>
      </c>
      <c r="F610">
        <f>SUMIF('P09-SubconScore'!$B$5:$B$34,$A610,'P09-SubconScore'!$I$5:$I$34)</f>
        <v>24</v>
      </c>
    </row>
    <row r="611" spans="1:6">
      <c r="A611" t="s">
        <v>767</v>
      </c>
      <c r="B611" s="22">
        <f>IFERROR(AVERAGEIF('P09-SubconScore'!$B$5:$B$34,$A611,'P09-SubconScore'!$D$5:$D$34),"-")</f>
        <v>3.7</v>
      </c>
      <c r="C611">
        <f>COUNTIF('P09-SubconScore'!$B$5:$B$34,$A611)</f>
        <v>5</v>
      </c>
      <c r="D611" s="22">
        <f>IFERROR(AVERAGEIF('P09-SubconScore'!$B$5:$B$34,$A611,'P09-SubconScore'!$J$5:$J$34),"-")</f>
        <v>3.2659999999999996</v>
      </c>
      <c r="E611" s="22">
        <f>IFERROR(AVERAGEIF('P09-SubconScore'!$B$5:$B$34,$A611,'P09-SubconScore'!$F$5:$F$34),"-")</f>
        <v>3.2400000000000007</v>
      </c>
      <c r="F611">
        <f>SUMIF('P09-SubconScore'!$B$5:$B$34,$A611,'P09-SubconScore'!$I$5:$I$34)</f>
        <v>57</v>
      </c>
    </row>
    <row r="612" spans="1:6">
      <c r="A612" t="s">
        <v>769</v>
      </c>
      <c r="B612" s="22">
        <f>IFERROR(AVERAGEIF('P09-SubconScore'!$B$5:$B$34,$A612,'P09-SubconScore'!$D$5:$D$34),"-")</f>
        <v>3.5999999999999996</v>
      </c>
      <c r="C612">
        <f>COUNTIF('P09-SubconScore'!$B$5:$B$34,$A612)</f>
        <v>2</v>
      </c>
      <c r="D612" s="22">
        <f>IFERROR(AVERAGEIF('P09-SubconScore'!$B$5:$B$34,$A612,'P09-SubconScore'!$J$5:$J$34),"-")</f>
        <v>3.3525</v>
      </c>
      <c r="E612" s="22">
        <f>IFERROR(AVERAGEIF('P09-SubconScore'!$B$5:$B$34,$A612,'P09-SubconScore'!$F$5:$F$34),"-")</f>
        <v>2.5</v>
      </c>
      <c r="F612">
        <f>SUMIF('P09-SubconScore'!$B$5:$B$34,$A612,'P09-SubconScore'!$I$5:$I$34)</f>
        <v>33</v>
      </c>
    </row>
    <row r="613" spans="1:6">
      <c r="A613" t="s">
        <v>428</v>
      </c>
      <c r="B613" s="22">
        <f>IFERROR(AVERAGEIF('P09-SubconScore'!$B$5:$B$34,$A613,'P09-SubconScore'!$D$5:$D$34),"-")</f>
        <v>3.0999999999999996</v>
      </c>
      <c r="C613">
        <f>COUNTIF('P09-SubconScore'!$B$5:$B$34,$A613)</f>
        <v>2</v>
      </c>
      <c r="D613" s="22">
        <f>IFERROR(AVERAGEIF('P09-SubconScore'!$B$5:$B$34,$A613,'P09-SubconScore'!$J$5:$J$34),"-")</f>
        <v>3.5025000000000004</v>
      </c>
      <c r="E613" s="22">
        <f>IFERROR(AVERAGEIF('P09-SubconScore'!$B$5:$B$34,$A613,'P09-SubconScore'!$F$5:$F$34),"-")</f>
        <v>3</v>
      </c>
      <c r="F613">
        <f>SUMIF('P09-SubconScore'!$B$5:$B$34,$A613,'P09-SubconScore'!$I$5:$I$34)</f>
        <v>29</v>
      </c>
    </row>
    <row r="614" spans="1:6">
      <c r="A614" s="44" t="str">
        <f>"ANSWER: "&amp;INDEX($A$604:$A$613,MATCH(MIN($B$604:$B$613),$B$604:$B$613,0))&amp;" has the lowest average quality score at "&amp;TEXT(MIN($B$604:$B$613),"0.00")&amp;" (vs the best, "&amp;INDEX($A$604:$A$613,MATCH(MAX($B$604:$B$613),$B$604:$B$613,0))&amp;", at "&amp;TEXT(MAX($B$604:$B$613),"0.00")&amp;"). Quality on that trade also carries "&amp;INDEX($F$604:$F$613,MATCH(MIN($B$604:$B$613),$B$604:$B$613,0))&amp;" recorded defects."</f>
        <v>ANSWER: Civil &amp; Structure has the lowest average quality score at 2.45 (vs the best, Interior Fit-out, at 3.88). Quality on that trade also carries 48 recorded defects.</v>
      </c>
    </row>
    <row r="616" spans="1:6">
      <c r="A616" s="42" t="s">
        <v>774</v>
      </c>
    </row>
    <row r="617" spans="1:6">
      <c r="A617" t="s">
        <v>1576</v>
      </c>
      <c r="B617" s="40">
        <f>CORREL('P09-SubconScore'!$I$5:$I$34,'P09-SubconScore'!$D$5:$D$34)</f>
        <v>-8.6848100987402629E-2</v>
      </c>
      <c r="C617" t="s">
        <v>1577</v>
      </c>
      <c r="D617" s="40">
        <f>CORREL('P09-SubconScore'!$I$5:$I$34,'P09-SubconScore'!$J$5:$J$34)</f>
        <v>8.3361833037859226E-2</v>
      </c>
      <c r="E617" t="s">
        <v>1578</v>
      </c>
      <c r="F617" s="54">
        <f>AVERAGE('P09-SubconScore'!$I$5:$I$34)</f>
        <v>14.166666666666666</v>
      </c>
    </row>
    <row r="618" spans="1:6">
      <c r="A618" s="44" t="str">
        <f>"ANSWER: r = "&amp;TEXT($B$617,"0.000")&amp;" between defect count and quality score — "&amp;IF($B$617&lt;-0.5,"a strong negative relationship: more defects clearly go with lower quality scores",IF($B$617&lt;-0.2,"a weak-to-moderate negative relationship, in the expected direction",IF(ABS($B$617)&lt;0.2,"essentially no relationship, which suggests the quality score is not being driven by recorded defects and the scoring may need review","a positive relationship, which is counter-intuitive and warrants a review of how scores are awarded")))&amp;". Defects vs overall weighted score: r = "&amp;TEXT($D$617,"0.000")&amp;"."</f>
        <v>ANSWER: r = -0.087 between defect count and quality score — essentially no relationship, which suggests the quality score is not being driven by recorded defects and the scoring may need review. Defects vs overall weighted score: r = 0.083.</v>
      </c>
    </row>
    <row r="620" spans="1:6">
      <c r="A620" s="42" t="s">
        <v>1579</v>
      </c>
    </row>
    <row r="621" spans="1:6">
      <c r="A621" t="s">
        <v>1580</v>
      </c>
      <c r="B621" t="str">
        <f>$B$587</f>
        <v>Contractor-C</v>
      </c>
      <c r="C621" t="s">
        <v>1581</v>
      </c>
      <c r="D621" s="22">
        <f>$C$587</f>
        <v>3.86</v>
      </c>
      <c r="E621" t="s">
        <v>1572</v>
      </c>
      <c r="F621">
        <f>$D$587</f>
        <v>1</v>
      </c>
    </row>
    <row r="622" spans="1:6">
      <c r="A622" s="43" t="s">
        <v>1582</v>
      </c>
      <c r="B622" s="43" t="s">
        <v>1583</v>
      </c>
    </row>
    <row r="623" spans="1:6">
      <c r="A623" t="s">
        <v>1584</v>
      </c>
      <c r="B623" s="22">
        <f>AVERAGEIF('P09-SubconScore'!$A$5:$A$34,$B$621,'P09-SubconScore'!$D$5:$D$34)</f>
        <v>4</v>
      </c>
    </row>
    <row r="624" spans="1:6">
      <c r="A624" t="s">
        <v>1427</v>
      </c>
      <c r="B624" s="22">
        <f>AVERAGEIF('P09-SubconScore'!$A$5:$A$34,$B$621,'P09-SubconScore'!$E$5:$E$34)</f>
        <v>3.2</v>
      </c>
    </row>
    <row r="625" spans="1:6">
      <c r="A625" t="s">
        <v>1429</v>
      </c>
      <c r="B625" s="22">
        <f>AVERAGEIF('P09-SubconScore'!$A$5:$A$34,$B$621,'P09-SubconScore'!$F$5:$F$34)</f>
        <v>4.2</v>
      </c>
    </row>
    <row r="626" spans="1:6">
      <c r="A626" t="s">
        <v>1585</v>
      </c>
      <c r="B626" s="22">
        <f>AVERAGEIF('P09-SubconScore'!$A$5:$A$34,$B$621,'P09-SubconScore'!$G$5:$G$34)</f>
        <v>4.5999999999999996</v>
      </c>
    </row>
    <row r="627" spans="1:6">
      <c r="A627" t="s">
        <v>1586</v>
      </c>
      <c r="B627" s="22">
        <f>AVERAGEIF('P09-SubconScore'!$A$5:$A$34,$B$621,'P09-SubconScore'!$H$5:$H$34)</f>
        <v>3.3</v>
      </c>
    </row>
    <row r="628" spans="1:6">
      <c r="A628" s="44" t="str">
        <f>"ANSWER: The top performer is "&amp;$B$621&amp;" with an average weighted score of "&amp;TEXT($D$621,"0.00")&amp;". Its strongest dimension is "&amp;INDEX($A$623:$A$627,MATCH(MAX($B$623:$B$627),$B$623:$B$627,0))&amp;" ("&amp;TEXT(MAX($B$623:$B$627),"0.00")&amp;") and its weakest is "&amp;INDEX($A$623:$A$627,MATCH(MIN($B$623:$B$627),$B$623:$B$627,0))&amp;" ("&amp;TEXT(MIN($B$623:$B$627),"0.00")&amp;") — see the radar chart to the right."</f>
        <v>ANSWER: The top performer is Contractor-C with an average weighted score of 3.86. Its strongest dimension is Cost (4.60) and its weakest is Time (3.20) — see the radar chart to the right.</v>
      </c>
    </row>
    <row r="630" spans="1:6">
      <c r="A630" s="42" t="s">
        <v>1587</v>
      </c>
    </row>
    <row r="631" spans="1:6">
      <c r="A631" t="s">
        <v>1588</v>
      </c>
      <c r="B631" cm="1">
        <f t="array" ref="B631">SUMPRODUCT(('P09-SubconScore'!$J$5:$J$34&lt;3)*('P09-SubconScore'!$I$5:$I$34&gt;15)*1)</f>
        <v>2</v>
      </c>
      <c r="C631" t="s">
        <v>1589</v>
      </c>
      <c r="D631">
        <f>COUNTIF('P09-SubconScore'!$J$5:$J$34,"&lt;3")</f>
        <v>4</v>
      </c>
      <c r="E631" t="s">
        <v>1590</v>
      </c>
      <c r="F631">
        <f>COUNTIF('P09-SubconScore'!$I$5:$I$34,"&gt;15")</f>
        <v>13</v>
      </c>
    </row>
    <row r="632" spans="1:6">
      <c r="A632" s="43" t="s">
        <v>2</v>
      </c>
      <c r="B632" s="43" t="s">
        <v>488</v>
      </c>
      <c r="C632" s="43" t="s">
        <v>274</v>
      </c>
      <c r="D632" s="43" t="s">
        <v>68</v>
      </c>
      <c r="E632" s="43" t="s">
        <v>1420</v>
      </c>
      <c r="F632" s="43" t="s">
        <v>1591</v>
      </c>
    </row>
    <row r="633" spans="1:6">
      <c r="A633">
        <v>1</v>
      </c>
      <c r="B633" t="str" cm="1">
        <f t="array" ref="B633">IFERROR(INDEX('P09-SubconScore'!$A$5:$A$34,_xlfn.AGGREGATE(15,6,(ROW('P09-SubconScore'!$A$5:$A$34)-4)/(('P09-SubconScore'!$J$5:$J$34&lt;3)*('P09-SubconScore'!$I$5:$I$34&gt;15)),$A633)),"")</f>
        <v>Contractor-G</v>
      </c>
      <c r="C633" t="str" cm="1">
        <f t="array" ref="C633">IFERROR(INDEX('P09-SubconScore'!$B$5:$B$34,_xlfn.AGGREGATE(15,6,(ROW('P09-SubconScore'!$A$5:$A$34)-4)/(('P09-SubconScore'!$J$5:$J$34&lt;3)*('P09-SubconScore'!$I$5:$I$34&gt;15)),$A633)),"")</f>
        <v>Facade &amp; Cladding</v>
      </c>
      <c r="D633" t="str" cm="1">
        <f t="array" ref="D633">IFERROR(INDEX('P09-SubconScore'!$C$5:$C$34,_xlfn.AGGREGATE(15,6,(ROW('P09-SubconScore'!$A$5:$A$34)-4)/(('P09-SubconScore'!$J$5:$J$34&lt;3)*('P09-SubconScore'!$I$5:$I$34&gt;15)),$A633)),"")</f>
        <v>WT-OFF-SYD-02</v>
      </c>
      <c r="E633" s="22" cm="1">
        <f t="array" ref="E633">IFERROR(INDEX('P09-SubconScore'!$J$5:$J$34,_xlfn.AGGREGATE(15,6,(ROW('P09-SubconScore'!$A$5:$A$34)-4)/(('P09-SubconScore'!$J$5:$J$34&lt;3)*('P09-SubconScore'!$I$5:$I$34&gt;15)),$A633)),"")</f>
        <v>2.8050000000000002</v>
      </c>
      <c r="F633" cm="1">
        <f t="array" ref="F633">IFERROR(INDEX('P09-SubconScore'!$I$5:$I$34,_xlfn.AGGREGATE(15,6,(ROW('P09-SubconScore'!$A$5:$A$34)-4)/(('P09-SubconScore'!$J$5:$J$34&lt;3)*('P09-SubconScore'!$I$5:$I$34&gt;15)),$A633)),"")</f>
        <v>22</v>
      </c>
    </row>
    <row r="634" spans="1:6">
      <c r="A634">
        <v>2</v>
      </c>
      <c r="B634" t="str" cm="1">
        <f t="array" ref="B634">IFERROR(INDEX('P09-SubconScore'!$A$5:$A$34,_xlfn.AGGREGATE(15,6,(ROW('P09-SubconScore'!$A$5:$A$34)-4)/(('P09-SubconScore'!$J$5:$J$34&lt;3)*('P09-SubconScore'!$I$5:$I$34&gt;15)),$A634)),"")</f>
        <v>Contractor-N</v>
      </c>
      <c r="C634" t="str" cm="1">
        <f t="array" ref="C634">IFERROR(INDEX('P09-SubconScore'!$B$5:$B$34,_xlfn.AGGREGATE(15,6,(ROW('P09-SubconScore'!$A$5:$A$34)-4)/(('P09-SubconScore'!$J$5:$J$34&lt;3)*('P09-SubconScore'!$I$5:$I$34&gt;15)),$A634)),"")</f>
        <v>Elevator Installation</v>
      </c>
      <c r="D634" t="str" cm="1">
        <f t="array" ref="D634">IFERROR(INDEX('P09-SubconScore'!$C$5:$C$34,_xlfn.AGGREGATE(15,6,(ROW('P09-SubconScore'!$A$5:$A$34)-4)/(('P09-SubconScore'!$J$5:$J$34&lt;3)*('P09-SubconScore'!$I$5:$I$34&gt;15)),$A634)),"")</f>
        <v>WT-DC-MUM-01</v>
      </c>
      <c r="E634" s="22" cm="1">
        <f t="array" ref="E634">IFERROR(INDEX('P09-SubconScore'!$J$5:$J$34,_xlfn.AGGREGATE(15,6,(ROW('P09-SubconScore'!$A$5:$A$34)-4)/(('P09-SubconScore'!$J$5:$J$34&lt;3)*('P09-SubconScore'!$I$5:$I$34&gt;15)),$A634)),"")</f>
        <v>2.99</v>
      </c>
      <c r="F634" cm="1">
        <f t="array" ref="F634">IFERROR(INDEX('P09-SubconScore'!$I$5:$I$34,_xlfn.AGGREGATE(15,6,(ROW('P09-SubconScore'!$A$5:$A$34)-4)/(('P09-SubconScore'!$J$5:$J$34&lt;3)*('P09-SubconScore'!$I$5:$I$34&gt;15)),$A634)),"")</f>
        <v>20</v>
      </c>
    </row>
    <row r="635" spans="1:6">
      <c r="A635">
        <v>3</v>
      </c>
      <c r="B635" t="str" cm="1">
        <f t="array" ref="B635">IFERROR(INDEX('P09-SubconScore'!$A$5:$A$34,_xlfn.AGGREGATE(15,6,(ROW('P09-SubconScore'!$A$5:$A$34)-4)/(('P09-SubconScore'!$J$5:$J$34&lt;3)*('P09-SubconScore'!$I$5:$I$34&gt;15)),$A635)),"")</f>
        <v/>
      </c>
      <c r="C635" t="str" cm="1">
        <f t="array" ref="C635">IFERROR(INDEX('P09-SubconScore'!$B$5:$B$34,_xlfn.AGGREGATE(15,6,(ROW('P09-SubconScore'!$A$5:$A$34)-4)/(('P09-SubconScore'!$J$5:$J$34&lt;3)*('P09-SubconScore'!$I$5:$I$34&gt;15)),$A635)),"")</f>
        <v/>
      </c>
      <c r="D635" t="str" cm="1">
        <f t="array" ref="D635">IFERROR(INDEX('P09-SubconScore'!$C$5:$C$34,_xlfn.AGGREGATE(15,6,(ROW('P09-SubconScore'!$A$5:$A$34)-4)/(('P09-SubconScore'!$J$5:$J$34&lt;3)*('P09-SubconScore'!$I$5:$I$34&gt;15)),$A635)),"")</f>
        <v/>
      </c>
      <c r="E635" s="22" t="str" cm="1">
        <f t="array" ref="E635">IFERROR(INDEX('P09-SubconScore'!$J$5:$J$34,_xlfn.AGGREGATE(15,6,(ROW('P09-SubconScore'!$A$5:$A$34)-4)/(('P09-SubconScore'!$J$5:$J$34&lt;3)*('P09-SubconScore'!$I$5:$I$34&gt;15)),$A635)),"")</f>
        <v/>
      </c>
      <c r="F635" t="str" cm="1">
        <f t="array" ref="F635">IFERROR(INDEX('P09-SubconScore'!$I$5:$I$34,_xlfn.AGGREGATE(15,6,(ROW('P09-SubconScore'!$A$5:$A$34)-4)/(('P09-SubconScore'!$J$5:$J$34&lt;3)*('P09-SubconScore'!$I$5:$I$34&gt;15)),$A635)),"")</f>
        <v/>
      </c>
    </row>
    <row r="636" spans="1:6">
      <c r="A636">
        <v>4</v>
      </c>
      <c r="B636" t="str" cm="1">
        <f t="array" ref="B636">IFERROR(INDEX('P09-SubconScore'!$A$5:$A$34,_xlfn.AGGREGATE(15,6,(ROW('P09-SubconScore'!$A$5:$A$34)-4)/(('P09-SubconScore'!$J$5:$J$34&lt;3)*('P09-SubconScore'!$I$5:$I$34&gt;15)),$A636)),"")</f>
        <v/>
      </c>
      <c r="C636" t="str" cm="1">
        <f t="array" ref="C636">IFERROR(INDEX('P09-SubconScore'!$B$5:$B$34,_xlfn.AGGREGATE(15,6,(ROW('P09-SubconScore'!$A$5:$A$34)-4)/(('P09-SubconScore'!$J$5:$J$34&lt;3)*('P09-SubconScore'!$I$5:$I$34&gt;15)),$A636)),"")</f>
        <v/>
      </c>
      <c r="D636" t="str" cm="1">
        <f t="array" ref="D636">IFERROR(INDEX('P09-SubconScore'!$C$5:$C$34,_xlfn.AGGREGATE(15,6,(ROW('P09-SubconScore'!$A$5:$A$34)-4)/(('P09-SubconScore'!$J$5:$J$34&lt;3)*('P09-SubconScore'!$I$5:$I$34&gt;15)),$A636)),"")</f>
        <v/>
      </c>
      <c r="E636" s="22" t="str" cm="1">
        <f t="array" ref="E636">IFERROR(INDEX('P09-SubconScore'!$J$5:$J$34,_xlfn.AGGREGATE(15,6,(ROW('P09-SubconScore'!$A$5:$A$34)-4)/(('P09-SubconScore'!$J$5:$J$34&lt;3)*('P09-SubconScore'!$I$5:$I$34&gt;15)),$A636)),"")</f>
        <v/>
      </c>
      <c r="F636" t="str" cm="1">
        <f t="array" ref="F636">IFERROR(INDEX('P09-SubconScore'!$I$5:$I$34,_xlfn.AGGREGATE(15,6,(ROW('P09-SubconScore'!$A$5:$A$34)-4)/(('P09-SubconScore'!$J$5:$J$34&lt;3)*('P09-SubconScore'!$I$5:$I$34&gt;15)),$A636)),"")</f>
        <v/>
      </c>
    </row>
    <row r="637" spans="1:6">
      <c r="A637">
        <v>5</v>
      </c>
      <c r="B637" t="str" cm="1">
        <f t="array" ref="B637">IFERROR(INDEX('P09-SubconScore'!$A$5:$A$34,_xlfn.AGGREGATE(15,6,(ROW('P09-SubconScore'!$A$5:$A$34)-4)/(('P09-SubconScore'!$J$5:$J$34&lt;3)*('P09-SubconScore'!$I$5:$I$34&gt;15)),$A637)),"")</f>
        <v/>
      </c>
      <c r="C637" t="str" cm="1">
        <f t="array" ref="C637">IFERROR(INDEX('P09-SubconScore'!$B$5:$B$34,_xlfn.AGGREGATE(15,6,(ROW('P09-SubconScore'!$A$5:$A$34)-4)/(('P09-SubconScore'!$J$5:$J$34&lt;3)*('P09-SubconScore'!$I$5:$I$34&gt;15)),$A637)),"")</f>
        <v/>
      </c>
      <c r="D637" t="str" cm="1">
        <f t="array" ref="D637">IFERROR(INDEX('P09-SubconScore'!$C$5:$C$34,_xlfn.AGGREGATE(15,6,(ROW('P09-SubconScore'!$A$5:$A$34)-4)/(('P09-SubconScore'!$J$5:$J$34&lt;3)*('P09-SubconScore'!$I$5:$I$34&gt;15)),$A637)),"")</f>
        <v/>
      </c>
      <c r="E637" s="22" t="str" cm="1">
        <f t="array" ref="E637">IFERROR(INDEX('P09-SubconScore'!$J$5:$J$34,_xlfn.AGGREGATE(15,6,(ROW('P09-SubconScore'!$A$5:$A$34)-4)/(('P09-SubconScore'!$J$5:$J$34&lt;3)*('P09-SubconScore'!$I$5:$I$34&gt;15)),$A637)),"")</f>
        <v/>
      </c>
      <c r="F637" t="str" cm="1">
        <f t="array" ref="F637">IFERROR(INDEX('P09-SubconScore'!$I$5:$I$34,_xlfn.AGGREGATE(15,6,(ROW('P09-SubconScore'!$A$5:$A$34)-4)/(('P09-SubconScore'!$J$5:$J$34&lt;3)*('P09-SubconScore'!$I$5:$I$34&gt;15)),$A637)),"")</f>
        <v/>
      </c>
    </row>
    <row r="638" spans="1:6">
      <c r="A638">
        <v>6</v>
      </c>
      <c r="B638" t="str" cm="1">
        <f t="array" ref="B638">IFERROR(INDEX('P09-SubconScore'!$A$5:$A$34,_xlfn.AGGREGATE(15,6,(ROW('P09-SubconScore'!$A$5:$A$34)-4)/(('P09-SubconScore'!$J$5:$J$34&lt;3)*('P09-SubconScore'!$I$5:$I$34&gt;15)),$A638)),"")</f>
        <v/>
      </c>
      <c r="C638" t="str" cm="1">
        <f t="array" ref="C638">IFERROR(INDEX('P09-SubconScore'!$B$5:$B$34,_xlfn.AGGREGATE(15,6,(ROW('P09-SubconScore'!$A$5:$A$34)-4)/(('P09-SubconScore'!$J$5:$J$34&lt;3)*('P09-SubconScore'!$I$5:$I$34&gt;15)),$A638)),"")</f>
        <v/>
      </c>
      <c r="D638" t="str" cm="1">
        <f t="array" ref="D638">IFERROR(INDEX('P09-SubconScore'!$C$5:$C$34,_xlfn.AGGREGATE(15,6,(ROW('P09-SubconScore'!$A$5:$A$34)-4)/(('P09-SubconScore'!$J$5:$J$34&lt;3)*('P09-SubconScore'!$I$5:$I$34&gt;15)),$A638)),"")</f>
        <v/>
      </c>
      <c r="E638" s="22" t="str" cm="1">
        <f t="array" ref="E638">IFERROR(INDEX('P09-SubconScore'!$J$5:$J$34,_xlfn.AGGREGATE(15,6,(ROW('P09-SubconScore'!$A$5:$A$34)-4)/(('P09-SubconScore'!$J$5:$J$34&lt;3)*('P09-SubconScore'!$I$5:$I$34&gt;15)),$A638)),"")</f>
        <v/>
      </c>
      <c r="F638" t="str" cm="1">
        <f t="array" ref="F638">IFERROR(INDEX('P09-SubconScore'!$I$5:$I$34,_xlfn.AGGREGATE(15,6,(ROW('P09-SubconScore'!$A$5:$A$34)-4)/(('P09-SubconScore'!$J$5:$J$34&lt;3)*('P09-SubconScore'!$I$5:$I$34&gt;15)),$A638)),"")</f>
        <v/>
      </c>
    </row>
    <row r="639" spans="1:6">
      <c r="A639" s="44" t="str">
        <f>IF($B$631=0,"ANSWER: No subcontractor meets both blacklist criteria (weighted score &lt; 3.0 AND defects &gt; 15). "&amp;$D$631&amp;" scorecards score below 3.0 and "&amp;$F$631&amp;" carry more than 15 defects, but none breach both — put those on a watch list rather than a blacklist.","ANSWER: "&amp;$B$631&amp;" scorecard(s) breach both blacklist criteria and are listed above. Separately "&amp;$D$631&amp;" score below 3.0 and "&amp;$F$631&amp;" carry more than 15 defects.")</f>
        <v>ANSWER: 2 scorecard(s) breach both blacklist criteria and are listed above. Separately 4 score below 3.0 and 13 carry more than 15 defects.</v>
      </c>
    </row>
    <row r="641" spans="1:7">
      <c r="A641" s="42" t="s">
        <v>1592</v>
      </c>
    </row>
    <row r="642" spans="1:7">
      <c r="A642" s="43" t="s">
        <v>68</v>
      </c>
      <c r="B642" s="43" t="s">
        <v>1593</v>
      </c>
      <c r="C642" s="43" t="s">
        <v>1444</v>
      </c>
      <c r="D642" s="43" t="s">
        <v>1594</v>
      </c>
      <c r="E642" s="43" t="s">
        <v>1595</v>
      </c>
      <c r="F642" s="43" t="s">
        <v>1574</v>
      </c>
    </row>
    <row r="643" spans="1:7">
      <c r="A643" t="s">
        <v>283</v>
      </c>
      <c r="B643">
        <f>COUNTIF('P09-SubconScore'!$C$5:$C$34,$A643)</f>
        <v>10</v>
      </c>
      <c r="C643" s="22">
        <f>AVERAGEIF('P09-SubconScore'!$C$5:$C$34,$A643,'P09-SubconScore'!$J$5:$J$34)</f>
        <v>3.3905000000000003</v>
      </c>
      <c r="D643" s="22">
        <f>AVERAGEIF('P09-SubconScore'!$C$5:$C$34,$A643,'P09-SubconScore'!$D$5:$D$34)</f>
        <v>3.5400000000000005</v>
      </c>
      <c r="E643" s="22">
        <f>AVERAGEIF('P09-SubconScore'!$C$5:$C$34,$A643,'P09-SubconScore'!$F$5:$F$34)</f>
        <v>3.14</v>
      </c>
      <c r="F643">
        <f>SUMIF('P09-SubconScore'!$C$5:$C$34,$A643,'P09-SubconScore'!$I$5:$I$34)</f>
        <v>123</v>
      </c>
    </row>
    <row r="644" spans="1:7">
      <c r="A644" t="s">
        <v>317</v>
      </c>
      <c r="B644">
        <f>COUNTIF('P09-SubconScore'!$C$5:$C$34,$A644)</f>
        <v>10</v>
      </c>
      <c r="C644" s="22">
        <f>AVERAGEIF('P09-SubconScore'!$C$5:$C$34,$A644,'P09-SubconScore'!$J$5:$J$34)</f>
        <v>3.4735</v>
      </c>
      <c r="D644" s="22">
        <f>AVERAGEIF('P09-SubconScore'!$C$5:$C$34,$A644,'P09-SubconScore'!$D$5:$D$34)</f>
        <v>3.08</v>
      </c>
      <c r="E644" s="22">
        <f>AVERAGEIF('P09-SubconScore'!$C$5:$C$34,$A644,'P09-SubconScore'!$F$5:$F$34)</f>
        <v>3.5100000000000002</v>
      </c>
      <c r="F644">
        <f>SUMIF('P09-SubconScore'!$C$5:$C$34,$A644,'P09-SubconScore'!$I$5:$I$34)</f>
        <v>130</v>
      </c>
    </row>
    <row r="645" spans="1:7">
      <c r="A645" t="s">
        <v>318</v>
      </c>
      <c r="B645">
        <f>COUNTIF('P09-SubconScore'!$C$5:$C$34,$A645)</f>
        <v>10</v>
      </c>
      <c r="C645" s="22">
        <f>AVERAGEIF('P09-SubconScore'!$C$5:$C$34,$A645,'P09-SubconScore'!$J$5:$J$34)</f>
        <v>3.431</v>
      </c>
      <c r="D645" s="22">
        <f>AVERAGEIF('P09-SubconScore'!$C$5:$C$34,$A645,'P09-SubconScore'!$D$5:$D$34)</f>
        <v>3.4400000000000004</v>
      </c>
      <c r="E645" s="22">
        <f>AVERAGEIF('P09-SubconScore'!$C$5:$C$34,$A645,'P09-SubconScore'!$F$5:$F$34)</f>
        <v>3.7</v>
      </c>
      <c r="F645">
        <f>SUMIF('P09-SubconScore'!$C$5:$C$34,$A645,'P09-SubconScore'!$I$5:$I$34)</f>
        <v>172</v>
      </c>
    </row>
    <row r="646" spans="1:7">
      <c r="A646" s="36" t="s">
        <v>1536</v>
      </c>
      <c r="B646" s="36">
        <f>COUNT('P09-SubconScore'!$J$5:$J$34)</f>
        <v>30</v>
      </c>
      <c r="C646" s="62">
        <f>AVERAGE('P09-SubconScore'!$J$5:$J$34)</f>
        <v>3.4316666666666666</v>
      </c>
      <c r="D646" s="62">
        <f>AVERAGE('P09-SubconScore'!$D$5:$D$34)</f>
        <v>3.3533333333333322</v>
      </c>
      <c r="E646" s="62">
        <f>AVERAGE('P09-SubconScore'!$F$5:$F$34)</f>
        <v>3.4499999999999997</v>
      </c>
      <c r="F646" s="36">
        <f>SUM('P09-SubconScore'!$I$5:$I$34)</f>
        <v>425</v>
      </c>
    </row>
    <row r="647" spans="1:7">
      <c r="A647" s="44" t="str">
        <f>"ANSWER: "&amp;INDEX($A$643:$A$645,MATCH(MIN($C$643:$C$645),$C$643:$C$645,0))&amp;" is the weakest project for subcontractor performance (avg weighted score "&amp;TEXT(MIN($C$643:$C$645),"0.00")&amp;" vs portfolio "&amp;TEXT($C$646,"0.00")&amp;"), while "&amp;INDEX($A$643:$A$645,MATCH(MAX($C$643:$C$645),$C$643:$C$645,0))&amp;" is the strongest at "&amp;TEXT(MAX($C$643:$C$645),"0.00")&amp;". The spread is "&amp;TEXT(MAX($C$643:$C$645)-MIN($C$643:$C$645),"0.00")&amp;" points, so "&amp;IF(MAX($C$643:$C$645)-MIN($C$643:$C$645)&gt;0.5,"one project is a genuine outlier and its supervision model should be reviewed.","no project is a consistent outlier — performance differences are marginal.")</f>
        <v>ANSWER: WT-DC-MUM-01 is the weakest project for subcontractor performance (avg weighted score 3.39 vs portfolio 3.43), while WT-OFF-SYD-02 is the strongest at 3.47. The spread is 0.08 points, so no project is a consistent outlier — performance differences are marginal.</v>
      </c>
    </row>
    <row r="649" spans="1:7">
      <c r="A649" s="41" t="s">
        <v>1597</v>
      </c>
      <c r="B649" s="41"/>
      <c r="C649" s="41"/>
      <c r="D649" s="41"/>
      <c r="E649" s="41"/>
      <c r="F649" s="41"/>
      <c r="G649" s="41"/>
    </row>
    <row r="650" spans="1:7">
      <c r="A650" s="42" t="s">
        <v>1598</v>
      </c>
    </row>
    <row r="651" spans="1:7">
      <c r="A651" s="43" t="s">
        <v>71</v>
      </c>
      <c r="B651" s="43" t="s">
        <v>1599</v>
      </c>
      <c r="C651" s="43" t="s">
        <v>1316</v>
      </c>
      <c r="D651" s="43" t="s">
        <v>1600</v>
      </c>
      <c r="E651" s="43" t="s">
        <v>1458</v>
      </c>
      <c r="F651" s="43" t="s">
        <v>1601</v>
      </c>
    </row>
    <row r="652" spans="1:7">
      <c r="A652" t="s">
        <v>95</v>
      </c>
      <c r="B652" s="48">
        <f>AVERAGEIF('P10-Benchmark'!$D$5:$D$44,$A652,'P10-Benchmark'!$G$5:$G$44)</f>
        <v>3677.1111111111113</v>
      </c>
      <c r="C652">
        <f>COUNTIF('P10-Benchmark'!$D$5:$D$44,$A652)</f>
        <v>18</v>
      </c>
      <c r="D652" s="46">
        <f>SUMIF('P10-Benchmark'!$D$5:$D$44,$A652,'P10-Benchmark'!$E$5:$E$44)</f>
        <v>1240702</v>
      </c>
      <c r="E652" s="48">
        <f>SUMIF('P10-Benchmark'!$D$5:$D$44,$A652,'P10-Benchmark'!$F$5:$F$44)</f>
        <v>4775441848</v>
      </c>
      <c r="F652" s="48">
        <f>E652/D652</f>
        <v>3848.9837591943915</v>
      </c>
    </row>
    <row r="653" spans="1:7">
      <c r="A653" t="s">
        <v>81</v>
      </c>
      <c r="B653" s="48">
        <f>AVERAGEIF('P10-Benchmark'!$D$5:$D$44,$A653,'P10-Benchmark'!$G$5:$G$44)</f>
        <v>670.4</v>
      </c>
      <c r="C653">
        <f>COUNTIF('P10-Benchmark'!$D$5:$D$44,$A653)</f>
        <v>15</v>
      </c>
      <c r="D653" s="46">
        <f>SUMIF('P10-Benchmark'!$D$5:$D$44,$A653,'P10-Benchmark'!$E$5:$E$44)</f>
        <v>993039</v>
      </c>
      <c r="E653" s="48">
        <f>SUMIF('P10-Benchmark'!$D$5:$D$44,$A653,'P10-Benchmark'!$F$5:$F$44)</f>
        <v>695290875</v>
      </c>
      <c r="F653" s="48">
        <f>E653/D653</f>
        <v>700.16472162724722</v>
      </c>
    </row>
    <row r="654" spans="1:7">
      <c r="A654" t="s">
        <v>111</v>
      </c>
      <c r="B654" s="48">
        <f>AVERAGEIF('P10-Benchmark'!$D$5:$D$44,$A654,'P10-Benchmark'!$G$5:$G$44)</f>
        <v>2993</v>
      </c>
      <c r="C654">
        <f>COUNTIF('P10-Benchmark'!$D$5:$D$44,$A654)</f>
        <v>7</v>
      </c>
      <c r="D654" s="46">
        <f>SUMIF('P10-Benchmark'!$D$5:$D$44,$A654,'P10-Benchmark'!$E$5:$E$44)</f>
        <v>596049</v>
      </c>
      <c r="E654" s="48">
        <f>SUMIF('P10-Benchmark'!$D$5:$D$44,$A654,'P10-Benchmark'!$F$5:$F$44)</f>
        <v>1809186062</v>
      </c>
      <c r="F654" s="48">
        <f>E654/D654</f>
        <v>3035.2975376185514</v>
      </c>
    </row>
    <row r="655" spans="1:7">
      <c r="A655" s="36" t="s">
        <v>1602</v>
      </c>
      <c r="B655" s="49">
        <f>AVERAGE('P10-Benchmark'!$G$5:$G$44)</f>
        <v>2429.875</v>
      </c>
      <c r="C655" s="36">
        <f>COUNT('P10-Benchmark'!$G$5:$G$44)</f>
        <v>40</v>
      </c>
      <c r="D655" s="68">
        <f>SUM('P10-Benchmark'!$E$5:$E$44)</f>
        <v>2829790</v>
      </c>
      <c r="E655" s="49">
        <f>SUM('P10-Benchmark'!$F$5:$F$44)</f>
        <v>7279918785</v>
      </c>
      <c r="F655" s="49">
        <f>E655/D655</f>
        <v>2572.60036433799</v>
      </c>
    </row>
    <row r="656" spans="1:7">
      <c r="A656" s="44" t="str">
        <f>"ANSWER: "&amp;INDEX($A$652:$A$654,MATCH(MAX($B$652:$B$654),$B$652:$B$654,0))&amp;" is the most expensive market at "&amp;TEXT(MAX($B$652:$B$654),"""$""#,##0")&amp;"/sqm, "&amp;INDEX($A$652:$A$654,MATCH(MIN($B$652:$B$654),$B$652:$B$654,0))&amp;" the cheapest at "&amp;TEXT(MIN($B$652:$B$654),"""$""#,##0")&amp;"/sqm — a "&amp;TEXT(MAX($B$652:$B$654)/MIN($B$652:$B$654)-1,"0.0%")&amp;" premium. Global average: "&amp;TEXT($B$655,"""$""#,##0")&amp;"/sqm."</f>
        <v>ANSWER: Australia is the most expensive market at $3,677/sqm, India the cheapest at $670/sqm — a 448.5% premium. Global average: $2,430/sqm.</v>
      </c>
    </row>
    <row r="658" spans="1:6">
      <c r="A658" s="42" t="s">
        <v>826</v>
      </c>
    </row>
    <row r="659" spans="1:6">
      <c r="A659" s="43" t="s">
        <v>1237</v>
      </c>
      <c r="B659" s="43" t="s">
        <v>1599</v>
      </c>
      <c r="C659" s="43" t="s">
        <v>1316</v>
      </c>
      <c r="D659" s="43" t="s">
        <v>1603</v>
      </c>
      <c r="E659" s="43" t="s">
        <v>1604</v>
      </c>
      <c r="F659" s="43" t="s">
        <v>1458</v>
      </c>
    </row>
    <row r="660" spans="1:6">
      <c r="A660" t="s">
        <v>89</v>
      </c>
      <c r="B660" s="48">
        <f>IFERROR(AVERAGEIF('P10-Benchmark'!$B$5:$B$44,$A660,'P10-Benchmark'!$G$5:$G$44),"-")</f>
        <v>1731.7777777777778</v>
      </c>
      <c r="C660">
        <f>COUNTIF('P10-Benchmark'!$B$5:$B$44,$A660)</f>
        <v>9</v>
      </c>
      <c r="D660" s="48">
        <f>IFERROR(_xlfn.MINIFS('P10-Benchmark'!$G$5:$G$44,'P10-Benchmark'!$B$5:$B$44,$A660),"-")</f>
        <v>407</v>
      </c>
      <c r="E660" s="48">
        <f>IFERROR(_xlfn.MAXIFS('P10-Benchmark'!$G$5:$G$44,'P10-Benchmark'!$B$5:$B$44,$A660),"-")</f>
        <v>4728</v>
      </c>
      <c r="F660" s="48">
        <f>SUMIF('P10-Benchmark'!$B$5:$B$44,$A660,'P10-Benchmark'!$F$5:$F$44)</f>
        <v>649785313</v>
      </c>
    </row>
    <row r="661" spans="1:6">
      <c r="A661" t="s">
        <v>82</v>
      </c>
      <c r="B661" s="48">
        <f>IFERROR(AVERAGEIF('P10-Benchmark'!$B$5:$B$44,$A661,'P10-Benchmark'!$G$5:$G$44),"-")</f>
        <v>3299.75</v>
      </c>
      <c r="C661">
        <f>COUNTIF('P10-Benchmark'!$B$5:$B$44,$A661)</f>
        <v>4</v>
      </c>
      <c r="D661" s="48">
        <f>IFERROR(_xlfn.MINIFS('P10-Benchmark'!$G$5:$G$44,'P10-Benchmark'!$B$5:$B$44,$A661),"-")</f>
        <v>2356</v>
      </c>
      <c r="E661" s="48">
        <f>IFERROR(_xlfn.MAXIFS('P10-Benchmark'!$G$5:$G$44,'P10-Benchmark'!$B$5:$B$44,$A661),"-")</f>
        <v>4574</v>
      </c>
      <c r="F661" s="48">
        <f>SUMIF('P10-Benchmark'!$B$5:$B$44,$A661,'P10-Benchmark'!$F$5:$F$44)</f>
        <v>1088349704</v>
      </c>
    </row>
    <row r="662" spans="1:6">
      <c r="A662" t="s">
        <v>150</v>
      </c>
      <c r="B662" s="48">
        <f>IFERROR(AVERAGEIF('P10-Benchmark'!$B$5:$B$44,$A662,'P10-Benchmark'!$G$5:$G$44),"-")</f>
        <v>2812.5</v>
      </c>
      <c r="C662">
        <f>COUNTIF('P10-Benchmark'!$B$5:$B$44,$A662)</f>
        <v>4</v>
      </c>
      <c r="D662" s="48">
        <f>IFERROR(_xlfn.MINIFS('P10-Benchmark'!$G$5:$G$44,'P10-Benchmark'!$B$5:$B$44,$A662),"-")</f>
        <v>816</v>
      </c>
      <c r="E662" s="48">
        <f>IFERROR(_xlfn.MAXIFS('P10-Benchmark'!$G$5:$G$44,'P10-Benchmark'!$B$5:$B$44,$A662),"-")</f>
        <v>3622</v>
      </c>
      <c r="F662" s="48">
        <f>SUMIF('P10-Benchmark'!$B$5:$B$44,$A662,'P10-Benchmark'!$F$5:$F$44)</f>
        <v>635255972</v>
      </c>
    </row>
    <row r="663" spans="1:6">
      <c r="A663" t="s">
        <v>96</v>
      </c>
      <c r="B663" s="48">
        <f>IFERROR(AVERAGEIF('P10-Benchmark'!$B$5:$B$44,$A663,'P10-Benchmark'!$G$5:$G$44),"-")</f>
        <v>2278</v>
      </c>
      <c r="C663">
        <f>COUNTIF('P10-Benchmark'!$B$5:$B$44,$A663)</f>
        <v>6</v>
      </c>
      <c r="D663" s="48">
        <f>IFERROR(_xlfn.MINIFS('P10-Benchmark'!$G$5:$G$44,'P10-Benchmark'!$B$5:$B$44,$A663),"-")</f>
        <v>471</v>
      </c>
      <c r="E663" s="48">
        <f>IFERROR(_xlfn.MAXIFS('P10-Benchmark'!$G$5:$G$44,'P10-Benchmark'!$B$5:$B$44,$A663),"-")</f>
        <v>4677</v>
      </c>
      <c r="F663" s="48">
        <f>SUMIF('P10-Benchmark'!$B$5:$B$44,$A663,'P10-Benchmark'!$F$5:$F$44)</f>
        <v>1144180217</v>
      </c>
    </row>
    <row r="664" spans="1:6">
      <c r="A664" t="s">
        <v>107</v>
      </c>
      <c r="B664" s="48">
        <f>IFERROR(AVERAGEIF('P10-Benchmark'!$B$5:$B$44,$A664,'P10-Benchmark'!$G$5:$G$44),"-")</f>
        <v>3859</v>
      </c>
      <c r="C664">
        <f>COUNTIF('P10-Benchmark'!$B$5:$B$44,$A664)</f>
        <v>3</v>
      </c>
      <c r="D664" s="48">
        <f>IFERROR(_xlfn.MINIFS('P10-Benchmark'!$G$5:$G$44,'P10-Benchmark'!$B$5:$B$44,$A664),"-")</f>
        <v>1998</v>
      </c>
      <c r="E664" s="48">
        <f>IFERROR(_xlfn.MAXIFS('P10-Benchmark'!$G$5:$G$44,'P10-Benchmark'!$B$5:$B$44,$A664),"-")</f>
        <v>4797</v>
      </c>
      <c r="F664" s="48">
        <f>SUMIF('P10-Benchmark'!$B$5:$B$44,$A664,'P10-Benchmark'!$F$5:$F$44)</f>
        <v>1342280112</v>
      </c>
    </row>
    <row r="665" spans="1:6">
      <c r="A665" t="s">
        <v>85</v>
      </c>
      <c r="B665" s="48">
        <f>IFERROR(AVERAGEIF('P10-Benchmark'!$B$5:$B$44,$A665,'P10-Benchmark'!$G$5:$G$44),"-")</f>
        <v>2933.6666666666665</v>
      </c>
      <c r="C665">
        <f>COUNTIF('P10-Benchmark'!$B$5:$B$44,$A665)</f>
        <v>3</v>
      </c>
      <c r="D665" s="48">
        <f>IFERROR(_xlfn.MINIFS('P10-Benchmark'!$G$5:$G$44,'P10-Benchmark'!$B$5:$B$44,$A665),"-")</f>
        <v>878</v>
      </c>
      <c r="E665" s="48">
        <f>IFERROR(_xlfn.MAXIFS('P10-Benchmark'!$G$5:$G$44,'P10-Benchmark'!$B$5:$B$44,$A665),"-")</f>
        <v>4598</v>
      </c>
      <c r="F665" s="48">
        <f>SUMIF('P10-Benchmark'!$B$5:$B$44,$A665,'P10-Benchmark'!$F$5:$F$44)</f>
        <v>1067677998</v>
      </c>
    </row>
    <row r="666" spans="1:6">
      <c r="A666" t="s">
        <v>100</v>
      </c>
      <c r="B666" s="48">
        <f>IFERROR(AVERAGEIF('P10-Benchmark'!$B$5:$B$44,$A666,'P10-Benchmark'!$G$5:$G$44),"-")</f>
        <v>1813.3333333333333</v>
      </c>
      <c r="C666">
        <f>COUNTIF('P10-Benchmark'!$B$5:$B$44,$A666)</f>
        <v>3</v>
      </c>
      <c r="D666" s="48">
        <f>IFERROR(_xlfn.MINIFS('P10-Benchmark'!$G$5:$G$44,'P10-Benchmark'!$B$5:$B$44,$A666),"-")</f>
        <v>400</v>
      </c>
      <c r="E666" s="48">
        <f>IFERROR(_xlfn.MAXIFS('P10-Benchmark'!$G$5:$G$44,'P10-Benchmark'!$B$5:$B$44,$A666),"-")</f>
        <v>4197</v>
      </c>
      <c r="F666" s="48">
        <f>SUMIF('P10-Benchmark'!$B$5:$B$44,$A666,'P10-Benchmark'!$F$5:$F$44)</f>
        <v>189149393</v>
      </c>
    </row>
    <row r="667" spans="1:6">
      <c r="A667" t="s">
        <v>129</v>
      </c>
      <c r="B667" s="48">
        <f>IFERROR(AVERAGEIF('P10-Benchmark'!$B$5:$B$44,$A667,'P10-Benchmark'!$G$5:$G$44),"-")</f>
        <v>2381</v>
      </c>
      <c r="C667">
        <f>COUNTIF('P10-Benchmark'!$B$5:$B$44,$A667)</f>
        <v>1</v>
      </c>
      <c r="D667" s="48">
        <f>IFERROR(_xlfn.MINIFS('P10-Benchmark'!$G$5:$G$44,'P10-Benchmark'!$B$5:$B$44,$A667),"-")</f>
        <v>2381</v>
      </c>
      <c r="E667" s="48">
        <f>IFERROR(_xlfn.MAXIFS('P10-Benchmark'!$G$5:$G$44,'P10-Benchmark'!$B$5:$B$44,$A667),"-")</f>
        <v>2381</v>
      </c>
      <c r="F667" s="48">
        <f>SUMIF('P10-Benchmark'!$B$5:$B$44,$A667,'P10-Benchmark'!$F$5:$F$44)</f>
        <v>13447888</v>
      </c>
    </row>
    <row r="668" spans="1:6">
      <c r="A668" t="s">
        <v>123</v>
      </c>
      <c r="B668" s="48">
        <f>IFERROR(AVERAGEIF('P10-Benchmark'!$B$5:$B$44,$A668,'P10-Benchmark'!$G$5:$G$44),"-")</f>
        <v>1902.75</v>
      </c>
      <c r="C668">
        <f>COUNTIF('P10-Benchmark'!$B$5:$B$44,$A668)</f>
        <v>4</v>
      </c>
      <c r="D668" s="48">
        <f>IFERROR(_xlfn.MINIFS('P10-Benchmark'!$G$5:$G$44,'P10-Benchmark'!$B$5:$B$44,$A668),"-")</f>
        <v>602</v>
      </c>
      <c r="E668" s="48">
        <f>IFERROR(_xlfn.MAXIFS('P10-Benchmark'!$G$5:$G$44,'P10-Benchmark'!$B$5:$B$44,$A668),"-")</f>
        <v>3567</v>
      </c>
      <c r="F668" s="48">
        <f>SUMIF('P10-Benchmark'!$B$5:$B$44,$A668,'P10-Benchmark'!$F$5:$F$44)</f>
        <v>572618609</v>
      </c>
    </row>
    <row r="669" spans="1:6">
      <c r="A669" t="s">
        <v>117</v>
      </c>
      <c r="B669" s="48">
        <f>IFERROR(AVERAGEIF('P10-Benchmark'!$B$5:$B$44,$A669,'P10-Benchmark'!$G$5:$G$44),"-")</f>
        <v>2560.6666666666665</v>
      </c>
      <c r="C669">
        <f>COUNTIF('P10-Benchmark'!$B$5:$B$44,$A669)</f>
        <v>3</v>
      </c>
      <c r="D669" s="48">
        <f>IFERROR(_xlfn.MINIFS('P10-Benchmark'!$G$5:$G$44,'P10-Benchmark'!$B$5:$B$44,$A669),"-")</f>
        <v>440</v>
      </c>
      <c r="E669" s="48">
        <f>IFERROR(_xlfn.MAXIFS('P10-Benchmark'!$G$5:$G$44,'P10-Benchmark'!$B$5:$B$44,$A669),"-")</f>
        <v>4241</v>
      </c>
      <c r="F669" s="48">
        <f>SUMIF('P10-Benchmark'!$B$5:$B$44,$A669,'P10-Benchmark'!$F$5:$F$44)</f>
        <v>577173579</v>
      </c>
    </row>
    <row r="670" spans="1:6">
      <c r="A670" s="44" t="str">
        <f>"ANSWER: Highest cost per sqm globally is "&amp;INDEX($A$660:$A$669,MATCH(MAX($B$660:$B$669),$B$660:$B$669,0))&amp;" at "&amp;TEXT(MAX($B$660:$B$669),"""$""#,##0")&amp;"/sqm; lowest is "&amp;INDEX($A$660:$A$669,MATCH(MIN($B$660:$B$669),$B$660:$B$669,0))&amp;" at "&amp;TEXT(MIN($B$660:$B$669),"""$""#,##0")&amp;"/sqm — a spread of "&amp;TEXT(MAX($B$660:$B$669)-MIN($B$660:$B$669),"""$""#,##0")&amp;"/sqm ("&amp;TEXT(MAX($B$660:$B$669)/MIN($B$660:$B$669),"0.0")&amp;"x)."</f>
        <v>ANSWER: Highest cost per sqm globally is Hotel at $3,859/sqm; lowest is Data Centre at $1,732/sqm — a spread of $2,127/sqm (2.2x).</v>
      </c>
    </row>
    <row r="672" spans="1:6">
      <c r="A672" s="42" t="s">
        <v>1605</v>
      </c>
    </row>
    <row r="673" spans="1:6">
      <c r="A673" s="43" t="s">
        <v>784</v>
      </c>
      <c r="B673" s="43" t="s">
        <v>95</v>
      </c>
      <c r="C673" s="43" t="s">
        <v>81</v>
      </c>
      <c r="D673" s="43" t="s">
        <v>111</v>
      </c>
      <c r="E673" s="43" t="s">
        <v>1606</v>
      </c>
      <c r="F673" s="43" t="s">
        <v>1316</v>
      </c>
    </row>
    <row r="674" spans="1:6">
      <c r="A674">
        <v>2022</v>
      </c>
      <c r="B674" s="48">
        <f>IFERROR(AVERAGEIFS('P10-Benchmark'!$G$5:$G$44,'P10-Benchmark'!$H$5:$H$44,$A674,'P10-Benchmark'!$D$5:$D$44,B$673),"-")</f>
        <v>3476.6666666666665</v>
      </c>
      <c r="C674" s="48">
        <f>IFERROR(AVERAGEIFS('P10-Benchmark'!$G$5:$G$44,'P10-Benchmark'!$H$5:$H$44,$A674,'P10-Benchmark'!$D$5:$D$44,C$673),"-")</f>
        <v>417.33333333333331</v>
      </c>
      <c r="D674" s="48">
        <f>IFERROR(AVERAGEIFS('P10-Benchmark'!$G$5:$G$44,'P10-Benchmark'!$H$5:$H$44,$A674,'P10-Benchmark'!$D$5:$D$44,D$673),"-")</f>
        <v>3119</v>
      </c>
      <c r="E674" s="48">
        <f>AVERAGEIF('P10-Benchmark'!$H$5:$H$44,$A674,'P10-Benchmark'!$G$5:$G$44)</f>
        <v>2415.8000000000002</v>
      </c>
      <c r="F674">
        <f>COUNTIF('P10-Benchmark'!$H$5:$H$44,$A674)</f>
        <v>10</v>
      </c>
    </row>
    <row r="675" spans="1:6">
      <c r="A675">
        <v>2023</v>
      </c>
      <c r="B675" s="48">
        <f>IFERROR(AVERAGEIFS('P10-Benchmark'!$G$5:$G$44,'P10-Benchmark'!$H$5:$H$44,$A675,'P10-Benchmark'!$D$5:$D$44,B$673),"-")</f>
        <v>4303</v>
      </c>
      <c r="C675" s="48">
        <f>IFERROR(AVERAGEIFS('P10-Benchmark'!$G$5:$G$44,'P10-Benchmark'!$H$5:$H$44,$A675,'P10-Benchmark'!$D$5:$D$44,C$673),"-")</f>
        <v>628.33333333333337</v>
      </c>
      <c r="D675" s="48" t="str">
        <f>IFERROR(AVERAGEIFS('P10-Benchmark'!$G$5:$G$44,'P10-Benchmark'!$H$5:$H$44,$A675,'P10-Benchmark'!$D$5:$D$44,D$673),"-")</f>
        <v>-</v>
      </c>
      <c r="E675" s="48">
        <f>AVERAGEIF('P10-Benchmark'!$H$5:$H$44,$A675,'P10-Benchmark'!$G$5:$G$44)</f>
        <v>2925</v>
      </c>
      <c r="F675">
        <f>COUNTIF('P10-Benchmark'!$H$5:$H$44,$A675)</f>
        <v>8</v>
      </c>
    </row>
    <row r="676" spans="1:6">
      <c r="A676">
        <v>2024</v>
      </c>
      <c r="B676" s="48">
        <f>IFERROR(AVERAGEIFS('P10-Benchmark'!$G$5:$G$44,'P10-Benchmark'!$H$5:$H$44,$A676,'P10-Benchmark'!$D$5:$D$44,B$673),"-")</f>
        <v>3099</v>
      </c>
      <c r="C676" s="48">
        <f>IFERROR(AVERAGEIFS('P10-Benchmark'!$G$5:$G$44,'P10-Benchmark'!$H$5:$H$44,$A676,'P10-Benchmark'!$D$5:$D$44,C$673),"-")</f>
        <v>807</v>
      </c>
      <c r="D676" s="48" t="str">
        <f>IFERROR(AVERAGEIFS('P10-Benchmark'!$G$5:$G$44,'P10-Benchmark'!$H$5:$H$44,$A676,'P10-Benchmark'!$D$5:$D$44,D$673),"-")</f>
        <v>-</v>
      </c>
      <c r="E676" s="48">
        <f>AVERAGEIF('P10-Benchmark'!$H$5:$H$44,$A676,'P10-Benchmark'!$G$5:$G$44)</f>
        <v>2444.1428571428573</v>
      </c>
      <c r="F676">
        <f>COUNTIF('P10-Benchmark'!$H$5:$H$44,$A676)</f>
        <v>7</v>
      </c>
    </row>
    <row r="677" spans="1:6">
      <c r="A677">
        <v>2025</v>
      </c>
      <c r="B677" s="48">
        <f>IFERROR(AVERAGEIFS('P10-Benchmark'!$G$5:$G$44,'P10-Benchmark'!$H$5:$H$44,$A677,'P10-Benchmark'!$D$5:$D$44,B$673),"-")</f>
        <v>3749.6</v>
      </c>
      <c r="C677" s="48">
        <f>IFERROR(AVERAGEIFS('P10-Benchmark'!$G$5:$G$44,'P10-Benchmark'!$H$5:$H$44,$A677,'P10-Benchmark'!$D$5:$D$44,C$673),"-")</f>
        <v>757.85714285714289</v>
      </c>
      <c r="D677" s="48">
        <f>IFERROR(AVERAGEIFS('P10-Benchmark'!$G$5:$G$44,'P10-Benchmark'!$H$5:$H$44,$A677,'P10-Benchmark'!$D$5:$D$44,D$673),"-")</f>
        <v>2825</v>
      </c>
      <c r="E677" s="48">
        <f>AVERAGEIF('P10-Benchmark'!$H$5:$H$44,$A677,'P10-Benchmark'!$G$5:$G$44)</f>
        <v>2168.5333333333333</v>
      </c>
      <c r="F677">
        <f>COUNTIF('P10-Benchmark'!$H$5:$H$44,$A677)</f>
        <v>15</v>
      </c>
    </row>
    <row r="678" spans="1:6">
      <c r="A678" s="36" t="s">
        <v>1607</v>
      </c>
      <c r="B678" s="45">
        <f>B677/B674-1</f>
        <v>7.8504314477468862E-2</v>
      </c>
      <c r="C678" s="45">
        <f>C677/C674-1</f>
        <v>0.81595162026471946</v>
      </c>
      <c r="D678" s="45">
        <f>D677/D674-1</f>
        <v>-9.4260981083680639E-2</v>
      </c>
      <c r="E678" s="45">
        <f>E677/E674-1</f>
        <v>-0.10235394762259575</v>
      </c>
      <c r="F678" s="36"/>
    </row>
    <row r="679" spans="1:6">
      <c r="A679" s="44" t="str">
        <f>"ANSWER: Global average cost per sqm moved from "&amp;TEXT($E$674,"""$""#,##0")&amp;" in 2022 to "&amp;TEXT($E$677,"""$""#,##0")&amp;" in 2025, "&amp;TEXT($E$678,"0.0%")&amp;" over the period. By country: Australia "&amp;TEXT($B$678,"0.0%")&amp;", India "&amp;TEXT($C$678,"0.0%")&amp;", New Zealand "&amp;TEXT($D$678,"0.0%")&amp;". "&amp;IF($E$678&gt;0,"Costs are rising — build escalation allowances into new bids.","Costs are flat or falling on this sample, but yearly samples are small (see column F).")</f>
        <v>ANSWER: Global average cost per sqm moved from $2,416 in 2022 to $2,169 in 2025, -10.2% over the period. By country: Australia 7.9%, India 81.6%, New Zealand -9.4%. Costs are flat or falling on this sample, but yearly samples are small (see column F).</v>
      </c>
    </row>
    <row r="681" spans="1:6">
      <c r="A681" s="42" t="s">
        <v>1608</v>
      </c>
    </row>
    <row r="682" spans="1:6">
      <c r="A682" s="43" t="s">
        <v>1237</v>
      </c>
      <c r="B682" s="43" t="s">
        <v>95</v>
      </c>
      <c r="C682" s="43" t="s">
        <v>81</v>
      </c>
      <c r="D682" s="43" t="s">
        <v>111</v>
      </c>
      <c r="E682" s="43" t="s">
        <v>1609</v>
      </c>
      <c r="F682" s="43" t="s">
        <v>1316</v>
      </c>
    </row>
    <row r="683" spans="1:6">
      <c r="A683" t="s">
        <v>89</v>
      </c>
      <c r="B683" s="48">
        <f>IFERROR(AVERAGEIFS('P10-Benchmark'!$G$5:$G$44,'P10-Benchmark'!$B$5:$B$44,$A683,'P10-Benchmark'!$D$5:$D$44,B$682),"")</f>
        <v>3687.5</v>
      </c>
      <c r="C683" s="48">
        <f>IFERROR(AVERAGEIFS('P10-Benchmark'!$G$5:$G$44,'P10-Benchmark'!$B$5:$B$44,$A683,'P10-Benchmark'!$D$5:$D$44,C$682),"")</f>
        <v>614.4</v>
      </c>
      <c r="D683" s="48">
        <f>IFERROR(AVERAGEIFS('P10-Benchmark'!$G$5:$G$44,'P10-Benchmark'!$B$5:$B$44,$A683,'P10-Benchmark'!$D$5:$D$44,D$682),"")</f>
        <v>2569.5</v>
      </c>
      <c r="E683" s="48">
        <f>AVERAGEIF('P10-Benchmark'!$B$5:$B$44,$A683,'P10-Benchmark'!$G$5:$G$44)</f>
        <v>1731.7777777777778</v>
      </c>
      <c r="F683">
        <f>COUNTIF('P10-Benchmark'!$B$5:$B$44,$A683)</f>
        <v>9</v>
      </c>
    </row>
    <row r="684" spans="1:6">
      <c r="A684" t="s">
        <v>82</v>
      </c>
      <c r="B684" s="48">
        <f>IFERROR(AVERAGEIFS('P10-Benchmark'!$G$5:$G$44,'P10-Benchmark'!$B$5:$B$44,$A684,'P10-Benchmark'!$D$5:$D$44,B$682),"")</f>
        <v>3299.75</v>
      </c>
      <c r="C684" s="48" t="str">
        <f>IFERROR(AVERAGEIFS('P10-Benchmark'!$G$5:$G$44,'P10-Benchmark'!$B$5:$B$44,$A684,'P10-Benchmark'!$D$5:$D$44,C$682),"")</f>
        <v/>
      </c>
      <c r="D684" s="48" t="str">
        <f>IFERROR(AVERAGEIFS('P10-Benchmark'!$G$5:$G$44,'P10-Benchmark'!$B$5:$B$44,$A684,'P10-Benchmark'!$D$5:$D$44,D$682),"")</f>
        <v/>
      </c>
      <c r="E684" s="48">
        <f>AVERAGEIF('P10-Benchmark'!$B$5:$B$44,$A684,'P10-Benchmark'!$G$5:$G$44)</f>
        <v>3299.75</v>
      </c>
      <c r="F684">
        <f>COUNTIF('P10-Benchmark'!$B$5:$B$44,$A684)</f>
        <v>4</v>
      </c>
    </row>
    <row r="685" spans="1:6">
      <c r="A685" t="s">
        <v>150</v>
      </c>
      <c r="B685" s="48">
        <f>IFERROR(AVERAGEIFS('P10-Benchmark'!$G$5:$G$44,'P10-Benchmark'!$B$5:$B$44,$A685,'P10-Benchmark'!$D$5:$D$44,B$682),"")</f>
        <v>3476</v>
      </c>
      <c r="C685" s="48">
        <f>IFERROR(AVERAGEIFS('P10-Benchmark'!$G$5:$G$44,'P10-Benchmark'!$B$5:$B$44,$A685,'P10-Benchmark'!$D$5:$D$44,C$682),"")</f>
        <v>816</v>
      </c>
      <c r="D685" s="48">
        <f>IFERROR(AVERAGEIFS('P10-Benchmark'!$G$5:$G$44,'P10-Benchmark'!$B$5:$B$44,$A685,'P10-Benchmark'!$D$5:$D$44,D$682),"")</f>
        <v>3479</v>
      </c>
      <c r="E685" s="48">
        <f>AVERAGEIF('P10-Benchmark'!$B$5:$B$44,$A685,'P10-Benchmark'!$G$5:$G$44)</f>
        <v>2812.5</v>
      </c>
      <c r="F685">
        <f>COUNTIF('P10-Benchmark'!$B$5:$B$44,$A685)</f>
        <v>4</v>
      </c>
    </row>
    <row r="686" spans="1:6">
      <c r="A686" t="s">
        <v>96</v>
      </c>
      <c r="B686" s="48">
        <f>IFERROR(AVERAGEIFS('P10-Benchmark'!$G$5:$G$44,'P10-Benchmark'!$B$5:$B$44,$A686,'P10-Benchmark'!$D$5:$D$44,B$682),"")</f>
        <v>4677</v>
      </c>
      <c r="C686" s="48">
        <f>IFERROR(AVERAGEIFS('P10-Benchmark'!$G$5:$G$44,'P10-Benchmark'!$B$5:$B$44,$A686,'P10-Benchmark'!$D$5:$D$44,C$682),"")</f>
        <v>711.66666666666663</v>
      </c>
      <c r="D686" s="48">
        <f>IFERROR(AVERAGEIFS('P10-Benchmark'!$G$5:$G$44,'P10-Benchmark'!$B$5:$B$44,$A686,'P10-Benchmark'!$D$5:$D$44,D$682),"")</f>
        <v>3428</v>
      </c>
      <c r="E686" s="48">
        <f>AVERAGEIF('P10-Benchmark'!$B$5:$B$44,$A686,'P10-Benchmark'!$G$5:$G$44)</f>
        <v>2278</v>
      </c>
      <c r="F686">
        <f>COUNTIF('P10-Benchmark'!$B$5:$B$44,$A686)</f>
        <v>6</v>
      </c>
    </row>
    <row r="687" spans="1:6">
      <c r="A687" t="s">
        <v>107</v>
      </c>
      <c r="B687" s="48">
        <f>IFERROR(AVERAGEIFS('P10-Benchmark'!$G$5:$G$44,'P10-Benchmark'!$B$5:$B$44,$A687,'P10-Benchmark'!$D$5:$D$44,B$682),"")</f>
        <v>4789.5</v>
      </c>
      <c r="C687" s="48" t="str">
        <f>IFERROR(AVERAGEIFS('P10-Benchmark'!$G$5:$G$44,'P10-Benchmark'!$B$5:$B$44,$A687,'P10-Benchmark'!$D$5:$D$44,C$682),"")</f>
        <v/>
      </c>
      <c r="D687" s="48">
        <f>IFERROR(AVERAGEIFS('P10-Benchmark'!$G$5:$G$44,'P10-Benchmark'!$B$5:$B$44,$A687,'P10-Benchmark'!$D$5:$D$44,D$682),"")</f>
        <v>1998</v>
      </c>
      <c r="E687" s="48">
        <f>AVERAGEIF('P10-Benchmark'!$B$5:$B$44,$A687,'P10-Benchmark'!$G$5:$G$44)</f>
        <v>3859</v>
      </c>
      <c r="F687">
        <f>COUNTIF('P10-Benchmark'!$B$5:$B$44,$A687)</f>
        <v>3</v>
      </c>
    </row>
    <row r="688" spans="1:6">
      <c r="A688" t="s">
        <v>85</v>
      </c>
      <c r="B688" s="48">
        <f>IFERROR(AVERAGEIFS('P10-Benchmark'!$G$5:$G$44,'P10-Benchmark'!$B$5:$B$44,$A688,'P10-Benchmark'!$D$5:$D$44,B$682),"")</f>
        <v>3961.5</v>
      </c>
      <c r="C688" s="48">
        <f>IFERROR(AVERAGEIFS('P10-Benchmark'!$G$5:$G$44,'P10-Benchmark'!$B$5:$B$44,$A688,'P10-Benchmark'!$D$5:$D$44,C$682),"")</f>
        <v>878</v>
      </c>
      <c r="D688" s="48" t="str">
        <f>IFERROR(AVERAGEIFS('P10-Benchmark'!$G$5:$G$44,'P10-Benchmark'!$B$5:$B$44,$A688,'P10-Benchmark'!$D$5:$D$44,D$682),"")</f>
        <v/>
      </c>
      <c r="E688" s="48">
        <f>AVERAGEIF('P10-Benchmark'!$B$5:$B$44,$A688,'P10-Benchmark'!$G$5:$G$44)</f>
        <v>2933.6666666666665</v>
      </c>
      <c r="F688">
        <f>COUNTIF('P10-Benchmark'!$B$5:$B$44,$A688)</f>
        <v>3</v>
      </c>
    </row>
    <row r="689" spans="1:17">
      <c r="A689" t="s">
        <v>100</v>
      </c>
      <c r="B689" s="48">
        <f>IFERROR(AVERAGEIFS('P10-Benchmark'!$G$5:$G$44,'P10-Benchmark'!$B$5:$B$44,$A689,'P10-Benchmark'!$D$5:$D$44,B$682),"")</f>
        <v>4197</v>
      </c>
      <c r="C689" s="48">
        <f>IFERROR(AVERAGEIFS('P10-Benchmark'!$G$5:$G$44,'P10-Benchmark'!$B$5:$B$44,$A689,'P10-Benchmark'!$D$5:$D$44,C$682),"")</f>
        <v>621.5</v>
      </c>
      <c r="D689" s="48" t="str">
        <f>IFERROR(AVERAGEIFS('P10-Benchmark'!$G$5:$G$44,'P10-Benchmark'!$B$5:$B$44,$A689,'P10-Benchmark'!$D$5:$D$44,D$682),"")</f>
        <v/>
      </c>
      <c r="E689" s="48">
        <f>AVERAGEIF('P10-Benchmark'!$B$5:$B$44,$A689,'P10-Benchmark'!$G$5:$G$44)</f>
        <v>1813.3333333333333</v>
      </c>
      <c r="F689">
        <f>COUNTIF('P10-Benchmark'!$B$5:$B$44,$A689)</f>
        <v>3</v>
      </c>
    </row>
    <row r="690" spans="1:17">
      <c r="A690" t="s">
        <v>129</v>
      </c>
      <c r="B690" s="48">
        <f>IFERROR(AVERAGEIFS('P10-Benchmark'!$G$5:$G$44,'P10-Benchmark'!$B$5:$B$44,$A690,'P10-Benchmark'!$D$5:$D$44,B$682),"")</f>
        <v>2381</v>
      </c>
      <c r="C690" s="48" t="str">
        <f>IFERROR(AVERAGEIFS('P10-Benchmark'!$G$5:$G$44,'P10-Benchmark'!$B$5:$B$44,$A690,'P10-Benchmark'!$D$5:$D$44,C$682),"")</f>
        <v/>
      </c>
      <c r="D690" s="48" t="str">
        <f>IFERROR(AVERAGEIFS('P10-Benchmark'!$G$5:$G$44,'P10-Benchmark'!$B$5:$B$44,$A690,'P10-Benchmark'!$D$5:$D$44,D$682),"")</f>
        <v/>
      </c>
      <c r="E690" s="48">
        <f>AVERAGEIF('P10-Benchmark'!$B$5:$B$44,$A690,'P10-Benchmark'!$G$5:$G$44)</f>
        <v>2381</v>
      </c>
      <c r="F690">
        <f>COUNTIF('P10-Benchmark'!$B$5:$B$44,$A690)</f>
        <v>1</v>
      </c>
    </row>
    <row r="691" spans="1:17">
      <c r="A691" t="s">
        <v>123</v>
      </c>
      <c r="B691" s="48">
        <f>IFERROR(AVERAGEIFS('P10-Benchmark'!$G$5:$G$44,'P10-Benchmark'!$B$5:$B$44,$A691,'P10-Benchmark'!$D$5:$D$44,B$682),"")</f>
        <v>3069.5</v>
      </c>
      <c r="C691" s="48">
        <f>IFERROR(AVERAGEIFS('P10-Benchmark'!$G$5:$G$44,'P10-Benchmark'!$B$5:$B$44,$A691,'P10-Benchmark'!$D$5:$D$44,C$682),"")</f>
        <v>736</v>
      </c>
      <c r="D691" s="48" t="str">
        <f>IFERROR(AVERAGEIFS('P10-Benchmark'!$G$5:$G$44,'P10-Benchmark'!$B$5:$B$44,$A691,'P10-Benchmark'!$D$5:$D$44,D$682),"")</f>
        <v/>
      </c>
      <c r="E691" s="48">
        <f>AVERAGEIF('P10-Benchmark'!$B$5:$B$44,$A691,'P10-Benchmark'!$G$5:$G$44)</f>
        <v>1902.75</v>
      </c>
      <c r="F691">
        <f>COUNTIF('P10-Benchmark'!$B$5:$B$44,$A691)</f>
        <v>4</v>
      </c>
    </row>
    <row r="692" spans="1:17">
      <c r="A692" t="s">
        <v>117</v>
      </c>
      <c r="B692" s="48">
        <f>IFERROR(AVERAGEIFS('P10-Benchmark'!$G$5:$G$44,'P10-Benchmark'!$B$5:$B$44,$A692,'P10-Benchmark'!$D$5:$D$44,B$682),"")</f>
        <v>3621</v>
      </c>
      <c r="C692" s="48">
        <f>IFERROR(AVERAGEIFS('P10-Benchmark'!$G$5:$G$44,'P10-Benchmark'!$B$5:$B$44,$A692,'P10-Benchmark'!$D$5:$D$44,C$682),"")</f>
        <v>440</v>
      </c>
      <c r="D692" s="48" t="str">
        <f>IFERROR(AVERAGEIFS('P10-Benchmark'!$G$5:$G$44,'P10-Benchmark'!$B$5:$B$44,$A692,'P10-Benchmark'!$D$5:$D$44,D$682),"")</f>
        <v/>
      </c>
      <c r="E692" s="48">
        <f>AVERAGEIF('P10-Benchmark'!$B$5:$B$44,$A692,'P10-Benchmark'!$G$5:$G$44)</f>
        <v>2560.6666666666665</v>
      </c>
      <c r="F692">
        <f>COUNTIF('P10-Benchmark'!$B$5:$B$44,$A692)</f>
        <v>3</v>
      </c>
    </row>
    <row r="693" spans="1:17">
      <c r="A693" s="36" t="s">
        <v>1610</v>
      </c>
      <c r="B693" s="49">
        <f>AVERAGEIF('P10-Benchmark'!$D$5:$D$44,B$682,'P10-Benchmark'!$G$5:$G$44)</f>
        <v>3677.1111111111113</v>
      </c>
      <c r="C693" s="49">
        <f>AVERAGEIF('P10-Benchmark'!$D$5:$D$44,C$682,'P10-Benchmark'!$G$5:$G$44)</f>
        <v>670.4</v>
      </c>
      <c r="D693" s="49">
        <f>AVERAGEIF('P10-Benchmark'!$D$5:$D$44,D$682,'P10-Benchmark'!$G$5:$G$44)</f>
        <v>2993</v>
      </c>
      <c r="E693" s="49">
        <f>AVERAGE('P10-Benchmark'!$G$5:$G$44)</f>
        <v>2429.875</v>
      </c>
      <c r="F693" s="36">
        <f>COUNT('P10-Benchmark'!$G$5:$G$44)</f>
        <v>40</v>
      </c>
    </row>
    <row r="694" spans="1:17">
      <c r="A694" s="44" t="str">
        <f>"ANSWER: The grid above is the benchmark table (blank = no project of that type in that country). The most expensive combination is "&amp;TEXT(MAX($B$683:$D$692),"""$""#,##0")&amp;"/sqm and the cheapest is "&amp;TEXT(MIN($B$683:$D$692),"""$""#,##0")&amp;"/sqm. Use the relevant cell as the rate base when pricing a new pursuit, then adjust for year (Q3) and specification."</f>
        <v>ANSWER: The grid above is the benchmark table (blank = no project of that type in that country). The most expensive combination is $4,790/sqm and the cheapest is $440/sqm. Use the relevant cell as the rate base when pricing a new pursuit, then adjust for year (Q3) and specification.</v>
      </c>
    </row>
    <row r="696" spans="1:17">
      <c r="A696" s="42" t="s">
        <v>1611</v>
      </c>
    </row>
    <row r="697" spans="1:17">
      <c r="A697" t="s">
        <v>1612</v>
      </c>
      <c r="B697" s="66">
        <v>1.5</v>
      </c>
      <c r="C697" t="s">
        <v>1613</v>
      </c>
      <c r="D697">
        <f>COUNTIF($Q$698:$Q$737,"&gt;"&amp;$B$697)</f>
        <v>0</v>
      </c>
      <c r="E697" t="s">
        <v>1614</v>
      </c>
      <c r="F697">
        <f>COUNT('P10-Benchmark'!$G$5:$G$44)</f>
        <v>40</v>
      </c>
      <c r="N697" s="63" t="s">
        <v>68</v>
      </c>
      <c r="O697" s="63" t="s">
        <v>1631</v>
      </c>
      <c r="P697" s="63" t="s">
        <v>1632</v>
      </c>
      <c r="Q697" s="63" t="s">
        <v>1633</v>
      </c>
    </row>
    <row r="698" spans="1:17">
      <c r="A698" s="43" t="s">
        <v>2</v>
      </c>
      <c r="B698" s="43" t="s">
        <v>68</v>
      </c>
      <c r="C698" s="43" t="s">
        <v>1237</v>
      </c>
      <c r="D698" s="43" t="s">
        <v>71</v>
      </c>
      <c r="E698" s="43" t="s">
        <v>1615</v>
      </c>
      <c r="F698" s="43" t="s">
        <v>1616</v>
      </c>
      <c r="G698" s="43" t="s">
        <v>1617</v>
      </c>
      <c r="N698" s="63" t="str">
        <f>'P10-Benchmark'!$A$5</f>
        <v>WT-BM-100</v>
      </c>
      <c r="O698" s="63" t="str">
        <f>'P10-Benchmark'!$B$5&amp;" | "&amp;'P10-Benchmark'!$D$5</f>
        <v>Hospital | Australia</v>
      </c>
      <c r="P698" s="63">
        <f>AVERAGEIFS('P10-Benchmark'!$G$5:$G$44,'P10-Benchmark'!$B$5:$B$44,'P10-Benchmark'!$B$5,'P10-Benchmark'!$D$5:$D$44,'P10-Benchmark'!$D$5)</f>
        <v>4677</v>
      </c>
      <c r="Q698" s="63">
        <f>'P10-Benchmark'!$G$5/$P698</f>
        <v>1</v>
      </c>
    </row>
    <row r="699" spans="1:17">
      <c r="A699">
        <v>1</v>
      </c>
      <c r="B699" t="str" cm="1">
        <f t="array" ref="B699">IFERROR(INDEX($N$698:$N$737,_xlfn.AGGREGATE(15,6,(ROW($Q$698:$Q$737)-697)/(($Q$698:$Q$737&gt;$B$697)*1),$A699)),"")</f>
        <v/>
      </c>
      <c r="C699" t="str" cm="1">
        <f t="array" ref="C699">IFERROR(INDEX('P10-Benchmark'!$B$5:$B$44,_xlfn.AGGREGATE(15,6,(ROW($Q$698:$Q$737)-697)/(($Q$698:$Q$737&gt;$B$697)*1),$A699)),"")</f>
        <v/>
      </c>
      <c r="D699" t="str" cm="1">
        <f t="array" ref="D699">IFERROR(INDEX('P10-Benchmark'!$D$5:$D$44,_xlfn.AGGREGATE(15,6,(ROW($Q$698:$Q$737)-697)/(($Q$698:$Q$737&gt;$B$697)*1),$A699)),"")</f>
        <v/>
      </c>
      <c r="E699" s="48" t="str" cm="1">
        <f t="array" ref="E699">IFERROR(INDEX('P10-Benchmark'!$G$5:$G$44,_xlfn.AGGREGATE(15,6,(ROW($Q$698:$Q$737)-697)/(($Q$698:$Q$737&gt;$B$697)*1),$A699)),"")</f>
        <v/>
      </c>
      <c r="F699" s="48" t="str" cm="1">
        <f t="array" ref="F699">IFERROR(INDEX($P$698:$P$737,_xlfn.AGGREGATE(15,6,(ROW($Q$698:$Q$737)-697)/(($Q$698:$Q$737&gt;$B$697)*1),$A699)),"")</f>
        <v/>
      </c>
      <c r="G699" s="22" t="str" cm="1">
        <f t="array" ref="G699">IFERROR(INDEX($Q$698:$Q$737,_xlfn.AGGREGATE(15,6,(ROW($Q$698:$Q$737)-697)/(($Q$698:$Q$737&gt;$B$697)*1),$A699)),"")</f>
        <v/>
      </c>
      <c r="N699" s="63" t="str">
        <f>'P10-Benchmark'!$A$6</f>
        <v>WT-BM-101</v>
      </c>
      <c r="O699" s="63" t="str">
        <f>'P10-Benchmark'!$B$6&amp;" | "&amp;'P10-Benchmark'!$D$6</f>
        <v>Commercial Office | Australia</v>
      </c>
      <c r="P699" s="63">
        <f>AVERAGEIFS('P10-Benchmark'!$G$5:$G$44,'P10-Benchmark'!$B$5:$B$44,'P10-Benchmark'!$B$6,'P10-Benchmark'!$D$5:$D$44,'P10-Benchmark'!$D$6)</f>
        <v>3299.75</v>
      </c>
      <c r="Q699" s="63">
        <f>'P10-Benchmark'!$G$6/$P699</f>
        <v>0.71399348435487542</v>
      </c>
    </row>
    <row r="700" spans="1:17">
      <c r="A700">
        <v>2</v>
      </c>
      <c r="B700" t="str" cm="1">
        <f t="array" ref="B700">IFERROR(INDEX($N$698:$N$737,_xlfn.AGGREGATE(15,6,(ROW($Q$698:$Q$737)-697)/(($Q$698:$Q$737&gt;$B$697)*1),$A700)),"")</f>
        <v/>
      </c>
      <c r="C700" t="str" cm="1">
        <f t="array" ref="C700">IFERROR(INDEX('P10-Benchmark'!$B$5:$B$44,_xlfn.AGGREGATE(15,6,(ROW($Q$698:$Q$737)-697)/(($Q$698:$Q$737&gt;$B$697)*1),$A700)),"")</f>
        <v/>
      </c>
      <c r="D700" t="str" cm="1">
        <f t="array" ref="D700">IFERROR(INDEX('P10-Benchmark'!$D$5:$D$44,_xlfn.AGGREGATE(15,6,(ROW($Q$698:$Q$737)-697)/(($Q$698:$Q$737&gt;$B$697)*1),$A700)),"")</f>
        <v/>
      </c>
      <c r="E700" s="48" t="str" cm="1">
        <f t="array" ref="E700">IFERROR(INDEX('P10-Benchmark'!$G$5:$G$44,_xlfn.AGGREGATE(15,6,(ROW($Q$698:$Q$737)-697)/(($Q$698:$Q$737&gt;$B$697)*1),$A700)),"")</f>
        <v/>
      </c>
      <c r="F700" s="48" t="str" cm="1">
        <f t="array" ref="F700">IFERROR(INDEX($P$698:$P$737,_xlfn.AGGREGATE(15,6,(ROW($Q$698:$Q$737)-697)/(($Q$698:$Q$737&gt;$B$697)*1),$A700)),"")</f>
        <v/>
      </c>
      <c r="G700" s="22" t="str" cm="1">
        <f t="array" ref="G700">IFERROR(INDEX($Q$698:$Q$737,_xlfn.AGGREGATE(15,6,(ROW($Q$698:$Q$737)-697)/(($Q$698:$Q$737&gt;$B$697)*1),$A700)),"")</f>
        <v/>
      </c>
      <c r="N700" s="63" t="str">
        <f>'P10-Benchmark'!$A$7</f>
        <v>WT-BM-102</v>
      </c>
      <c r="O700" s="63" t="str">
        <f>'P10-Benchmark'!$B$7&amp;" | "&amp;'P10-Benchmark'!$D$7</f>
        <v>Hospital | India</v>
      </c>
      <c r="P700" s="63">
        <f>AVERAGEIFS('P10-Benchmark'!$G$5:$G$44,'P10-Benchmark'!$B$5:$B$44,'P10-Benchmark'!$B$7,'P10-Benchmark'!$D$5:$D$44,'P10-Benchmark'!$D$7)</f>
        <v>711.66666666666663</v>
      </c>
      <c r="Q700" s="63">
        <f>'P10-Benchmark'!$G$7/$P700</f>
        <v>1.180327868852459</v>
      </c>
    </row>
    <row r="701" spans="1:17">
      <c r="A701">
        <v>3</v>
      </c>
      <c r="B701" t="str" cm="1">
        <f t="array" ref="B701">IFERROR(INDEX($N$698:$N$737,_xlfn.AGGREGATE(15,6,(ROW($Q$698:$Q$737)-697)/(($Q$698:$Q$737&gt;$B$697)*1),$A701)),"")</f>
        <v/>
      </c>
      <c r="C701" t="str" cm="1">
        <f t="array" ref="C701">IFERROR(INDEX('P10-Benchmark'!$B$5:$B$44,_xlfn.AGGREGATE(15,6,(ROW($Q$698:$Q$737)-697)/(($Q$698:$Q$737&gt;$B$697)*1),$A701)),"")</f>
        <v/>
      </c>
      <c r="D701" t="str" cm="1">
        <f t="array" ref="D701">IFERROR(INDEX('P10-Benchmark'!$D$5:$D$44,_xlfn.AGGREGATE(15,6,(ROW($Q$698:$Q$737)-697)/(($Q$698:$Q$737&gt;$B$697)*1),$A701)),"")</f>
        <v/>
      </c>
      <c r="E701" s="48" t="str" cm="1">
        <f t="array" ref="E701">IFERROR(INDEX('P10-Benchmark'!$G$5:$G$44,_xlfn.AGGREGATE(15,6,(ROW($Q$698:$Q$737)-697)/(($Q$698:$Q$737&gt;$B$697)*1),$A701)),"")</f>
        <v/>
      </c>
      <c r="F701" s="48" t="str" cm="1">
        <f t="array" ref="F701">IFERROR(INDEX($P$698:$P$737,_xlfn.AGGREGATE(15,6,(ROW($Q$698:$Q$737)-697)/(($Q$698:$Q$737&gt;$B$697)*1),$A701)),"")</f>
        <v/>
      </c>
      <c r="G701" s="22" t="str" cm="1">
        <f t="array" ref="G701">IFERROR(INDEX($Q$698:$Q$737,_xlfn.AGGREGATE(15,6,(ROW($Q$698:$Q$737)-697)/(($Q$698:$Q$737&gt;$B$697)*1),$A701)),"")</f>
        <v/>
      </c>
      <c r="N701" s="63" t="str">
        <f>'P10-Benchmark'!$A$8</f>
        <v>WT-BM-103</v>
      </c>
      <c r="O701" s="63" t="str">
        <f>'P10-Benchmark'!$B$8&amp;" | "&amp;'P10-Benchmark'!$D$8</f>
        <v>Residential Tower | India</v>
      </c>
      <c r="P701" s="63">
        <f>AVERAGEIFS('P10-Benchmark'!$G$5:$G$44,'P10-Benchmark'!$B$5:$B$44,'P10-Benchmark'!$B$8,'P10-Benchmark'!$D$5:$D$44,'P10-Benchmark'!$D$8)</f>
        <v>816</v>
      </c>
      <c r="Q701" s="63">
        <f>'P10-Benchmark'!$G$8/$P701</f>
        <v>1</v>
      </c>
    </row>
    <row r="702" spans="1:17">
      <c r="A702">
        <v>4</v>
      </c>
      <c r="B702" t="str" cm="1">
        <f t="array" ref="B702">IFERROR(INDEX($N$698:$N$737,_xlfn.AGGREGATE(15,6,(ROW($Q$698:$Q$737)-697)/(($Q$698:$Q$737&gt;$B$697)*1),$A702)),"")</f>
        <v/>
      </c>
      <c r="C702" t="str" cm="1">
        <f t="array" ref="C702">IFERROR(INDEX('P10-Benchmark'!$B$5:$B$44,_xlfn.AGGREGATE(15,6,(ROW($Q$698:$Q$737)-697)/(($Q$698:$Q$737&gt;$B$697)*1),$A702)),"")</f>
        <v/>
      </c>
      <c r="D702" t="str" cm="1">
        <f t="array" ref="D702">IFERROR(INDEX('P10-Benchmark'!$D$5:$D$44,_xlfn.AGGREGATE(15,6,(ROW($Q$698:$Q$737)-697)/(($Q$698:$Q$737&gt;$B$697)*1),$A702)),"")</f>
        <v/>
      </c>
      <c r="E702" s="48" t="str" cm="1">
        <f t="array" ref="E702">IFERROR(INDEX('P10-Benchmark'!$G$5:$G$44,_xlfn.AGGREGATE(15,6,(ROW($Q$698:$Q$737)-697)/(($Q$698:$Q$737&gt;$B$697)*1),$A702)),"")</f>
        <v/>
      </c>
      <c r="F702" s="48" t="str" cm="1">
        <f t="array" ref="F702">IFERROR(INDEX($P$698:$P$737,_xlfn.AGGREGATE(15,6,(ROW($Q$698:$Q$737)-697)/(($Q$698:$Q$737&gt;$B$697)*1),$A702)),"")</f>
        <v/>
      </c>
      <c r="G702" s="22" t="str" cm="1">
        <f t="array" ref="G702">IFERROR(INDEX($Q$698:$Q$737,_xlfn.AGGREGATE(15,6,(ROW($Q$698:$Q$737)-697)/(($Q$698:$Q$737&gt;$B$697)*1),$A702)),"")</f>
        <v/>
      </c>
      <c r="N702" s="63" t="str">
        <f>'P10-Benchmark'!$A$9</f>
        <v>WT-BM-104</v>
      </c>
      <c r="O702" s="63" t="str">
        <f>'P10-Benchmark'!$B$9&amp;" | "&amp;'P10-Benchmark'!$D$9</f>
        <v>IT Park | Australia</v>
      </c>
      <c r="P702" s="63">
        <f>AVERAGEIFS('P10-Benchmark'!$G$5:$G$44,'P10-Benchmark'!$B$5:$B$44,'P10-Benchmark'!$B$9,'P10-Benchmark'!$D$5:$D$44,'P10-Benchmark'!$D$9)</f>
        <v>3961.5</v>
      </c>
      <c r="Q702" s="63">
        <f>'P10-Benchmark'!$G$9/$P702</f>
        <v>0.83932853717026379</v>
      </c>
    </row>
    <row r="703" spans="1:17">
      <c r="A703">
        <v>5</v>
      </c>
      <c r="B703" t="str" cm="1">
        <f t="array" ref="B703">IFERROR(INDEX($N$698:$N$737,_xlfn.AGGREGATE(15,6,(ROW($Q$698:$Q$737)-697)/(($Q$698:$Q$737&gt;$B$697)*1),$A703)),"")</f>
        <v/>
      </c>
      <c r="C703" t="str" cm="1">
        <f t="array" ref="C703">IFERROR(INDEX('P10-Benchmark'!$B$5:$B$44,_xlfn.AGGREGATE(15,6,(ROW($Q$698:$Q$737)-697)/(($Q$698:$Q$737&gt;$B$697)*1),$A703)),"")</f>
        <v/>
      </c>
      <c r="D703" t="str" cm="1">
        <f t="array" ref="D703">IFERROR(INDEX('P10-Benchmark'!$D$5:$D$44,_xlfn.AGGREGATE(15,6,(ROW($Q$698:$Q$737)-697)/(($Q$698:$Q$737&gt;$B$697)*1),$A703)),"")</f>
        <v/>
      </c>
      <c r="E703" s="48" t="str" cm="1">
        <f t="array" ref="E703">IFERROR(INDEX('P10-Benchmark'!$G$5:$G$44,_xlfn.AGGREGATE(15,6,(ROW($Q$698:$Q$737)-697)/(($Q$698:$Q$737&gt;$B$697)*1),$A703)),"")</f>
        <v/>
      </c>
      <c r="F703" s="48" t="str" cm="1">
        <f t="array" ref="F703">IFERROR(INDEX($P$698:$P$737,_xlfn.AGGREGATE(15,6,(ROW($Q$698:$Q$737)-697)/(($Q$698:$Q$737&gt;$B$697)*1),$A703)),"")</f>
        <v/>
      </c>
      <c r="G703" s="22" t="str" cm="1">
        <f t="array" ref="G703">IFERROR(INDEX($Q$698:$Q$737,_xlfn.AGGREGATE(15,6,(ROW($Q$698:$Q$737)-697)/(($Q$698:$Q$737&gt;$B$697)*1),$A703)),"")</f>
        <v/>
      </c>
      <c r="N703" s="63" t="str">
        <f>'P10-Benchmark'!$A$10</f>
        <v>WT-BM-105</v>
      </c>
      <c r="O703" s="63" t="str">
        <f>'P10-Benchmark'!$B$10&amp;" | "&amp;'P10-Benchmark'!$D$10</f>
        <v>Hotel | Australia</v>
      </c>
      <c r="P703" s="63">
        <f>AVERAGEIFS('P10-Benchmark'!$G$5:$G$44,'P10-Benchmark'!$B$5:$B$44,'P10-Benchmark'!$B$10,'P10-Benchmark'!$D$5:$D$44,'P10-Benchmark'!$D$10)</f>
        <v>4789.5</v>
      </c>
      <c r="Q703" s="63">
        <f>'P10-Benchmark'!$G$10/$P703</f>
        <v>0.998434074538052</v>
      </c>
    </row>
    <row r="704" spans="1:17">
      <c r="A704">
        <v>6</v>
      </c>
      <c r="B704" t="str" cm="1">
        <f t="array" ref="B704">IFERROR(INDEX($N$698:$N$737,_xlfn.AGGREGATE(15,6,(ROW($Q$698:$Q$737)-697)/(($Q$698:$Q$737&gt;$B$697)*1),$A704)),"")</f>
        <v/>
      </c>
      <c r="C704" t="str" cm="1">
        <f t="array" ref="C704">IFERROR(INDEX('P10-Benchmark'!$B$5:$B$44,_xlfn.AGGREGATE(15,6,(ROW($Q$698:$Q$737)-697)/(($Q$698:$Q$737&gt;$B$697)*1),$A704)),"")</f>
        <v/>
      </c>
      <c r="D704" t="str" cm="1">
        <f t="array" ref="D704">IFERROR(INDEX('P10-Benchmark'!$D$5:$D$44,_xlfn.AGGREGATE(15,6,(ROW($Q$698:$Q$737)-697)/(($Q$698:$Q$737&gt;$B$697)*1),$A704)),"")</f>
        <v/>
      </c>
      <c r="E704" s="48" t="str" cm="1">
        <f t="array" ref="E704">IFERROR(INDEX('P10-Benchmark'!$G$5:$G$44,_xlfn.AGGREGATE(15,6,(ROW($Q$698:$Q$737)-697)/(($Q$698:$Q$737&gt;$B$697)*1),$A704)),"")</f>
        <v/>
      </c>
      <c r="F704" s="48" t="str" cm="1">
        <f t="array" ref="F704">IFERROR(INDEX($P$698:$P$737,_xlfn.AGGREGATE(15,6,(ROW($Q$698:$Q$737)-697)/(($Q$698:$Q$737&gt;$B$697)*1),$A704)),"")</f>
        <v/>
      </c>
      <c r="G704" s="22" t="str" cm="1">
        <f t="array" ref="G704">IFERROR(INDEX($Q$698:$Q$737,_xlfn.AGGREGATE(15,6,(ROW($Q$698:$Q$737)-697)/(($Q$698:$Q$737&gt;$B$697)*1),$A704)),"")</f>
        <v/>
      </c>
      <c r="N704" s="63" t="str">
        <f>'P10-Benchmark'!$A$11</f>
        <v>WT-BM-106</v>
      </c>
      <c r="O704" s="63" t="str">
        <f>'P10-Benchmark'!$B$11&amp;" | "&amp;'P10-Benchmark'!$D$11</f>
        <v>Industrial Warehouse | India</v>
      </c>
      <c r="P704" s="63">
        <f>AVERAGEIFS('P10-Benchmark'!$G$5:$G$44,'P10-Benchmark'!$B$5:$B$44,'P10-Benchmark'!$B$11,'P10-Benchmark'!$D$5:$D$44,'P10-Benchmark'!$D$11)</f>
        <v>621.5</v>
      </c>
      <c r="Q704" s="63">
        <f>'P10-Benchmark'!$G$11/$P704</f>
        <v>1.3563958165728078</v>
      </c>
    </row>
    <row r="705" spans="1:17">
      <c r="A705" s="44" t="str">
        <f>IF($D$697=0,"ANSWER: No project exceeds 1.5x the average cost/sqm for its type and country — cost performance is consistent across the benchmark set. The highest ratio recorded is "&amp;TEXT(MAX($Q$698:$Q$737),"0.00")&amp;"x.","ANSWER: "&amp;$D$697&amp;" of "&amp;$F$697&amp;" projects exceed 1.5x the average cost/sqm for their type and country and are listed above; the worst is "&amp;$B$699&amp;" at "&amp;TEXT($G$699,"0.00")&amp;"x the benchmark. Investigate scope, specification and procurement route on these.")</f>
        <v>ANSWER: No project exceeds 1.5x the average cost/sqm for its type and country — cost performance is consistent across the benchmark set. The highest ratio recorded is 1.39x.</v>
      </c>
      <c r="N705" s="63" t="str">
        <f>'P10-Benchmark'!$A$12</f>
        <v>WT-BM-107</v>
      </c>
      <c r="O705" s="63" t="str">
        <f>'P10-Benchmark'!$B$12&amp;" | "&amp;'P10-Benchmark'!$D$12</f>
        <v>Hospital | India</v>
      </c>
      <c r="P705" s="63">
        <f>AVERAGEIFS('P10-Benchmark'!$G$5:$G$44,'P10-Benchmark'!$B$5:$B$44,'P10-Benchmark'!$B$12,'P10-Benchmark'!$D$5:$D$44,'P10-Benchmark'!$D$12)</f>
        <v>711.66666666666663</v>
      </c>
      <c r="Q705" s="63">
        <f>'P10-Benchmark'!$G$12/$P705</f>
        <v>1.1578454332552695</v>
      </c>
    </row>
    <row r="706" spans="1:17">
      <c r="N706" s="63" t="str">
        <f>'P10-Benchmark'!$A$13</f>
        <v>WT-BM-108</v>
      </c>
      <c r="O706" s="63" t="str">
        <f>'P10-Benchmark'!$B$13&amp;" | "&amp;'P10-Benchmark'!$D$13</f>
        <v>Residential Tower | New Zealand</v>
      </c>
      <c r="P706" s="63">
        <f>AVERAGEIFS('P10-Benchmark'!$G$5:$G$44,'P10-Benchmark'!$B$5:$B$44,'P10-Benchmark'!$B$13,'P10-Benchmark'!$D$5:$D$44,'P10-Benchmark'!$D$13)</f>
        <v>3479</v>
      </c>
      <c r="Q706" s="63">
        <f>'P10-Benchmark'!$G$13/$P706</f>
        <v>0.95889623455015804</v>
      </c>
    </row>
    <row r="707" spans="1:17">
      <c r="A707" s="42" t="s">
        <v>1618</v>
      </c>
      <c r="N707" s="63" t="str">
        <f>'P10-Benchmark'!$A$14</f>
        <v>WT-BM-109</v>
      </c>
      <c r="O707" s="63" t="str">
        <f>'P10-Benchmark'!$B$14&amp;" | "&amp;'P10-Benchmark'!$D$14</f>
        <v>Data Centre | India</v>
      </c>
      <c r="P707" s="63">
        <f>AVERAGEIFS('P10-Benchmark'!$G$5:$G$44,'P10-Benchmark'!$B$5:$B$44,'P10-Benchmark'!$B$14,'P10-Benchmark'!$D$5:$D$44,'P10-Benchmark'!$D$14)</f>
        <v>614.4</v>
      </c>
      <c r="Q707" s="63">
        <f>'P10-Benchmark'!$G$14/$P707</f>
        <v>1.0791015625</v>
      </c>
    </row>
    <row r="708" spans="1:17">
      <c r="A708" t="s">
        <v>1619</v>
      </c>
      <c r="B708" s="47">
        <v>50000</v>
      </c>
      <c r="C708" t="s">
        <v>1620</v>
      </c>
      <c r="D708" s="67" t="s">
        <v>89</v>
      </c>
      <c r="E708" t="s">
        <v>1621</v>
      </c>
      <c r="F708" s="67" t="s">
        <v>81</v>
      </c>
      <c r="N708" s="63" t="str">
        <f>'P10-Benchmark'!$A$15</f>
        <v>WT-BM-110</v>
      </c>
      <c r="O708" s="63" t="str">
        <f>'P10-Benchmark'!$B$15&amp;" | "&amp;'P10-Benchmark'!$D$15</f>
        <v>Metro Station | Australia</v>
      </c>
      <c r="P708" s="63">
        <f>AVERAGEIFS('P10-Benchmark'!$G$5:$G$44,'P10-Benchmark'!$B$5:$B$44,'P10-Benchmark'!$B$15,'P10-Benchmark'!$D$5:$D$44,'P10-Benchmark'!$D$15)</f>
        <v>2381</v>
      </c>
      <c r="Q708" s="63">
        <f>'P10-Benchmark'!$G$15/$P708</f>
        <v>1</v>
      </c>
    </row>
    <row r="709" spans="1:17">
      <c r="A709" t="s">
        <v>1622</v>
      </c>
      <c r="B709" s="48">
        <f>AVERAGEIFS('P10-Benchmark'!$G$5:$G$44,'P10-Benchmark'!$B$5:$B$44,$D$708,'P10-Benchmark'!$D$5:$D$44,$F$708)</f>
        <v>614.4</v>
      </c>
      <c r="C709" t="s">
        <v>1623</v>
      </c>
      <c r="D709">
        <f>COUNTIFS('P10-Benchmark'!$B$5:$B$44,$D$708,'P10-Benchmark'!$D$5:$D$44,$F$708)</f>
        <v>5</v>
      </c>
      <c r="E709" t="s">
        <v>1624</v>
      </c>
      <c r="F709" s="48">
        <f>AVERAGEIF('P10-Benchmark'!$B$5:$B$44,$D$708,'P10-Benchmark'!$G$5:$G$44)</f>
        <v>1731.7777777777778</v>
      </c>
      <c r="N709" s="63" t="str">
        <f>'P10-Benchmark'!$A$16</f>
        <v>WT-BM-111</v>
      </c>
      <c r="O709" s="63" t="str">
        <f>'P10-Benchmark'!$B$16&amp;" | "&amp;'P10-Benchmark'!$D$16</f>
        <v>Data Centre | New Zealand</v>
      </c>
      <c r="P709" s="63">
        <f>AVERAGEIFS('P10-Benchmark'!$G$5:$G$44,'P10-Benchmark'!$B$5:$B$44,'P10-Benchmark'!$B$16,'P10-Benchmark'!$D$5:$D$44,'P10-Benchmark'!$D$16)</f>
        <v>2569.5</v>
      </c>
      <c r="Q709" s="63">
        <f>'P10-Benchmark'!$G$16/$P709</f>
        <v>1.0379451255107999</v>
      </c>
    </row>
    <row r="710" spans="1:17">
      <c r="A710" t="s">
        <v>1625</v>
      </c>
      <c r="B710" s="48">
        <f>_xlfn.MINIFS('P10-Benchmark'!$G$5:$G$44,'P10-Benchmark'!$B$5:$B$44,$D$708,'P10-Benchmark'!$D$5:$D$44,$F$708)</f>
        <v>407</v>
      </c>
      <c r="C710" t="s">
        <v>1626</v>
      </c>
      <c r="D710" s="48">
        <f>_xlfn.MAXIFS('P10-Benchmark'!$G$5:$G$44,'P10-Benchmark'!$B$5:$B$44,$D$708,'P10-Benchmark'!$D$5:$D$44,$F$708)</f>
        <v>798</v>
      </c>
      <c r="E710" t="s">
        <v>1627</v>
      </c>
      <c r="F710" s="39">
        <f>$C$678</f>
        <v>0.81595162026471946</v>
      </c>
      <c r="N710" s="63" t="str">
        <f>'P10-Benchmark'!$A$17</f>
        <v>WT-BM-112</v>
      </c>
      <c r="O710" s="63" t="str">
        <f>'P10-Benchmark'!$B$17&amp;" | "&amp;'P10-Benchmark'!$D$17</f>
        <v>University Campus | Australia</v>
      </c>
      <c r="P710" s="63">
        <f>AVERAGEIFS('P10-Benchmark'!$G$5:$G$44,'P10-Benchmark'!$B$5:$B$44,'P10-Benchmark'!$B$17,'P10-Benchmark'!$D$5:$D$44,'P10-Benchmark'!$D$17)</f>
        <v>3621</v>
      </c>
      <c r="Q710" s="63">
        <f>'P10-Benchmark'!$G$17/$P710</f>
        <v>1.1712234189450428</v>
      </c>
    </row>
    <row r="711" spans="1:17">
      <c r="A711" t="s">
        <v>1628</v>
      </c>
      <c r="B711" s="48">
        <f>$B$708*$B$709</f>
        <v>30720000</v>
      </c>
      <c r="C711" t="s">
        <v>1629</v>
      </c>
      <c r="D711" s="48">
        <f>$B$708*$B$710</f>
        <v>20350000</v>
      </c>
      <c r="E711" t="s">
        <v>1630</v>
      </c>
      <c r="F711" s="48">
        <f>$B$708*$D$710</f>
        <v>39900000</v>
      </c>
      <c r="N711" s="63" t="str">
        <f>'P10-Benchmark'!$A$18</f>
        <v>WT-BM-113</v>
      </c>
      <c r="O711" s="63" t="str">
        <f>'P10-Benchmark'!$B$18&amp;" | "&amp;'P10-Benchmark'!$D$18</f>
        <v>Hotel | New Zealand</v>
      </c>
      <c r="P711" s="63">
        <f>AVERAGEIFS('P10-Benchmark'!$G$5:$G$44,'P10-Benchmark'!$B$5:$B$44,'P10-Benchmark'!$B$18,'P10-Benchmark'!$D$5:$D$44,'P10-Benchmark'!$D$18)</f>
        <v>1998</v>
      </c>
      <c r="Q711" s="63">
        <f>'P10-Benchmark'!$G$18/$P711</f>
        <v>1</v>
      </c>
    </row>
    <row r="712" spans="1:17">
      <c r="A712" s="44" t="str">
        <f>"ANSWER: Indian Data Centre benchmarks average "&amp;TEXT($B$709,"""$""#,##0")&amp;"/sqm across "&amp;$D$709&amp;" project(s), so a 50,000 sqm data centre in Mumbai should be budgeted at roughly "&amp;TEXT($B$711,"""$""#,##0")&amp;", with a range of "&amp;TEXT($D$711,"""$""#,##0")&amp;" (low) to "&amp;TEXT($F$711,"""$""#,##0")&amp;" (high). Add escalation — Indian cost/sqm has moved "&amp;TEXT($F$710,"0.0%")&amp;" between 2022 and 2025 — plus site-specific loadings for power, cooling and redundancy."</f>
        <v>ANSWER: Indian Data Centre benchmarks average $614/sqm across 5 project(s), so a 50,000 sqm data centre in Mumbai should be budgeted at roughly $3,07,20,000, with a range of $2,03,50,000 (low) to $3,99,00,000 (high). Add escalation — Indian cost/sqm has moved 81.6% between 2022 and 2025 — plus site-specific loadings for power, cooling and redundancy.</v>
      </c>
      <c r="N712" s="63" t="str">
        <f>'P10-Benchmark'!$A$19</f>
        <v>WT-BM-114</v>
      </c>
      <c r="O712" s="63" t="str">
        <f>'P10-Benchmark'!$B$19&amp;" | "&amp;'P10-Benchmark'!$D$19</f>
        <v>Data Centre | Australia</v>
      </c>
      <c r="P712" s="63">
        <f>AVERAGEIFS('P10-Benchmark'!$G$5:$G$44,'P10-Benchmark'!$B$5:$B$44,'P10-Benchmark'!$B$19,'P10-Benchmark'!$D$5:$D$44,'P10-Benchmark'!$D$19)</f>
        <v>3687.5</v>
      </c>
      <c r="Q712" s="63">
        <f>'P10-Benchmark'!$G$19/$P712</f>
        <v>0.7178305084745763</v>
      </c>
    </row>
    <row r="713" spans="1:17">
      <c r="N713" s="63" t="str">
        <f>'P10-Benchmark'!$A$20</f>
        <v>WT-BM-115</v>
      </c>
      <c r="O713" s="63" t="str">
        <f>'P10-Benchmark'!$B$20&amp;" | "&amp;'P10-Benchmark'!$D$20</f>
        <v>Commercial Office | Australia</v>
      </c>
      <c r="P713" s="63">
        <f>AVERAGEIFS('P10-Benchmark'!$G$5:$G$44,'P10-Benchmark'!$B$5:$B$44,'P10-Benchmark'!$B$20,'P10-Benchmark'!$D$5:$D$44,'P10-Benchmark'!$D$20)</f>
        <v>3299.75</v>
      </c>
      <c r="Q713" s="63">
        <f>'P10-Benchmark'!$G$20/$P713</f>
        <v>0.7697552844912493</v>
      </c>
    </row>
    <row r="714" spans="1:17">
      <c r="A714" s="41" t="s">
        <v>1634</v>
      </c>
      <c r="B714" s="41"/>
      <c r="C714" s="41"/>
      <c r="D714" s="41"/>
      <c r="E714" s="41"/>
      <c r="F714" s="41"/>
      <c r="N714" s="63" t="str">
        <f>'P10-Benchmark'!$A$21</f>
        <v>WT-BM-116</v>
      </c>
      <c r="O714" s="63" t="str">
        <f>'P10-Benchmark'!$B$21&amp;" | "&amp;'P10-Benchmark'!$D$21</f>
        <v>Residential Tower | Australia</v>
      </c>
      <c r="P714" s="63">
        <f>AVERAGEIFS('P10-Benchmark'!$G$5:$G$44,'P10-Benchmark'!$B$5:$B$44,'P10-Benchmark'!$B$21,'P10-Benchmark'!$D$5:$D$44,'P10-Benchmark'!$D$21)</f>
        <v>3476</v>
      </c>
      <c r="Q714" s="63">
        <f>'P10-Benchmark'!$G$21/$P714</f>
        <v>1</v>
      </c>
    </row>
    <row r="715" spans="1:17">
      <c r="A715" s="42" t="s">
        <v>880</v>
      </c>
      <c r="N715" s="63" t="str">
        <f>'P10-Benchmark'!$A$22</f>
        <v>WT-BM-117</v>
      </c>
      <c r="O715" s="63" t="str">
        <f>'P10-Benchmark'!$B$22&amp;" | "&amp;'P10-Benchmark'!$D$22</f>
        <v>Shopping Mall | India</v>
      </c>
      <c r="P715" s="63">
        <f>AVERAGEIFS('P10-Benchmark'!$G$5:$G$44,'P10-Benchmark'!$B$5:$B$44,'P10-Benchmark'!$B$22,'P10-Benchmark'!$D$5:$D$44,'P10-Benchmark'!$D$22)</f>
        <v>736</v>
      </c>
      <c r="Q715" s="63">
        <f>'P10-Benchmark'!$G$22/$P715</f>
        <v>0.81793478260869568</v>
      </c>
    </row>
    <row r="716" spans="1:17">
      <c r="A716" t="s">
        <v>1635</v>
      </c>
      <c r="B716" t="str" cm="1">
        <f t="array" ref="B716">INDEX('P12-EVM'!$A$5:$A$40,MATCH(TRUE,INDEX('P12-EVM'!$F$5:$F$40&lt;0,0),0))</f>
        <v>Month 1</v>
      </c>
      <c r="C716" t="s">
        <v>1636</v>
      </c>
      <c r="D716" s="48" cm="1">
        <f t="array" ref="D716">INDEX('P12-EVM'!$F$5:$F$40,MATCH(TRUE,INDEX('P12-EVM'!$F$5:$F$40&lt;0,0),0))</f>
        <v>-130878</v>
      </c>
      <c r="E716" t="s">
        <v>1637</v>
      </c>
      <c r="F716">
        <f>COUNTIF('P12-EVM'!$F$5:$F$40,"&lt;0")</f>
        <v>31</v>
      </c>
      <c r="N716" s="63" t="str">
        <f>'P10-Benchmark'!$A$23</f>
        <v>WT-BM-118</v>
      </c>
      <c r="O716" s="63" t="str">
        <f>'P10-Benchmark'!$B$23&amp;" | "&amp;'P10-Benchmark'!$D$23</f>
        <v>Industrial Warehouse | India</v>
      </c>
      <c r="P716" s="63">
        <f>AVERAGEIFS('P10-Benchmark'!$G$5:$G$44,'P10-Benchmark'!$B$5:$B$44,'P10-Benchmark'!$B$23,'P10-Benchmark'!$D$5:$D$44,'P10-Benchmark'!$D$23)</f>
        <v>621.5</v>
      </c>
      <c r="Q716" s="63">
        <f>'P10-Benchmark'!$G$23/$P716</f>
        <v>0.64360418342719228</v>
      </c>
    </row>
    <row r="717" spans="1:17">
      <c r="A717" t="s">
        <v>1638</v>
      </c>
      <c r="B717" s="40" cm="1">
        <f t="array" ref="B717">INDEX('P12-EVM'!$H$5:$H$40,MATCH(TRUE,INDEX('P12-EVM'!$F$5:$F$40&lt;0,0),0))</f>
        <v>0.81668592558354514</v>
      </c>
      <c r="C717" t="s">
        <v>1639</v>
      </c>
      <c r="D717" s="48">
        <f>MIN('P12-EVM'!$F$5:$F$40)</f>
        <v>-4941717</v>
      </c>
      <c r="E717" t="s">
        <v>1640</v>
      </c>
      <c r="F717" t="str">
        <f>INDEX('P12-EVM'!$A$5:$A$40,MATCH(MIN('P12-EVM'!$F$5:$F$40),'P12-EVM'!$F$5:$F$40,0))</f>
        <v>Month 32</v>
      </c>
      <c r="N717" s="63" t="str">
        <f>'P10-Benchmark'!$A$24</f>
        <v>WT-BM-119</v>
      </c>
      <c r="O717" s="63" t="str">
        <f>'P10-Benchmark'!$B$24&amp;" | "&amp;'P10-Benchmark'!$D$24</f>
        <v>Residential Tower | New Zealand</v>
      </c>
      <c r="P717" s="63">
        <f>AVERAGEIFS('P10-Benchmark'!$G$5:$G$44,'P10-Benchmark'!$B$5:$B$44,'P10-Benchmark'!$B$24,'P10-Benchmark'!$D$5:$D$44,'P10-Benchmark'!$D$24)</f>
        <v>3479</v>
      </c>
      <c r="Q717" s="63">
        <f>'P10-Benchmark'!$G$24/$P717</f>
        <v>1.0411037654498418</v>
      </c>
    </row>
    <row r="718" spans="1:17">
      <c r="A718" s="44" t="str">
        <f>"ANSWER: Schedule Variance first turns negative in "&amp;$B$716&amp;" (SV = "&amp;TEXT($D$716,"""$""#,##0")&amp;", SPI "&amp;TEXT($B$717,"0.00")&amp;"). In total "&amp;$F$716&amp;" of 36 months run a negative SV, and the deepest point is "&amp;$F$717&amp;" at "&amp;TEXT($D$717,"""$""#,##0")&amp;"."</f>
        <v>ANSWER: Schedule Variance first turns negative in Month 1 (SV = -$1,30,878, SPI 0.82). In total 31 of 36 months run a negative SV, and the deepest point is Month 32 at -$49,41,717.</v>
      </c>
      <c r="N718" s="63" t="str">
        <f>'P10-Benchmark'!$A$25</f>
        <v>WT-BM-120</v>
      </c>
      <c r="O718" s="63" t="str">
        <f>'P10-Benchmark'!$B$25&amp;" | "&amp;'P10-Benchmark'!$D$25</f>
        <v>Commercial Office | Australia</v>
      </c>
      <c r="P718" s="63">
        <f>AVERAGEIFS('P10-Benchmark'!$G$5:$G$44,'P10-Benchmark'!$B$5:$B$44,'P10-Benchmark'!$B$25,'P10-Benchmark'!$D$5:$D$44,'P10-Benchmark'!$D$25)</f>
        <v>3299.75</v>
      </c>
      <c r="Q718" s="63">
        <f>'P10-Benchmark'!$G$25/$P718</f>
        <v>1.1300856125464049</v>
      </c>
    </row>
    <row r="719" spans="1:17">
      <c r="N719" s="63" t="str">
        <f>'P10-Benchmark'!$A$26</f>
        <v>WT-BM-121</v>
      </c>
      <c r="O719" s="63" t="str">
        <f>'P10-Benchmark'!$B$26&amp;" | "&amp;'P10-Benchmark'!$D$26</f>
        <v>Data Centre | India</v>
      </c>
      <c r="P719" s="63">
        <f>AVERAGEIFS('P10-Benchmark'!$G$5:$G$44,'P10-Benchmark'!$B$5:$B$44,'P10-Benchmark'!$B$26,'P10-Benchmark'!$D$5:$D$44,'P10-Benchmark'!$D$26)</f>
        <v>614.4</v>
      </c>
      <c r="Q719" s="63">
        <f>'P10-Benchmark'!$G$26/$P719</f>
        <v>0.72428385416666674</v>
      </c>
    </row>
    <row r="720" spans="1:17">
      <c r="A720" s="42" t="s">
        <v>881</v>
      </c>
      <c r="N720" s="63" t="str">
        <f>'P10-Benchmark'!$A$27</f>
        <v>WT-BM-122</v>
      </c>
      <c r="O720" s="63" t="str">
        <f>'P10-Benchmark'!$B$27&amp;" | "&amp;'P10-Benchmark'!$D$27</f>
        <v>Shopping Mall | Australia</v>
      </c>
      <c r="P720" s="63">
        <f>AVERAGEIFS('P10-Benchmark'!$G$5:$G$44,'P10-Benchmark'!$B$5:$B$44,'P10-Benchmark'!$B$27,'P10-Benchmark'!$D$5:$D$44,'P10-Benchmark'!$D$27)</f>
        <v>3069.5</v>
      </c>
      <c r="Q720" s="63">
        <f>'P10-Benchmark'!$G$27/$P720</f>
        <v>1.1620785144160286</v>
      </c>
    </row>
    <row r="721" spans="1:17">
      <c r="A721" t="s">
        <v>1641</v>
      </c>
      <c r="B721" s="40">
        <f>INDEX('P12-EVM'!$I$5:$I$40,1)</f>
        <v>1.0422753996499989</v>
      </c>
      <c r="C721" t="s">
        <v>1642</v>
      </c>
      <c r="D721" s="40">
        <f>INDEX('P12-EVM'!$I$5:$I$40,36)</f>
        <v>0.89975888835540241</v>
      </c>
      <c r="E721" t="s">
        <v>1643</v>
      </c>
      <c r="F721" s="69">
        <f>SLOPE('P12-EVM'!$I$5:$I$40,ROW('P12-EVM'!$I$5:$I$40))</f>
        <v>-4.4318356020612833E-4</v>
      </c>
      <c r="N721" s="63" t="str">
        <f>'P10-Benchmark'!$A$28</f>
        <v>WT-BM-123</v>
      </c>
      <c r="O721" s="63" t="str">
        <f>'P10-Benchmark'!$B$28&amp;" | "&amp;'P10-Benchmark'!$D$28</f>
        <v>Data Centre | New Zealand</v>
      </c>
      <c r="P721" s="63">
        <f>AVERAGEIFS('P10-Benchmark'!$G$5:$G$44,'P10-Benchmark'!$B$5:$B$44,'P10-Benchmark'!$B$28,'P10-Benchmark'!$D$5:$D$44,'P10-Benchmark'!$D$28)</f>
        <v>2569.5</v>
      </c>
      <c r="Q721" s="63">
        <f>'P10-Benchmark'!$G$28/$P721</f>
        <v>0.96205487448920024</v>
      </c>
    </row>
    <row r="722" spans="1:17">
      <c r="A722" t="s">
        <v>1644</v>
      </c>
      <c r="B722" s="40">
        <f>AVERAGE('P12-EVM'!$I$5:$I$40)</f>
        <v>0.95392232165370416</v>
      </c>
      <c r="C722" t="s">
        <v>1645</v>
      </c>
      <c r="D722" s="40">
        <f>MIN('P12-EVM'!$I$5:$I$40)</f>
        <v>0.84435162789193274</v>
      </c>
      <c r="E722" t="s">
        <v>1646</v>
      </c>
      <c r="F722">
        <f>COUNTIF('P12-EVM'!$I$5:$I$40,"&lt;1")</f>
        <v>25</v>
      </c>
      <c r="N722" s="63" t="str">
        <f>'P10-Benchmark'!$A$29</f>
        <v>WT-BM-124</v>
      </c>
      <c r="O722" s="63" t="str">
        <f>'P10-Benchmark'!$B$29&amp;" | "&amp;'P10-Benchmark'!$D$29</f>
        <v>Shopping Mall | India</v>
      </c>
      <c r="P722" s="63">
        <f>AVERAGEIFS('P10-Benchmark'!$G$5:$G$44,'P10-Benchmark'!$B$5:$B$44,'P10-Benchmark'!$B$29,'P10-Benchmark'!$D$5:$D$44,'P10-Benchmark'!$D$29)</f>
        <v>736</v>
      </c>
      <c r="Q722" s="63">
        <f>'P10-Benchmark'!$G$29/$P722</f>
        <v>1.1820652173913044</v>
      </c>
    </row>
    <row r="723" spans="1:17">
      <c r="A723" s="44" t="str">
        <f>"ANSWER: CPI moves from "&amp;TEXT($B$721,"0.000")&amp;" in Month 1 to "&amp;TEXT($D$721,"0.000")&amp;" in Month 36, a trend of "&amp;TEXT($F$721,"0.0000")&amp;" per month — the project is getting "&amp;IF($F$721&lt;0,"LESS","MORE")&amp;" cost-efficient over time. Average CPI is "&amp;TEXT($B$722,"0.000")&amp;" and "&amp;$F$722&amp;" of 36 months sit below 1.00, so cost performance is "&amp;IF($B$722&lt;1,"structurally over budget.","broadly on budget.")</f>
        <v>ANSWER: CPI moves from 1.042 in Month 1 to 0.900 in Month 36, a trend of -0.0004 per month — the project is getting LESS cost-efficient over time. Average CPI is 0.954 and 25 of 36 months sit below 1.00, so cost performance is structurally over budget.</v>
      </c>
      <c r="N723" s="63" t="str">
        <f>'P10-Benchmark'!$A$30</f>
        <v>WT-BM-125</v>
      </c>
      <c r="O723" s="63" t="str">
        <f>'P10-Benchmark'!$B$30&amp;" | "&amp;'P10-Benchmark'!$D$30</f>
        <v>Hospital | India</v>
      </c>
      <c r="P723" s="63">
        <f>AVERAGEIFS('P10-Benchmark'!$G$5:$G$44,'P10-Benchmark'!$B$5:$B$44,'P10-Benchmark'!$B$30,'P10-Benchmark'!$D$5:$D$44,'P10-Benchmark'!$D$30)</f>
        <v>711.66666666666663</v>
      </c>
      <c r="Q723" s="63">
        <f>'P10-Benchmark'!$G$30/$P723</f>
        <v>0.66182669789227166</v>
      </c>
    </row>
    <row r="724" spans="1:17">
      <c r="N724" s="63" t="str">
        <f>'P10-Benchmark'!$A$31</f>
        <v>WT-BM-126</v>
      </c>
      <c r="O724" s="63" t="str">
        <f>'P10-Benchmark'!$B$31&amp;" | "&amp;'P10-Benchmark'!$D$31</f>
        <v>Shopping Mall | Australia</v>
      </c>
      <c r="P724" s="63">
        <f>AVERAGEIFS('P10-Benchmark'!$G$5:$G$44,'P10-Benchmark'!$B$5:$B$44,'P10-Benchmark'!$B$31,'P10-Benchmark'!$D$5:$D$44,'P10-Benchmark'!$D$31)</f>
        <v>3069.5</v>
      </c>
      <c r="Q724" s="63">
        <f>'P10-Benchmark'!$G$31/$P724</f>
        <v>0.83792148558397128</v>
      </c>
    </row>
    <row r="725" spans="1:17">
      <c r="A725" s="42" t="s">
        <v>882</v>
      </c>
      <c r="N725" s="63" t="str">
        <f>'P10-Benchmark'!$A$32</f>
        <v>WT-BM-127</v>
      </c>
      <c r="O725" s="63" t="str">
        <f>'P10-Benchmark'!$B$32&amp;" | "&amp;'P10-Benchmark'!$D$32</f>
        <v>Data Centre | India</v>
      </c>
      <c r="P725" s="63">
        <f>AVERAGEIFS('P10-Benchmark'!$G$5:$G$44,'P10-Benchmark'!$B$5:$B$44,'P10-Benchmark'!$B$32,'P10-Benchmark'!$D$5:$D$44,'P10-Benchmark'!$D$32)</f>
        <v>614.4</v>
      </c>
      <c r="Q725" s="63">
        <f>'P10-Benchmark'!$G$32/$P725</f>
        <v>1.298828125</v>
      </c>
    </row>
    <row r="726" spans="1:17">
      <c r="A726" t="s">
        <v>1647</v>
      </c>
      <c r="B726" s="48">
        <f>INDEX('P12-EVM'!$B$5:$B$40,36)</f>
        <v>25000000</v>
      </c>
      <c r="C726" t="s">
        <v>1648</v>
      </c>
      <c r="D726" s="48">
        <f>INDEX('P12-EVM'!$J$5:$J$40,36)</f>
        <v>27785221.489387572</v>
      </c>
      <c r="E726" t="s">
        <v>1649</v>
      </c>
      <c r="F726" s="48">
        <f>B726-D726</f>
        <v>-2785221.4893875718</v>
      </c>
      <c r="N726" s="63" t="str">
        <f>'P10-Benchmark'!$A$33</f>
        <v>WT-BM-128</v>
      </c>
      <c r="O726" s="63" t="str">
        <f>'P10-Benchmark'!$B$33&amp;" | "&amp;'P10-Benchmark'!$D$33</f>
        <v>Hospital | New Zealand</v>
      </c>
      <c r="P726" s="63">
        <f>AVERAGEIFS('P10-Benchmark'!$G$5:$G$44,'P10-Benchmark'!$B$5:$B$44,'P10-Benchmark'!$B$33,'P10-Benchmark'!$D$5:$D$44,'P10-Benchmark'!$D$33)</f>
        <v>3428</v>
      </c>
      <c r="Q726" s="63">
        <f>'P10-Benchmark'!$G$33/$P726</f>
        <v>0.87806301050175029</v>
      </c>
    </row>
    <row r="727" spans="1:17">
      <c r="A727" t="s">
        <v>1650</v>
      </c>
      <c r="B727" s="48">
        <f>D726-B726</f>
        <v>2785221.4893875718</v>
      </c>
      <c r="C727" t="s">
        <v>1312</v>
      </c>
      <c r="D727" s="39">
        <f>B727/B726</f>
        <v>0.11140885957550287</v>
      </c>
      <c r="E727" t="s">
        <v>1651</v>
      </c>
      <c r="F727" s="48">
        <f>INDEX('P12-EVM'!$K$5:$K$40,36)</f>
        <v>6687111.4893875709</v>
      </c>
      <c r="N727" s="63" t="str">
        <f>'P10-Benchmark'!$A$34</f>
        <v>WT-BM-129</v>
      </c>
      <c r="O727" s="63" t="str">
        <f>'P10-Benchmark'!$B$34&amp;" | "&amp;'P10-Benchmark'!$D$34</f>
        <v>Hospital | New Zealand</v>
      </c>
      <c r="P727" s="63">
        <f>AVERAGEIFS('P10-Benchmark'!$G$5:$G$44,'P10-Benchmark'!$B$5:$B$44,'P10-Benchmark'!$B$34,'P10-Benchmark'!$D$5:$D$44,'P10-Benchmark'!$D$34)</f>
        <v>3428</v>
      </c>
      <c r="Q727" s="63">
        <f>'P10-Benchmark'!$G$34/$P727</f>
        <v>1.1219369894982496</v>
      </c>
    </row>
    <row r="728" spans="1:17">
      <c r="A728" s="44" t="str">
        <f>"ANSWER: EAC at Month 36 is "&amp;TEXT($D$726,"""$""#,##0")&amp;" against a BAC of "&amp;TEXT($B$726,"""$""#,##0")&amp;" — a projected "&amp;IF($B$727&gt;0,"OVERRUN","UNDERRUN")&amp;" of "&amp;TEXT(ABS($B$727),"""$""#,##0")&amp;" ("&amp;TEXT(ABS($D$727),"0.0%")&amp;"). Variance at Completion is "&amp;TEXT($F$726,"""$""#,##0")&amp;"."</f>
        <v>ANSWER: EAC at Month 36 is $2,77,85,221 against a BAC of $2,50,00,000 — a projected OVERRUN of $27,85,221 (11.1%). Variance at Completion is -$27,85,221.</v>
      </c>
      <c r="N728" s="63" t="str">
        <f>'P10-Benchmark'!$A$35</f>
        <v>WT-BM-130</v>
      </c>
      <c r="O728" s="63" t="str">
        <f>'P10-Benchmark'!$B$35&amp;" | "&amp;'P10-Benchmark'!$D$35</f>
        <v>IT Park | India</v>
      </c>
      <c r="P728" s="63">
        <f>AVERAGEIFS('P10-Benchmark'!$G$5:$G$44,'P10-Benchmark'!$B$5:$B$44,'P10-Benchmark'!$B$35,'P10-Benchmark'!$D$5:$D$44,'P10-Benchmark'!$D$35)</f>
        <v>878</v>
      </c>
      <c r="Q728" s="63">
        <f>'P10-Benchmark'!$G$35/$P728</f>
        <v>1</v>
      </c>
    </row>
    <row r="729" spans="1:17">
      <c r="N729" s="63" t="str">
        <f>'P10-Benchmark'!$A$36</f>
        <v>WT-BM-131</v>
      </c>
      <c r="O729" s="63" t="str">
        <f>'P10-Benchmark'!$B$36&amp;" | "&amp;'P10-Benchmark'!$D$36</f>
        <v>Hotel | Australia</v>
      </c>
      <c r="P729" s="63">
        <f>AVERAGEIFS('P10-Benchmark'!$G$5:$G$44,'P10-Benchmark'!$B$5:$B$44,'P10-Benchmark'!$B$36,'P10-Benchmark'!$D$5:$D$44,'P10-Benchmark'!$D$36)</f>
        <v>4789.5</v>
      </c>
      <c r="Q729" s="63">
        <f>'P10-Benchmark'!$G$36/$P729</f>
        <v>1.001565925461948</v>
      </c>
    </row>
    <row r="730" spans="1:17">
      <c r="A730" s="42" t="s">
        <v>1652</v>
      </c>
      <c r="N730" s="63" t="str">
        <f>'P10-Benchmark'!$A$37</f>
        <v>WT-BM-132</v>
      </c>
      <c r="O730" s="63" t="str">
        <f>'P10-Benchmark'!$B$37&amp;" | "&amp;'P10-Benchmark'!$D$37</f>
        <v>Data Centre | India</v>
      </c>
      <c r="P730" s="63">
        <f>AVERAGEIFS('P10-Benchmark'!$G$5:$G$44,'P10-Benchmark'!$B$5:$B$44,'P10-Benchmark'!$B$37,'P10-Benchmark'!$D$5:$D$44,'P10-Benchmark'!$D$37)</f>
        <v>614.4</v>
      </c>
      <c r="Q730" s="63">
        <f>'P10-Benchmark'!$G$37/$P730</f>
        <v>0.66243489583333337</v>
      </c>
    </row>
    <row r="731" spans="1:17">
      <c r="A731" s="43" t="s">
        <v>219</v>
      </c>
      <c r="B731" s="43" t="s">
        <v>1653</v>
      </c>
      <c r="C731" s="43" t="s">
        <v>1654</v>
      </c>
      <c r="D731" s="43" t="s">
        <v>1655</v>
      </c>
      <c r="E731" s="43" t="s">
        <v>840</v>
      </c>
      <c r="F731" s="43" t="s">
        <v>841</v>
      </c>
      <c r="N731" s="63" t="str">
        <f>'P10-Benchmark'!$A$38</f>
        <v>WT-BM-133</v>
      </c>
      <c r="O731" s="63" t="str">
        <f>'P10-Benchmark'!$B$38&amp;" | "&amp;'P10-Benchmark'!$D$38</f>
        <v>Commercial Office | Australia</v>
      </c>
      <c r="P731" s="63">
        <f>AVERAGEIFS('P10-Benchmark'!$G$5:$G$44,'P10-Benchmark'!$B$5:$B$44,'P10-Benchmark'!$B$38,'P10-Benchmark'!$D$5:$D$44,'P10-Benchmark'!$D$38)</f>
        <v>3299.75</v>
      </c>
      <c r="Q731" s="63">
        <f>'P10-Benchmark'!$G$38/$P731</f>
        <v>1.3861656186074702</v>
      </c>
    </row>
    <row r="732" spans="1:17">
      <c r="A732" t="str">
        <f>'P12-EVM'!$A$5</f>
        <v>Month 1</v>
      </c>
      <c r="B732" s="48">
        <f>'P12-EVM'!$C$5</f>
        <v>713955</v>
      </c>
      <c r="C732" s="48">
        <f>'P12-EVM'!$D$5</f>
        <v>583077</v>
      </c>
      <c r="D732" s="48">
        <f>'P12-EVM'!$E$5</f>
        <v>559427</v>
      </c>
      <c r="E732" s="40">
        <f>'P12-EVM'!$H$5</f>
        <v>0.81668592558354514</v>
      </c>
      <c r="F732" s="40">
        <f>'P12-EVM'!$I$5</f>
        <v>1.0422753996499989</v>
      </c>
      <c r="N732" s="63" t="str">
        <f>'P10-Benchmark'!$A$39</f>
        <v>WT-BM-134</v>
      </c>
      <c r="O732" s="63" t="str">
        <f>'P10-Benchmark'!$B$39&amp;" | "&amp;'P10-Benchmark'!$D$39</f>
        <v>Industrial Warehouse | Australia</v>
      </c>
      <c r="P732" s="63">
        <f>AVERAGEIFS('P10-Benchmark'!$G$5:$G$44,'P10-Benchmark'!$B$5:$B$44,'P10-Benchmark'!$B$39,'P10-Benchmark'!$D$5:$D$44,'P10-Benchmark'!$D$39)</f>
        <v>4197</v>
      </c>
      <c r="Q732" s="63">
        <f>'P10-Benchmark'!$G$39/$P732</f>
        <v>1</v>
      </c>
    </row>
    <row r="733" spans="1:17">
      <c r="A733" t="str">
        <f>'P12-EVM'!$A$6</f>
        <v>Month 2</v>
      </c>
      <c r="B733" s="48">
        <f>'P12-EVM'!$C$6</f>
        <v>1375080</v>
      </c>
      <c r="C733" s="48">
        <f>'P12-EVM'!$D$6</f>
        <v>1314419</v>
      </c>
      <c r="D733" s="48">
        <f>'P12-EVM'!$E$6</f>
        <v>1552686</v>
      </c>
      <c r="E733" s="40">
        <f>'P12-EVM'!$H$6</f>
        <v>0.95588547575413796</v>
      </c>
      <c r="F733" s="40">
        <f>'P12-EVM'!$I$6</f>
        <v>0.84654527702317151</v>
      </c>
      <c r="N733" s="63" t="str">
        <f>'P10-Benchmark'!$A$40</f>
        <v>WT-BM-135</v>
      </c>
      <c r="O733" s="63" t="str">
        <f>'P10-Benchmark'!$B$40&amp;" | "&amp;'P10-Benchmark'!$D$40</f>
        <v>University Campus | India</v>
      </c>
      <c r="P733" s="63">
        <f>AVERAGEIFS('P10-Benchmark'!$G$5:$G$44,'P10-Benchmark'!$B$5:$B$44,'P10-Benchmark'!$B$40,'P10-Benchmark'!$D$5:$D$44,'P10-Benchmark'!$D$40)</f>
        <v>440</v>
      </c>
      <c r="Q733" s="63">
        <f>'P10-Benchmark'!$G$40/$P733</f>
        <v>1</v>
      </c>
    </row>
    <row r="734" spans="1:17">
      <c r="A734" t="str">
        <f>'P12-EVM'!$A$7</f>
        <v>Month 3</v>
      </c>
      <c r="B734" s="48">
        <f>'P12-EVM'!$C$7</f>
        <v>1996674</v>
      </c>
      <c r="C734" s="48">
        <f>'P12-EVM'!$D$7</f>
        <v>1848591</v>
      </c>
      <c r="D734" s="48">
        <f>'P12-EVM'!$E$7</f>
        <v>2172516</v>
      </c>
      <c r="E734" s="40">
        <f>'P12-EVM'!$H$7</f>
        <v>0.92583516387752829</v>
      </c>
      <c r="F734" s="40">
        <f>'P12-EVM'!$I$7</f>
        <v>0.85089868152869763</v>
      </c>
      <c r="N734" s="63" t="str">
        <f>'P10-Benchmark'!$A$41</f>
        <v>WT-BM-136</v>
      </c>
      <c r="O734" s="63" t="str">
        <f>'P10-Benchmark'!$B$41&amp;" | "&amp;'P10-Benchmark'!$D$41</f>
        <v>IT Park | Australia</v>
      </c>
      <c r="P734" s="63">
        <f>AVERAGEIFS('P10-Benchmark'!$G$5:$G$44,'P10-Benchmark'!$B$5:$B$44,'P10-Benchmark'!$B$41,'P10-Benchmark'!$D$5:$D$44,'P10-Benchmark'!$D$41)</f>
        <v>3961.5</v>
      </c>
      <c r="Q734" s="63">
        <f>'P10-Benchmark'!$G$41/$P734</f>
        <v>1.1606714628297361</v>
      </c>
    </row>
    <row r="735" spans="1:17">
      <c r="A735" t="str">
        <f>'P12-EVM'!$A$8</f>
        <v>Month 4</v>
      </c>
      <c r="B735" s="48">
        <f>'P12-EVM'!$C$8</f>
        <v>2659718</v>
      </c>
      <c r="C735" s="48">
        <f>'P12-EVM'!$D$8</f>
        <v>2790438</v>
      </c>
      <c r="D735" s="48">
        <f>'P12-EVM'!$E$8</f>
        <v>2676937</v>
      </c>
      <c r="E735" s="40">
        <f>'P12-EVM'!$H$8</f>
        <v>1.049148067577089</v>
      </c>
      <c r="F735" s="40">
        <f>'P12-EVM'!$I$8</f>
        <v>1.0423995783240323</v>
      </c>
      <c r="N735" s="63" t="str">
        <f>'P10-Benchmark'!$A$42</f>
        <v>WT-BM-137</v>
      </c>
      <c r="O735" s="63" t="str">
        <f>'P10-Benchmark'!$B$42&amp;" | "&amp;'P10-Benchmark'!$D$42</f>
        <v>University Campus | Australia</v>
      </c>
      <c r="P735" s="63">
        <f>AVERAGEIFS('P10-Benchmark'!$G$5:$G$44,'P10-Benchmark'!$B$5:$B$44,'P10-Benchmark'!$B$42,'P10-Benchmark'!$D$5:$D$44,'P10-Benchmark'!$D$42)</f>
        <v>3621</v>
      </c>
      <c r="Q735" s="63">
        <f>'P10-Benchmark'!$G$42/$P735</f>
        <v>0.82877658105495722</v>
      </c>
    </row>
    <row r="736" spans="1:17">
      <c r="A736" t="str">
        <f>'P12-EVM'!$A$9</f>
        <v>Month 5</v>
      </c>
      <c r="B736" s="48">
        <f>'P12-EVM'!$C$9</f>
        <v>3522912</v>
      </c>
      <c r="C736" s="48">
        <f>'P12-EVM'!$D$9</f>
        <v>3497510</v>
      </c>
      <c r="D736" s="48">
        <f>'P12-EVM'!$E$9</f>
        <v>3244267</v>
      </c>
      <c r="E736" s="40">
        <f>'P12-EVM'!$H$9</f>
        <v>0.99278948778737586</v>
      </c>
      <c r="F736" s="40">
        <f>'P12-EVM'!$I$9</f>
        <v>1.0780586184799217</v>
      </c>
      <c r="N736" s="63" t="str">
        <f>'P10-Benchmark'!$A$43</f>
        <v>WT-BM-138</v>
      </c>
      <c r="O736" s="63" t="str">
        <f>'P10-Benchmark'!$B$43&amp;" | "&amp;'P10-Benchmark'!$D$43</f>
        <v>Data Centre | Australia</v>
      </c>
      <c r="P736" s="63">
        <f>AVERAGEIFS('P10-Benchmark'!$G$5:$G$44,'P10-Benchmark'!$B$5:$B$44,'P10-Benchmark'!$B$43,'P10-Benchmark'!$D$5:$D$44,'P10-Benchmark'!$D$43)</f>
        <v>3687.5</v>
      </c>
      <c r="Q736" s="63">
        <f>'P10-Benchmark'!$G$43/$P736</f>
        <v>1.2821694915254238</v>
      </c>
    </row>
    <row r="737" spans="1:17">
      <c r="A737" t="str">
        <f>'P12-EVM'!$A$10</f>
        <v>Month 6</v>
      </c>
      <c r="B737" s="48">
        <f>'P12-EVM'!$C$10</f>
        <v>4311364</v>
      </c>
      <c r="C737" s="48">
        <f>'P12-EVM'!$D$10</f>
        <v>4279745</v>
      </c>
      <c r="D737" s="48">
        <f>'P12-EVM'!$E$10</f>
        <v>4009086</v>
      </c>
      <c r="E737" s="40">
        <f>'P12-EVM'!$H$10</f>
        <v>0.99266612607982063</v>
      </c>
      <c r="F737" s="40">
        <f>'P12-EVM'!$I$10</f>
        <v>1.0675113978597615</v>
      </c>
      <c r="N737" s="63" t="str">
        <f>'P10-Benchmark'!$A$44</f>
        <v>WT-BM-139</v>
      </c>
      <c r="O737" s="63" t="str">
        <f>'P10-Benchmark'!$B$44&amp;" | "&amp;'P10-Benchmark'!$D$44</f>
        <v>Data Centre | India</v>
      </c>
      <c r="P737" s="63">
        <f>AVERAGEIFS('P10-Benchmark'!$G$5:$G$44,'P10-Benchmark'!$B$5:$B$44,'P10-Benchmark'!$B$44,'P10-Benchmark'!$D$5:$D$44,'P10-Benchmark'!$D$44)</f>
        <v>614.4</v>
      </c>
      <c r="Q737" s="63">
        <f>'P10-Benchmark'!$G$44/$P737</f>
        <v>1.2353515625</v>
      </c>
    </row>
    <row r="738" spans="1:17">
      <c r="A738" t="str">
        <f>'P12-EVM'!$A$11</f>
        <v>Month 7</v>
      </c>
      <c r="B738" s="48">
        <f>'P12-EVM'!$C$11</f>
        <v>5076108</v>
      </c>
      <c r="C738" s="48">
        <f>'P12-EVM'!$D$11</f>
        <v>3884193</v>
      </c>
      <c r="D738" s="48">
        <f>'P12-EVM'!$E$11</f>
        <v>4572625</v>
      </c>
      <c r="E738" s="40">
        <f>'P12-EVM'!$H$11</f>
        <v>0.76519116614540117</v>
      </c>
      <c r="F738" s="40">
        <f>'P12-EVM'!$I$11</f>
        <v>0.8494449030917689</v>
      </c>
    </row>
    <row r="739" spans="1:17">
      <c r="A739" t="str">
        <f>'P12-EVM'!$A$12</f>
        <v>Month 8</v>
      </c>
      <c r="B739" s="48">
        <f>'P12-EVM'!$C$12</f>
        <v>5518420</v>
      </c>
      <c r="C739" s="48">
        <f>'P12-EVM'!$D$12</f>
        <v>5338129</v>
      </c>
      <c r="D739" s="48">
        <f>'P12-EVM'!$E$12</f>
        <v>5598832</v>
      </c>
      <c r="E739" s="40">
        <f>'P12-EVM'!$H$12</f>
        <v>0.9673292355420573</v>
      </c>
      <c r="F739" s="40">
        <f>'P12-EVM'!$I$12</f>
        <v>0.95343618097488902</v>
      </c>
    </row>
    <row r="740" spans="1:17">
      <c r="A740" t="str">
        <f>'P12-EVM'!$A$13</f>
        <v>Month 9</v>
      </c>
      <c r="B740" s="48">
        <f>'P12-EVM'!$C$13</f>
        <v>6176705</v>
      </c>
      <c r="C740" s="48">
        <f>'P12-EVM'!$D$13</f>
        <v>5423142</v>
      </c>
      <c r="D740" s="48">
        <f>'P12-EVM'!$E$13</f>
        <v>5456673</v>
      </c>
      <c r="E740" s="40">
        <f>'P12-EVM'!$H$13</f>
        <v>0.87799919212589883</v>
      </c>
      <c r="F740" s="40">
        <f>'P12-EVM'!$I$13</f>
        <v>0.9938550468389804</v>
      </c>
    </row>
    <row r="741" spans="1:17">
      <c r="A741" t="str">
        <f>'P12-EVM'!$A$14</f>
        <v>Month 10</v>
      </c>
      <c r="B741" s="48">
        <f>'P12-EVM'!$C$14</f>
        <v>7227989</v>
      </c>
      <c r="C741" s="48">
        <f>'P12-EVM'!$D$14</f>
        <v>6017261</v>
      </c>
      <c r="D741" s="48">
        <f>'P12-EVM'!$E$14</f>
        <v>6220665</v>
      </c>
      <c r="E741" s="40">
        <f>'P12-EVM'!$H$14</f>
        <v>0.83249448774756019</v>
      </c>
      <c r="F741" s="40">
        <f>'P12-EVM'!$I$14</f>
        <v>0.96730188814218421</v>
      </c>
    </row>
    <row r="742" spans="1:17">
      <c r="A742" t="str">
        <f>'P12-EVM'!$A$15</f>
        <v>Month 11</v>
      </c>
      <c r="B742" s="48">
        <f>'P12-EVM'!$C$15</f>
        <v>7370482</v>
      </c>
      <c r="C742" s="48">
        <f>'P12-EVM'!$D$15</f>
        <v>6885739</v>
      </c>
      <c r="D742" s="48">
        <f>'P12-EVM'!$E$15</f>
        <v>7471668</v>
      </c>
      <c r="E742" s="40">
        <f>'P12-EVM'!$H$15</f>
        <v>0.93423184535285486</v>
      </c>
      <c r="F742" s="40">
        <f>'P12-EVM'!$I$15</f>
        <v>0.92157989353916692</v>
      </c>
    </row>
    <row r="743" spans="1:17">
      <c r="A743" t="str">
        <f>'P12-EVM'!$A$16</f>
        <v>Month 12</v>
      </c>
      <c r="B743" s="48">
        <f>'P12-EVM'!$C$16</f>
        <v>8456065</v>
      </c>
      <c r="C743" s="48">
        <f>'P12-EVM'!$D$16</f>
        <v>7607646</v>
      </c>
      <c r="D743" s="48">
        <f>'P12-EVM'!$E$16</f>
        <v>8861641</v>
      </c>
      <c r="E743" s="40">
        <f>'P12-EVM'!$H$16</f>
        <v>0.89966739848854049</v>
      </c>
      <c r="F743" s="40">
        <f>'P12-EVM'!$I$16</f>
        <v>0.85849178498655043</v>
      </c>
    </row>
    <row r="744" spans="1:17">
      <c r="A744" t="str">
        <f>'P12-EVM'!$A$17</f>
        <v>Month 13</v>
      </c>
      <c r="B744" s="48">
        <f>'P12-EVM'!$C$17</f>
        <v>9008847</v>
      </c>
      <c r="C744" s="48">
        <f>'P12-EVM'!$D$17</f>
        <v>6993716</v>
      </c>
      <c r="D744" s="48">
        <f>'P12-EVM'!$E$17</f>
        <v>7097954</v>
      </c>
      <c r="E744" s="40">
        <f>'P12-EVM'!$H$17</f>
        <v>0.77631643649847759</v>
      </c>
      <c r="F744" s="40">
        <f>'P12-EVM'!$I$17</f>
        <v>0.98531435960278135</v>
      </c>
    </row>
    <row r="745" spans="1:17">
      <c r="A745" t="str">
        <f>'P12-EVM'!$A$18</f>
        <v>Month 14</v>
      </c>
      <c r="B745" s="48">
        <f>'P12-EVM'!$C$18</f>
        <v>9643700</v>
      </c>
      <c r="C745" s="48">
        <f>'P12-EVM'!$D$18</f>
        <v>9092039</v>
      </c>
      <c r="D745" s="48">
        <f>'P12-EVM'!$E$18</f>
        <v>10357281</v>
      </c>
      <c r="E745" s="40">
        <f>'P12-EVM'!$H$18</f>
        <v>0.94279571118968863</v>
      </c>
      <c r="F745" s="40">
        <f>'P12-EVM'!$I$18</f>
        <v>0.87784033280549212</v>
      </c>
    </row>
    <row r="746" spans="1:17">
      <c r="A746" t="str">
        <f>'P12-EVM'!$A$19</f>
        <v>Month 15</v>
      </c>
      <c r="B746" s="48">
        <f>'P12-EVM'!$C$19</f>
        <v>10155362</v>
      </c>
      <c r="C746" s="48">
        <f>'P12-EVM'!$D$19</f>
        <v>10645116</v>
      </c>
      <c r="D746" s="48">
        <f>'P12-EVM'!$E$19</f>
        <v>11316790</v>
      </c>
      <c r="E746" s="40">
        <f>'P12-EVM'!$H$19</f>
        <v>1.0482261489053764</v>
      </c>
      <c r="F746" s="40">
        <f>'P12-EVM'!$I$19</f>
        <v>0.94064801061078274</v>
      </c>
    </row>
    <row r="747" spans="1:17">
      <c r="A747" t="str">
        <f>'P12-EVM'!$A$20</f>
        <v>Month 16</v>
      </c>
      <c r="B747" s="48">
        <f>'P12-EVM'!$C$20</f>
        <v>10577255</v>
      </c>
      <c r="C747" s="48">
        <f>'P12-EVM'!$D$20</f>
        <v>9146675</v>
      </c>
      <c r="D747" s="48">
        <f>'P12-EVM'!$E$20</f>
        <v>10189498</v>
      </c>
      <c r="E747" s="40">
        <f>'P12-EVM'!$H$20</f>
        <v>0.86474940804584932</v>
      </c>
      <c r="F747" s="40">
        <f>'P12-EVM'!$I$20</f>
        <v>0.89765707790511373</v>
      </c>
    </row>
    <row r="748" spans="1:17">
      <c r="A748" t="str">
        <f>'P12-EVM'!$A$21</f>
        <v>Month 17</v>
      </c>
      <c r="B748" s="48">
        <f>'P12-EVM'!$C$21</f>
        <v>11781571</v>
      </c>
      <c r="C748" s="48">
        <f>'P12-EVM'!$D$21</f>
        <v>11598138</v>
      </c>
      <c r="D748" s="48">
        <f>'P12-EVM'!$E$21</f>
        <v>11635370</v>
      </c>
      <c r="E748" s="40">
        <f>'P12-EVM'!$H$21</f>
        <v>0.98443051440253593</v>
      </c>
      <c r="F748" s="40">
        <f>'P12-EVM'!$I$21</f>
        <v>0.99680010175868927</v>
      </c>
    </row>
    <row r="749" spans="1:17">
      <c r="A749" t="str">
        <f>'P12-EVM'!$A$22</f>
        <v>Month 18</v>
      </c>
      <c r="B749" s="48">
        <f>'P12-EVM'!$C$22</f>
        <v>12582063</v>
      </c>
      <c r="C749" s="48">
        <f>'P12-EVM'!$D$22</f>
        <v>10650481</v>
      </c>
      <c r="D749" s="48">
        <f>'P12-EVM'!$E$22</f>
        <v>10449513</v>
      </c>
      <c r="E749" s="40">
        <f>'P12-EVM'!$H$22</f>
        <v>0.84648129642968728</v>
      </c>
      <c r="F749" s="40">
        <f>'P12-EVM'!$I$22</f>
        <v>1.0192322838394479</v>
      </c>
    </row>
    <row r="750" spans="1:17">
      <c r="A750" t="str">
        <f>'P12-EVM'!$A$23</f>
        <v>Month 19</v>
      </c>
      <c r="B750" s="48">
        <f>'P12-EVM'!$C$23</f>
        <v>12569110</v>
      </c>
      <c r="C750" s="48">
        <f>'P12-EVM'!$D$23</f>
        <v>11678398</v>
      </c>
      <c r="D750" s="48">
        <f>'P12-EVM'!$E$23</f>
        <v>10613223</v>
      </c>
      <c r="E750" s="40">
        <f>'P12-EVM'!$H$23</f>
        <v>0.92913483930047558</v>
      </c>
      <c r="F750" s="40">
        <f>'P12-EVM'!$I$23</f>
        <v>1.1003630094270138</v>
      </c>
    </row>
    <row r="751" spans="1:17">
      <c r="A751" t="str">
        <f>'P12-EVM'!$A$24</f>
        <v>Month 20</v>
      </c>
      <c r="B751" s="48">
        <f>'P12-EVM'!$C$24</f>
        <v>14320401</v>
      </c>
      <c r="C751" s="48">
        <f>'P12-EVM'!$D$24</f>
        <v>11947221</v>
      </c>
      <c r="D751" s="48">
        <f>'P12-EVM'!$E$24</f>
        <v>13650848</v>
      </c>
      <c r="E751" s="40">
        <f>'P12-EVM'!$H$24</f>
        <v>0.83427978029386185</v>
      </c>
      <c r="F751" s="40">
        <f>'P12-EVM'!$I$24</f>
        <v>0.87519991432034117</v>
      </c>
    </row>
    <row r="752" spans="1:17">
      <c r="A752" t="str">
        <f>'P12-EVM'!$A$25</f>
        <v>Month 21</v>
      </c>
      <c r="B752" s="48">
        <f>'P12-EVM'!$C$25</f>
        <v>14542039</v>
      </c>
      <c r="C752" s="48">
        <f>'P12-EVM'!$D$25</f>
        <v>12465870</v>
      </c>
      <c r="D752" s="48">
        <f>'P12-EVM'!$E$25</f>
        <v>13403261</v>
      </c>
      <c r="E752" s="40">
        <f>'P12-EVM'!$H$25</f>
        <v>0.85722985614328229</v>
      </c>
      <c r="F752" s="40">
        <f>'P12-EVM'!$I$25</f>
        <v>0.9300624676338094</v>
      </c>
    </row>
    <row r="753" spans="1:6">
      <c r="A753" t="str">
        <f>'P12-EVM'!$A$26</f>
        <v>Month 22</v>
      </c>
      <c r="B753" s="48">
        <f>'P12-EVM'!$C$26</f>
        <v>14869497</v>
      </c>
      <c r="C753" s="48">
        <f>'P12-EVM'!$D$26</f>
        <v>11864184</v>
      </c>
      <c r="D753" s="48">
        <f>'P12-EVM'!$E$26</f>
        <v>11559952</v>
      </c>
      <c r="E753" s="40">
        <f>'P12-EVM'!$H$26</f>
        <v>0.79788737978157565</v>
      </c>
      <c r="F753" s="40">
        <f>'P12-EVM'!$I$26</f>
        <v>1.0263177563367045</v>
      </c>
    </row>
    <row r="754" spans="1:6">
      <c r="A754" t="str">
        <f>'P12-EVM'!$A$27</f>
        <v>Month 23</v>
      </c>
      <c r="B754" s="48">
        <f>'P12-EVM'!$C$27</f>
        <v>15558785</v>
      </c>
      <c r="C754" s="48">
        <f>'P12-EVM'!$D$27</f>
        <v>14160157</v>
      </c>
      <c r="D754" s="48">
        <f>'P12-EVM'!$E$27</f>
        <v>16105354</v>
      </c>
      <c r="E754" s="40">
        <f>'P12-EVM'!$H$27</f>
        <v>0.91010686245744765</v>
      </c>
      <c r="F754" s="40">
        <f>'P12-EVM'!$I$27</f>
        <v>0.87922047537731862</v>
      </c>
    </row>
    <row r="755" spans="1:6">
      <c r="A755" t="str">
        <f>'P12-EVM'!$A$28</f>
        <v>Month 24</v>
      </c>
      <c r="B755" s="48">
        <f>'P12-EVM'!$C$28</f>
        <v>17061766</v>
      </c>
      <c r="C755" s="48">
        <f>'P12-EVM'!$D$28</f>
        <v>16707135</v>
      </c>
      <c r="D755" s="48">
        <f>'P12-EVM'!$E$28</f>
        <v>19786940</v>
      </c>
      <c r="E755" s="40">
        <f>'P12-EVM'!$H$28</f>
        <v>0.97921487142655694</v>
      </c>
      <c r="F755" s="40">
        <f>'P12-EVM'!$I$28</f>
        <v>0.84435162789193274</v>
      </c>
    </row>
    <row r="756" spans="1:6">
      <c r="A756" t="str">
        <f>'P12-EVM'!$A$29</f>
        <v>Month 25</v>
      </c>
      <c r="B756" s="48">
        <f>'P12-EVM'!$C$29</f>
        <v>17492521</v>
      </c>
      <c r="C756" s="48">
        <f>'P12-EVM'!$D$29</f>
        <v>18276175</v>
      </c>
      <c r="D756" s="48">
        <f>'P12-EVM'!$E$29</f>
        <v>18578220</v>
      </c>
      <c r="E756" s="40">
        <f>'P12-EVM'!$H$29</f>
        <v>1.0447993745441266</v>
      </c>
      <c r="F756" s="40">
        <f>'P12-EVM'!$I$29</f>
        <v>0.98374198389296719</v>
      </c>
    </row>
    <row r="757" spans="1:6">
      <c r="A757" t="str">
        <f>'P12-EVM'!$A$30</f>
        <v>Month 26</v>
      </c>
      <c r="B757" s="48">
        <f>'P12-EVM'!$C$30</f>
        <v>18841344</v>
      </c>
      <c r="C757" s="48">
        <f>'P12-EVM'!$D$30</f>
        <v>19735602</v>
      </c>
      <c r="D757" s="48">
        <f>'P12-EVM'!$E$30</f>
        <v>18790535</v>
      </c>
      <c r="E757" s="40">
        <f>'P12-EVM'!$H$30</f>
        <v>1.0474625377043167</v>
      </c>
      <c r="F757" s="40">
        <f>'P12-EVM'!$I$30</f>
        <v>1.0502948425896335</v>
      </c>
    </row>
    <row r="758" spans="1:6">
      <c r="A758" t="str">
        <f>'P12-EVM'!$A$31</f>
        <v>Month 27</v>
      </c>
      <c r="B758" s="48">
        <f>'P12-EVM'!$C$31</f>
        <v>18256033</v>
      </c>
      <c r="C758" s="48">
        <f>'P12-EVM'!$D$31</f>
        <v>15433674</v>
      </c>
      <c r="D758" s="48">
        <f>'P12-EVM'!$E$31</f>
        <v>17307808</v>
      </c>
      <c r="E758" s="40">
        <f>'P12-EVM'!$H$31</f>
        <v>0.84540129829958133</v>
      </c>
      <c r="F758" s="40">
        <f>'P12-EVM'!$I$31</f>
        <v>0.89171742603107218</v>
      </c>
    </row>
    <row r="759" spans="1:6">
      <c r="A759" t="str">
        <f>'P12-EVM'!$A$32</f>
        <v>Month 28</v>
      </c>
      <c r="B759" s="48">
        <f>'P12-EVM'!$C$32</f>
        <v>19169856</v>
      </c>
      <c r="C759" s="48">
        <f>'P12-EVM'!$D$32</f>
        <v>17779442</v>
      </c>
      <c r="D759" s="48">
        <f>'P12-EVM'!$E$32</f>
        <v>19753597</v>
      </c>
      <c r="E759" s="40">
        <f>'P12-EVM'!$H$32</f>
        <v>0.92746873007288111</v>
      </c>
      <c r="F759" s="40">
        <f>'P12-EVM'!$I$32</f>
        <v>0.90006098636111687</v>
      </c>
    </row>
    <row r="760" spans="1:6">
      <c r="A760" t="str">
        <f>'P12-EVM'!$A$33</f>
        <v>Month 29</v>
      </c>
      <c r="B760" s="48">
        <f>'P12-EVM'!$C$33</f>
        <v>19840193</v>
      </c>
      <c r="C760" s="48">
        <f>'P12-EVM'!$D$33</f>
        <v>18258838</v>
      </c>
      <c r="D760" s="48">
        <f>'P12-EVM'!$E$33</f>
        <v>17211341</v>
      </c>
      <c r="E760" s="40">
        <f>'P12-EVM'!$H$33</f>
        <v>0.9202953822072194</v>
      </c>
      <c r="F760" s="40">
        <f>'P12-EVM'!$I$33</f>
        <v>1.0608608591277111</v>
      </c>
    </row>
    <row r="761" spans="1:6">
      <c r="A761" t="str">
        <f>'P12-EVM'!$A$34</f>
        <v>Month 30</v>
      </c>
      <c r="B761" s="48">
        <f>'P12-EVM'!$C$34</f>
        <v>21767434</v>
      </c>
      <c r="C761" s="48">
        <f>'P12-EVM'!$D$34</f>
        <v>21789398</v>
      </c>
      <c r="D761" s="48">
        <f>'P12-EVM'!$E$34</f>
        <v>24907904</v>
      </c>
      <c r="E761" s="40">
        <f>'P12-EVM'!$H$34</f>
        <v>1.0010090302789019</v>
      </c>
      <c r="F761" s="40">
        <f>'P12-EVM'!$I$34</f>
        <v>0.87479853784565731</v>
      </c>
    </row>
    <row r="762" spans="1:6">
      <c r="A762" t="str">
        <f>'P12-EVM'!$A$35</f>
        <v>Month 31</v>
      </c>
      <c r="B762" s="48">
        <f>'P12-EVM'!$C$35</f>
        <v>22540417</v>
      </c>
      <c r="C762" s="48">
        <f>'P12-EVM'!$D$35</f>
        <v>20571227</v>
      </c>
      <c r="D762" s="48">
        <f>'P12-EVM'!$E$35</f>
        <v>19597529</v>
      </c>
      <c r="E762" s="40">
        <f>'P12-EVM'!$H$35</f>
        <v>0.91263737489860985</v>
      </c>
      <c r="F762" s="40">
        <f>'P12-EVM'!$I$35</f>
        <v>1.0496847332130494</v>
      </c>
    </row>
    <row r="763" spans="1:6">
      <c r="A763" t="str">
        <f>'P12-EVM'!$A$36</f>
        <v>Month 32</v>
      </c>
      <c r="B763" s="48">
        <f>'P12-EVM'!$C$36</f>
        <v>21195474</v>
      </c>
      <c r="C763" s="48">
        <f>'P12-EVM'!$D$36</f>
        <v>16253757</v>
      </c>
      <c r="D763" s="48">
        <f>'P12-EVM'!$E$36</f>
        <v>17562165</v>
      </c>
      <c r="E763" s="40">
        <f>'P12-EVM'!$H$36</f>
        <v>0.76685036626215575</v>
      </c>
      <c r="F763" s="40">
        <f>'P12-EVM'!$I$36</f>
        <v>0.92549847925924855</v>
      </c>
    </row>
    <row r="764" spans="1:6">
      <c r="A764" t="str">
        <f>'P12-EVM'!$A$37</f>
        <v>Month 33</v>
      </c>
      <c r="B764" s="48">
        <f>'P12-EVM'!$C$37</f>
        <v>21816501</v>
      </c>
      <c r="C764" s="48">
        <f>'P12-EVM'!$D$37</f>
        <v>19490789</v>
      </c>
      <c r="D764" s="48">
        <f>'P12-EVM'!$E$37</f>
        <v>19481437</v>
      </c>
      <c r="E764" s="40">
        <f>'P12-EVM'!$H$37</f>
        <v>0.89339665421141545</v>
      </c>
      <c r="F764" s="40">
        <f>'P12-EVM'!$I$37</f>
        <v>1.0004800467234527</v>
      </c>
    </row>
    <row r="765" spans="1:6">
      <c r="A765" t="str">
        <f>'P12-EVM'!$A$38</f>
        <v>Month 34</v>
      </c>
      <c r="B765" s="48">
        <f>'P12-EVM'!$C$38</f>
        <v>23880595</v>
      </c>
      <c r="C765" s="48">
        <f>'P12-EVM'!$D$38</f>
        <v>23687965</v>
      </c>
      <c r="D765" s="48">
        <f>'P12-EVM'!$E$38</f>
        <v>23740734</v>
      </c>
      <c r="E765" s="40">
        <f>'P12-EVM'!$H$38</f>
        <v>0.99193361806939906</v>
      </c>
      <c r="F765" s="40">
        <f>'P12-EVM'!$I$38</f>
        <v>0.99777728018013256</v>
      </c>
    </row>
    <row r="766" spans="1:6">
      <c r="A766" t="str">
        <f>'P12-EVM'!$A$39</f>
        <v>Month 35</v>
      </c>
      <c r="B766" s="48">
        <f>'P12-EVM'!$C$39</f>
        <v>23521603</v>
      </c>
      <c r="C766" s="48">
        <f>'P12-EVM'!$D$39</f>
        <v>23303495</v>
      </c>
      <c r="D766" s="48">
        <f>'P12-EVM'!$E$39</f>
        <v>27042893</v>
      </c>
      <c r="E766" s="40">
        <f>'P12-EVM'!$H$39</f>
        <v>0.99072733265670709</v>
      </c>
      <c r="F766" s="40">
        <f>'P12-EVM'!$I$39</f>
        <v>0.86172344800535949</v>
      </c>
    </row>
    <row r="767" spans="1:6">
      <c r="A767" t="str">
        <f>'P12-EVM'!$A$40</f>
        <v>Month 36</v>
      </c>
      <c r="B767" s="48">
        <f>'P12-EVM'!$C$40</f>
        <v>23898889</v>
      </c>
      <c r="C767" s="48">
        <f>'P12-EVM'!$D$40</f>
        <v>18983212</v>
      </c>
      <c r="D767" s="48">
        <f>'P12-EVM'!$E$40</f>
        <v>21098110</v>
      </c>
      <c r="E767" s="40">
        <f>'P12-EVM'!$H$40</f>
        <v>0.79431357666877322</v>
      </c>
      <c r="F767" s="40">
        <f>'P12-EVM'!$I$40</f>
        <v>0.89975888835540241</v>
      </c>
    </row>
    <row r="768" spans="1:6">
      <c r="A768" s="44" t="str">
        <f>"ANSWER: The S-curve to the right plots PV, EV and AC over 36 months. At Month 36: PV "&amp;TEXT($B$767,"""$""#,##0")&amp;", EV "&amp;TEXT($C$767,"""$""#,##0")&amp;", AC "&amp;TEXT($D$767,"""$""#,##0")&amp;". EV sits "&amp;TEXT($C$767-$B$767,"""$""#,##0")&amp;" against plan and AC is "&amp;TEXT($D$767-$C$767,"""$""#,##0")&amp;" above value earned — the classic signature of a project that is both behind schedule and over cost."</f>
        <v>ANSWER: The S-curve to the right plots PV, EV and AC over 36 months. At Month 36: PV $2,38,98,889, EV $1,89,83,212, AC $2,10,98,110. EV sits -$49,15,677 against plan and AC is $21,14,898 above value earned — the classic signature of a project that is both behind schedule and over cost.</v>
      </c>
    </row>
    <row r="770" spans="1:6">
      <c r="A770" s="42" t="s">
        <v>884</v>
      </c>
    </row>
    <row r="771" spans="1:6">
      <c r="A771" t="s">
        <v>1656</v>
      </c>
      <c r="B771" s="70">
        <v>0.9</v>
      </c>
      <c r="C771" t="s">
        <v>1657</v>
      </c>
      <c r="D771" t="str" cm="1">
        <f t="array" ref="D771">INDEX('P12-EVM'!$A$5:$A$40,MATCH(TRUE,INDEX('P12-EVM'!$H$5:$H$40&lt;$B$771,0),0))</f>
        <v>Month 1</v>
      </c>
      <c r="E771" t="s">
        <v>1658</v>
      </c>
      <c r="F771">
        <f>COUNTIF('P12-EVM'!$H$5:$H$40,"&lt;"&amp;$B$771)</f>
        <v>15</v>
      </c>
    </row>
    <row r="772" spans="1:6">
      <c r="A772" t="s">
        <v>1659</v>
      </c>
      <c r="B772" s="40">
        <f>MIN('P12-EVM'!$H$5:$H$40)</f>
        <v>0.76519116614540117</v>
      </c>
      <c r="C772" t="s">
        <v>1660</v>
      </c>
      <c r="D772" t="str">
        <f>INDEX('P12-EVM'!$A$5:$A$40,MATCH(MIN('P12-EVM'!$H$5:$H$40),'P12-EVM'!$H$5:$H$40,0))</f>
        <v>Month 7</v>
      </c>
      <c r="E772" t="s">
        <v>1661</v>
      </c>
      <c r="F772" s="40">
        <f>INDEX('P12-EVM'!$H$5:$H$40,36)</f>
        <v>0.79431357666877322</v>
      </c>
    </row>
    <row r="773" spans="1:6">
      <c r="A773" s="44" t="str">
        <f>"ANSWER: SPI first falls below 0.90 in "&amp;$D$771&amp;", and is below 0.90 in "&amp;$F$771&amp;" of the 36 months. The low point is "&amp;TEXT($B$772,"0.000")&amp;" in "&amp;$D$772&amp;", and the project closes Month 36 at SPI "&amp;TEXT($F$772,"0.000")&amp;" — schedule recovery has not happened."</f>
        <v>ANSWER: SPI first falls below 0.90 in Month 1, and is below 0.90 in 15 of the 36 months. The low point is 0.765 in Month 7, and the project closes Month 36 at SPI 0.794 — schedule recovery has not happened.</v>
      </c>
    </row>
    <row r="775" spans="1:6">
      <c r="A775" s="42" t="s">
        <v>885</v>
      </c>
    </row>
    <row r="776" spans="1:6">
      <c r="A776" t="s">
        <v>1662</v>
      </c>
      <c r="B776" s="70">
        <v>1</v>
      </c>
      <c r="C776" t="s">
        <v>1663</v>
      </c>
      <c r="D776" s="67">
        <v>24</v>
      </c>
    </row>
    <row r="777" spans="1:6">
      <c r="A777" t="s">
        <v>1664</v>
      </c>
      <c r="B777" s="48" cm="1">
        <f t="array" ref="B777">INDEX('P12-EVM'!$D$5:$D$40,$D$776)</f>
        <v>16707135</v>
      </c>
      <c r="C777" t="s">
        <v>1665</v>
      </c>
      <c r="D777" s="48" cm="1">
        <f t="array" ref="D777">INDEX('P12-EVM'!$E$5:$E$40,$D$776)</f>
        <v>19786940</v>
      </c>
      <c r="E777" t="s">
        <v>1666</v>
      </c>
      <c r="F777" s="40" cm="1">
        <f t="array" ref="F777">INDEX('P12-EVM'!$I$5:$I$40,$D$776)</f>
        <v>0.84435162789193274</v>
      </c>
    </row>
    <row r="778" spans="1:6">
      <c r="A778" t="s">
        <v>1667</v>
      </c>
      <c r="B778" s="48">
        <f>B777/$B$776</f>
        <v>16707135</v>
      </c>
      <c r="C778" t="s">
        <v>1668</v>
      </c>
      <c r="D778" s="48">
        <f>D777-B778</f>
        <v>3079805</v>
      </c>
      <c r="E778" t="s">
        <v>1669</v>
      </c>
      <c r="F778" s="39">
        <f>D778/D777</f>
        <v>0.15564837210806723</v>
      </c>
    </row>
    <row r="779" spans="1:6">
      <c r="A779" s="44" t="str">
        <f>"ANSWER: At Month 24, EV is "&amp;TEXT($B$777,"""$""#,##0")&amp;" against AC of "&amp;TEXT($D$777,"""$""#,##0")&amp;" (CPI "&amp;TEXT($F$777,"0.000")&amp;"). To reach CPI = 1.00 the actual cost would have to be no more than "&amp;TEXT($B$778,"""$""#,##0")&amp;", so "&amp;TEXT($D$778,"""$""#,##0")&amp;" ("&amp;TEXT($F$778,"0.0%")&amp;" of spend to date) must be recovered — through value engineering, claim recovery or productivity gains — or the target must be reset."</f>
        <v>ANSWER: At Month 24, EV is $1,67,07,135 against AC of $1,97,86,940 (CPI 0.844). To reach CPI = 1.00 the actual cost would have to be no more than $1,67,07,135, so $30,79,805 (15.6% of spend to date) must be recovered — through value engineering, claim recovery or productivity gains — or the target must be reset.</v>
      </c>
    </row>
    <row r="781" spans="1:6">
      <c r="A781" s="41" t="s">
        <v>1670</v>
      </c>
      <c r="B781" s="41"/>
      <c r="C781" s="41"/>
      <c r="D781" s="41"/>
      <c r="E781" s="41"/>
      <c r="F781" s="41"/>
    </row>
    <row r="782" spans="1:6">
      <c r="A782" s="42" t="s">
        <v>1671</v>
      </c>
    </row>
    <row r="783" spans="1:6">
      <c r="A783" s="43" t="s">
        <v>220</v>
      </c>
      <c r="B783" s="43" t="s">
        <v>1672</v>
      </c>
      <c r="C783" s="43" t="s">
        <v>1673</v>
      </c>
      <c r="D783" s="43" t="s">
        <v>1674</v>
      </c>
      <c r="E783" s="43" t="s">
        <v>1675</v>
      </c>
      <c r="F783" s="43" t="s">
        <v>1676</v>
      </c>
    </row>
    <row r="784" spans="1:6">
      <c r="A784" t="s">
        <v>229</v>
      </c>
      <c r="B784" s="54" cm="1">
        <f t="array" ref="B784">IFERROR(SUMPRODUCT(('P13-LeadTime'!$B$5:$B$54=$A784)*(DATEVALUE('P13-LeadTime'!$F$5:$F$54)-DATEVALUE('P13-LeadTime'!$D$5:$D$54)))/COUNTIF('P13-LeadTime'!$B$5:$B$54,$A784),"-")</f>
        <v>38.6</v>
      </c>
      <c r="C784">
        <f>COUNTIF('P13-LeadTime'!$B$5:$B$54,$A784)</f>
        <v>5</v>
      </c>
      <c r="D784" s="54" cm="1">
        <f t="array" ref="D784">IFERROR(MIN(IF('P13-LeadTime'!$B$5:$B$54=$A784,(DATEVALUE('P13-LeadTime'!$F$5:$F$54)-DATEVALUE('P13-LeadTime'!$D$5:$D$54)))),"-")</f>
        <v>24</v>
      </c>
      <c r="E784" s="54" cm="1">
        <f t="array" ref="E784">IFERROR(MAX(IF('P13-LeadTime'!$B$5:$B$54=$A784,(DATEVALUE('P13-LeadTime'!$F$5:$F$54)-DATEVALUE('P13-LeadTime'!$D$5:$D$54)))),"-")</f>
        <v>52</v>
      </c>
      <c r="F784" s="54" cm="1">
        <f t="array" ref="F784">IFERROR(STDEV(IF('P13-LeadTime'!$B$5:$B$54=$A784,(DATEVALUE('P13-LeadTime'!$F$5:$F$54)-DATEVALUE('P13-LeadTime'!$D$5:$D$54)))),"-")</f>
        <v>13.107249902248753</v>
      </c>
    </row>
    <row r="785" spans="1:6">
      <c r="A785" t="s">
        <v>246</v>
      </c>
      <c r="B785" s="54" cm="1">
        <f t="array" ref="B785">IFERROR(SUMPRODUCT(('P13-LeadTime'!$B$5:$B$54=$A785)*(DATEVALUE('P13-LeadTime'!$F$5:$F$54)-DATEVALUE('P13-LeadTime'!$D$5:$D$54)))/COUNTIF('P13-LeadTime'!$B$5:$B$54,$A785),"-")</f>
        <v>26.25</v>
      </c>
      <c r="C785">
        <f>COUNTIF('P13-LeadTime'!$B$5:$B$54,$A785)</f>
        <v>4</v>
      </c>
      <c r="D785" s="54" cm="1">
        <f t="array" ref="D785">IFERROR(MIN(IF('P13-LeadTime'!$B$5:$B$54=$A785,(DATEVALUE('P13-LeadTime'!$F$5:$F$54)-DATEVALUE('P13-LeadTime'!$D$5:$D$54)))),"-")</f>
        <v>12</v>
      </c>
      <c r="E785" s="54" cm="1">
        <f t="array" ref="E785">IFERROR(MAX(IF('P13-LeadTime'!$B$5:$B$54=$A785,(DATEVALUE('P13-LeadTime'!$F$5:$F$54)-DATEVALUE('P13-LeadTime'!$D$5:$D$54)))),"-")</f>
        <v>42</v>
      </c>
      <c r="F785" s="54" cm="1">
        <f t="array" ref="F785">IFERROR(STDEV(IF('P13-LeadTime'!$B$5:$B$54=$A785,(DATEVALUE('P13-LeadTime'!$F$5:$F$54)-DATEVALUE('P13-LeadTime'!$D$5:$D$54)))),"-")</f>
        <v>15.456929406148772</v>
      </c>
    </row>
    <row r="786" spans="1:6">
      <c r="A786" t="s">
        <v>245</v>
      </c>
      <c r="B786" s="54" cm="1">
        <f t="array" ref="B786">IFERROR(SUMPRODUCT(('P13-LeadTime'!$B$5:$B$54=$A786)*(DATEVALUE('P13-LeadTime'!$F$5:$F$54)-DATEVALUE('P13-LeadTime'!$D$5:$D$54)))/COUNTIF('P13-LeadTime'!$B$5:$B$54,$A786),"-")</f>
        <v>41</v>
      </c>
      <c r="C786">
        <f>COUNTIF('P13-LeadTime'!$B$5:$B$54,$A786)</f>
        <v>6</v>
      </c>
      <c r="D786" s="54" cm="1">
        <f t="array" ref="D786">IFERROR(MIN(IF('P13-LeadTime'!$B$5:$B$54=$A786,(DATEVALUE('P13-LeadTime'!$F$5:$F$54)-DATEVALUE('P13-LeadTime'!$D$5:$D$54)))),"-")</f>
        <v>18</v>
      </c>
      <c r="E786" s="54" cm="1">
        <f t="array" ref="E786">IFERROR(MAX(IF('P13-LeadTime'!$B$5:$B$54=$A786,(DATEVALUE('P13-LeadTime'!$F$5:$F$54)-DATEVALUE('P13-LeadTime'!$D$5:$D$54)))),"-")</f>
        <v>77</v>
      </c>
      <c r="F786" s="54" cm="1">
        <f t="array" ref="F786">IFERROR(STDEV(IF('P13-LeadTime'!$B$5:$B$54=$A786,(DATEVALUE('P13-LeadTime'!$F$5:$F$54)-DATEVALUE('P13-LeadTime'!$D$5:$D$54)))),"-")</f>
        <v>20.129580224137811</v>
      </c>
    </row>
    <row r="787" spans="1:6">
      <c r="A787" t="s">
        <v>233</v>
      </c>
      <c r="B787" s="54" cm="1">
        <f t="array" ref="B787">IFERROR(SUMPRODUCT(('P13-LeadTime'!$B$5:$B$54=$A787)*(DATEVALUE('P13-LeadTime'!$F$5:$F$54)-DATEVALUE('P13-LeadTime'!$D$5:$D$54)))/COUNTIF('P13-LeadTime'!$B$5:$B$54,$A787),"-")</f>
        <v>55</v>
      </c>
      <c r="C787">
        <f>COUNTIF('P13-LeadTime'!$B$5:$B$54,$A787)</f>
        <v>2</v>
      </c>
      <c r="D787" s="54" cm="1">
        <f t="array" ref="D787">IFERROR(MIN(IF('P13-LeadTime'!$B$5:$B$54=$A787,(DATEVALUE('P13-LeadTime'!$F$5:$F$54)-DATEVALUE('P13-LeadTime'!$D$5:$D$54)))),"-")</f>
        <v>54</v>
      </c>
      <c r="E787" s="54" cm="1">
        <f t="array" ref="E787">IFERROR(MAX(IF('P13-LeadTime'!$B$5:$B$54=$A787,(DATEVALUE('P13-LeadTime'!$F$5:$F$54)-DATEVALUE('P13-LeadTime'!$D$5:$D$54)))),"-")</f>
        <v>56</v>
      </c>
      <c r="F787" s="54" cm="1">
        <f t="array" ref="F787">IFERROR(STDEV(IF('P13-LeadTime'!$B$5:$B$54=$A787,(DATEVALUE('P13-LeadTime'!$F$5:$F$54)-DATEVALUE('P13-LeadTime'!$D$5:$D$54)))),"-")</f>
        <v>1.4142135623730951</v>
      </c>
    </row>
    <row r="788" spans="1:6">
      <c r="A788" t="s">
        <v>227</v>
      </c>
      <c r="B788" s="54" cm="1">
        <f t="array" ref="B788">IFERROR(SUMPRODUCT(('P13-LeadTime'!$B$5:$B$54=$A788)*(DATEVALUE('P13-LeadTime'!$F$5:$F$54)-DATEVALUE('P13-LeadTime'!$D$5:$D$54)))/COUNTIF('P13-LeadTime'!$B$5:$B$54,$A788),"-")</f>
        <v>36</v>
      </c>
      <c r="C788">
        <f>COUNTIF('P13-LeadTime'!$B$5:$B$54,$A788)</f>
        <v>2</v>
      </c>
      <c r="D788" s="54" cm="1">
        <f t="array" ref="D788">IFERROR(MIN(IF('P13-LeadTime'!$B$5:$B$54=$A788,(DATEVALUE('P13-LeadTime'!$F$5:$F$54)-DATEVALUE('P13-LeadTime'!$D$5:$D$54)))),"-")</f>
        <v>18</v>
      </c>
      <c r="E788" s="54" cm="1">
        <f t="array" ref="E788">IFERROR(MAX(IF('P13-LeadTime'!$B$5:$B$54=$A788,(DATEVALUE('P13-LeadTime'!$F$5:$F$54)-DATEVALUE('P13-LeadTime'!$D$5:$D$54)))),"-")</f>
        <v>54</v>
      </c>
      <c r="F788" s="54" cm="1">
        <f t="array" ref="F788">IFERROR(STDEV(IF('P13-LeadTime'!$B$5:$B$54=$A788,(DATEVALUE('P13-LeadTime'!$F$5:$F$54)-DATEVALUE('P13-LeadTime'!$D$5:$D$54)))),"-")</f>
        <v>25.45584412271571</v>
      </c>
    </row>
    <row r="789" spans="1:6">
      <c r="A789" t="s">
        <v>250</v>
      </c>
      <c r="B789" s="54" cm="1">
        <f t="array" ref="B789">IFERROR(SUMPRODUCT(('P13-LeadTime'!$B$5:$B$54=$A789)*(DATEVALUE('P13-LeadTime'!$F$5:$F$54)-DATEVALUE('P13-LeadTime'!$D$5:$D$54)))/COUNTIF('P13-LeadTime'!$B$5:$B$54,$A789),"-")</f>
        <v>41</v>
      </c>
      <c r="C789">
        <f>COUNTIF('P13-LeadTime'!$B$5:$B$54,$A789)</f>
        <v>4</v>
      </c>
      <c r="D789" s="54" cm="1">
        <f t="array" ref="D789">IFERROR(MIN(IF('P13-LeadTime'!$B$5:$B$54=$A789,(DATEVALUE('P13-LeadTime'!$F$5:$F$54)-DATEVALUE('P13-LeadTime'!$D$5:$D$54)))),"-")</f>
        <v>12</v>
      </c>
      <c r="E789" s="54" cm="1">
        <f t="array" ref="E789">IFERROR(MAX(IF('P13-LeadTime'!$B$5:$B$54=$A789,(DATEVALUE('P13-LeadTime'!$F$5:$F$54)-DATEVALUE('P13-LeadTime'!$D$5:$D$54)))),"-")</f>
        <v>67</v>
      </c>
      <c r="F789" s="54" cm="1">
        <f t="array" ref="F789">IFERROR(STDEV(IF('P13-LeadTime'!$B$5:$B$54=$A789,(DATEVALUE('P13-LeadTime'!$F$5:$F$54)-DATEVALUE('P13-LeadTime'!$D$5:$D$54)))),"-")</f>
        <v>28.059460674313279</v>
      </c>
    </row>
    <row r="790" spans="1:6">
      <c r="A790" t="s">
        <v>255</v>
      </c>
      <c r="B790" s="54" cm="1">
        <f t="array" ref="B790">IFERROR(SUMPRODUCT(('P13-LeadTime'!$B$5:$B$54=$A790)*(DATEVALUE('P13-LeadTime'!$F$5:$F$54)-DATEVALUE('P13-LeadTime'!$D$5:$D$54)))/COUNTIF('P13-LeadTime'!$B$5:$B$54,$A790),"-")</f>
        <v>26.333333333333332</v>
      </c>
      <c r="C790">
        <f>COUNTIF('P13-LeadTime'!$B$5:$B$54,$A790)</f>
        <v>6</v>
      </c>
      <c r="D790" s="54" cm="1">
        <f t="array" ref="D790">IFERROR(MIN(IF('P13-LeadTime'!$B$5:$B$54=$A790,(DATEVALUE('P13-LeadTime'!$F$5:$F$54)-DATEVALUE('P13-LeadTime'!$D$5:$D$54)))),"-")</f>
        <v>5</v>
      </c>
      <c r="E790" s="54" cm="1">
        <f t="array" ref="E790">IFERROR(MAX(IF('P13-LeadTime'!$B$5:$B$54=$A790,(DATEVALUE('P13-LeadTime'!$F$5:$F$54)-DATEVALUE('P13-LeadTime'!$D$5:$D$54)))),"-")</f>
        <v>48</v>
      </c>
      <c r="F790" s="54" cm="1">
        <f t="array" ref="F790">IFERROR(STDEV(IF('P13-LeadTime'!$B$5:$B$54=$A790,(DATEVALUE('P13-LeadTime'!$F$5:$F$54)-DATEVALUE('P13-LeadTime'!$D$5:$D$54)))),"-")</f>
        <v>15.187714333192687</v>
      </c>
    </row>
    <row r="791" spans="1:6">
      <c r="A791" t="s">
        <v>237</v>
      </c>
      <c r="B791" s="54" cm="1">
        <f t="array" ref="B791">IFERROR(SUMPRODUCT(('P13-LeadTime'!$B$5:$B$54=$A791)*(DATEVALUE('P13-LeadTime'!$F$5:$F$54)-DATEVALUE('P13-LeadTime'!$D$5:$D$54)))/COUNTIF('P13-LeadTime'!$B$5:$B$54,$A791),"-")</f>
        <v>34</v>
      </c>
      <c r="C791">
        <f>COUNTIF('P13-LeadTime'!$B$5:$B$54,$A791)</f>
        <v>1</v>
      </c>
      <c r="D791" s="54" cm="1">
        <f t="array" ref="D791">IFERROR(MIN(IF('P13-LeadTime'!$B$5:$B$54=$A791,(DATEVALUE('P13-LeadTime'!$F$5:$F$54)-DATEVALUE('P13-LeadTime'!$D$5:$D$54)))),"-")</f>
        <v>34</v>
      </c>
      <c r="E791" s="54" cm="1">
        <f t="array" ref="E791">IFERROR(MAX(IF('P13-LeadTime'!$B$5:$B$54=$A791,(DATEVALUE('P13-LeadTime'!$F$5:$F$54)-DATEVALUE('P13-LeadTime'!$D$5:$D$54)))),"-")</f>
        <v>34</v>
      </c>
      <c r="F791" s="54" t="str" cm="1">
        <f t="array" ref="F791">IFERROR(STDEV(IF('P13-LeadTime'!$B$5:$B$54=$A791,(DATEVALUE('P13-LeadTime'!$F$5:$F$54)-DATEVALUE('P13-LeadTime'!$D$5:$D$54)))),"-")</f>
        <v>-</v>
      </c>
    </row>
    <row r="792" spans="1:6">
      <c r="A792" t="s">
        <v>243</v>
      </c>
      <c r="B792" s="54" cm="1">
        <f t="array" ref="B792">IFERROR(SUMPRODUCT(('P13-LeadTime'!$B$5:$B$54=$A792)*(DATEVALUE('P13-LeadTime'!$F$5:$F$54)-DATEVALUE('P13-LeadTime'!$D$5:$D$54)))/COUNTIF('P13-LeadTime'!$B$5:$B$54,$A792),"-")</f>
        <v>37</v>
      </c>
      <c r="C792">
        <f>COUNTIF('P13-LeadTime'!$B$5:$B$54,$A792)</f>
        <v>3</v>
      </c>
      <c r="D792" s="54" cm="1">
        <f t="array" ref="D792">IFERROR(MIN(IF('P13-LeadTime'!$B$5:$B$54=$A792,(DATEVALUE('P13-LeadTime'!$F$5:$F$54)-DATEVALUE('P13-LeadTime'!$D$5:$D$54)))),"-")</f>
        <v>32</v>
      </c>
      <c r="E792" s="54" cm="1">
        <f t="array" ref="E792">IFERROR(MAX(IF('P13-LeadTime'!$B$5:$B$54=$A792,(DATEVALUE('P13-LeadTime'!$F$5:$F$54)-DATEVALUE('P13-LeadTime'!$D$5:$D$54)))),"-")</f>
        <v>45</v>
      </c>
      <c r="F792" s="54" cm="1">
        <f t="array" ref="F792">IFERROR(STDEV(IF('P13-LeadTime'!$B$5:$B$54=$A792,(DATEVALUE('P13-LeadTime'!$F$5:$F$54)-DATEVALUE('P13-LeadTime'!$D$5:$D$54)))),"-")</f>
        <v>7</v>
      </c>
    </row>
    <row r="793" spans="1:6">
      <c r="A793" t="s">
        <v>249</v>
      </c>
      <c r="B793" s="54" cm="1">
        <f t="array" ref="B793">IFERROR(SUMPRODUCT(('P13-LeadTime'!$B$5:$B$54=$A793)*(DATEVALUE('P13-LeadTime'!$F$5:$F$54)-DATEVALUE('P13-LeadTime'!$D$5:$D$54)))/COUNTIF('P13-LeadTime'!$B$5:$B$54,$A793),"-")</f>
        <v>46</v>
      </c>
      <c r="C793">
        <f>COUNTIF('P13-LeadTime'!$B$5:$B$54,$A793)</f>
        <v>2</v>
      </c>
      <c r="D793" s="54" cm="1">
        <f t="array" ref="D793">IFERROR(MIN(IF('P13-LeadTime'!$B$5:$B$54=$A793,(DATEVALUE('P13-LeadTime'!$F$5:$F$54)-DATEVALUE('P13-LeadTime'!$D$5:$D$54)))),"-")</f>
        <v>18</v>
      </c>
      <c r="E793" s="54" cm="1">
        <f t="array" ref="E793">IFERROR(MAX(IF('P13-LeadTime'!$B$5:$B$54=$A793,(DATEVALUE('P13-LeadTime'!$F$5:$F$54)-DATEVALUE('P13-LeadTime'!$D$5:$D$54)))),"-")</f>
        <v>74</v>
      </c>
      <c r="F793" s="54" cm="1">
        <f t="array" ref="F793">IFERROR(STDEV(IF('P13-LeadTime'!$B$5:$B$54=$A793,(DATEVALUE('P13-LeadTime'!$F$5:$F$54)-DATEVALUE('P13-LeadTime'!$D$5:$D$54)))),"-")</f>
        <v>39.597979746446661</v>
      </c>
    </row>
    <row r="794" spans="1:6">
      <c r="A794" t="s">
        <v>234</v>
      </c>
      <c r="B794" s="54" cm="1">
        <f t="array" ref="B794">IFERROR(SUMPRODUCT(('P13-LeadTime'!$B$5:$B$54=$A794)*(DATEVALUE('P13-LeadTime'!$F$5:$F$54)-DATEVALUE('P13-LeadTime'!$D$5:$D$54)))/COUNTIF('P13-LeadTime'!$B$5:$B$54,$A794),"-")</f>
        <v>21.666666666666668</v>
      </c>
      <c r="C794">
        <f>COUNTIF('P13-LeadTime'!$B$5:$B$54,$A794)</f>
        <v>6</v>
      </c>
      <c r="D794" s="54" cm="1">
        <f t="array" ref="D794">IFERROR(MIN(IF('P13-LeadTime'!$B$5:$B$54=$A794,(DATEVALUE('P13-LeadTime'!$F$5:$F$54)-DATEVALUE('P13-LeadTime'!$D$5:$D$54)))),"-")</f>
        <v>5</v>
      </c>
      <c r="E794" s="54" cm="1">
        <f t="array" ref="E794">IFERROR(MAX(IF('P13-LeadTime'!$B$5:$B$54=$A794,(DATEVALUE('P13-LeadTime'!$F$5:$F$54)-DATEVALUE('P13-LeadTime'!$D$5:$D$54)))),"-")</f>
        <v>53</v>
      </c>
      <c r="F794" s="54" cm="1">
        <f t="array" ref="F794">IFERROR(STDEV(IF('P13-LeadTime'!$B$5:$B$54=$A794,(DATEVALUE('P13-LeadTime'!$F$5:$F$54)-DATEVALUE('P13-LeadTime'!$D$5:$D$54)))),"-")</f>
        <v>18.272018680667625</v>
      </c>
    </row>
    <row r="795" spans="1:6">
      <c r="A795" t="s">
        <v>231</v>
      </c>
      <c r="B795" s="54" cm="1">
        <f t="array" ref="B795">IFERROR(SUMPRODUCT(('P13-LeadTime'!$B$5:$B$54=$A795)*(DATEVALUE('P13-LeadTime'!$F$5:$F$54)-DATEVALUE('P13-LeadTime'!$D$5:$D$54)))/COUNTIF('P13-LeadTime'!$B$5:$B$54,$A795),"-")</f>
        <v>45.333333333333336</v>
      </c>
      <c r="C795">
        <f>COUNTIF('P13-LeadTime'!$B$5:$B$54,$A795)</f>
        <v>3</v>
      </c>
      <c r="D795" s="54" cm="1">
        <f t="array" ref="D795">IFERROR(MIN(IF('P13-LeadTime'!$B$5:$B$54=$A795,(DATEVALUE('P13-LeadTime'!$F$5:$F$54)-DATEVALUE('P13-LeadTime'!$D$5:$D$54)))),"-")</f>
        <v>35</v>
      </c>
      <c r="E795" s="54" cm="1">
        <f t="array" ref="E795">IFERROR(MAX(IF('P13-LeadTime'!$B$5:$B$54=$A795,(DATEVALUE('P13-LeadTime'!$F$5:$F$54)-DATEVALUE('P13-LeadTime'!$D$5:$D$54)))),"-")</f>
        <v>59</v>
      </c>
      <c r="F795" s="54" cm="1">
        <f t="array" ref="F795">IFERROR(STDEV(IF('P13-LeadTime'!$B$5:$B$54=$A795,(DATEVALUE('P13-LeadTime'!$F$5:$F$54)-DATEVALUE('P13-LeadTime'!$D$5:$D$54)))),"-")</f>
        <v>12.342339054382418</v>
      </c>
    </row>
    <row r="796" spans="1:6">
      <c r="A796" t="s">
        <v>241</v>
      </c>
      <c r="B796" s="54" cm="1">
        <f t="array" ref="B796">IFERROR(SUMPRODUCT(('P13-LeadTime'!$B$5:$B$54=$A796)*(DATEVALUE('P13-LeadTime'!$F$5:$F$54)-DATEVALUE('P13-LeadTime'!$D$5:$D$54)))/COUNTIF('P13-LeadTime'!$B$5:$B$54,$A796),"-")</f>
        <v>42.333333333333336</v>
      </c>
      <c r="C796">
        <f>COUNTIF('P13-LeadTime'!$B$5:$B$54,$A796)</f>
        <v>3</v>
      </c>
      <c r="D796" s="54" cm="1">
        <f t="array" ref="D796">IFERROR(MIN(IF('P13-LeadTime'!$B$5:$B$54=$A796,(DATEVALUE('P13-LeadTime'!$F$5:$F$54)-DATEVALUE('P13-LeadTime'!$D$5:$D$54)))),"-")</f>
        <v>22</v>
      </c>
      <c r="E796" s="54" cm="1">
        <f t="array" ref="E796">IFERROR(MAX(IF('P13-LeadTime'!$B$5:$B$54=$A796,(DATEVALUE('P13-LeadTime'!$F$5:$F$54)-DATEVALUE('P13-LeadTime'!$D$5:$D$54)))),"-")</f>
        <v>56</v>
      </c>
      <c r="F796" s="54" cm="1">
        <f t="array" ref="F796">IFERROR(STDEV(IF('P13-LeadTime'!$B$5:$B$54=$A796,(DATEVALUE('P13-LeadTime'!$F$5:$F$54)-DATEVALUE('P13-LeadTime'!$D$5:$D$54)))),"-")</f>
        <v>17.953644012660313</v>
      </c>
    </row>
    <row r="797" spans="1:6">
      <c r="A797" t="s">
        <v>260</v>
      </c>
      <c r="B797" s="54" cm="1">
        <f t="array" ref="B797">IFERROR(SUMPRODUCT(('P13-LeadTime'!$B$5:$B$54=$A797)*(DATEVALUE('P13-LeadTime'!$F$5:$F$54)-DATEVALUE('P13-LeadTime'!$D$5:$D$54)))/COUNTIF('P13-LeadTime'!$B$5:$B$54,$A797),"-")</f>
        <v>49</v>
      </c>
      <c r="C797">
        <f>COUNTIF('P13-LeadTime'!$B$5:$B$54,$A797)</f>
        <v>2</v>
      </c>
      <c r="D797" s="54" cm="1">
        <f t="array" ref="D797">IFERROR(MIN(IF('P13-LeadTime'!$B$5:$B$54=$A797,(DATEVALUE('P13-LeadTime'!$F$5:$F$54)-DATEVALUE('P13-LeadTime'!$D$5:$D$54)))),"-")</f>
        <v>34</v>
      </c>
      <c r="E797" s="54" cm="1">
        <f t="array" ref="E797">IFERROR(MAX(IF('P13-LeadTime'!$B$5:$B$54=$A797,(DATEVALUE('P13-LeadTime'!$F$5:$F$54)-DATEVALUE('P13-LeadTime'!$D$5:$D$54)))),"-")</f>
        <v>64</v>
      </c>
      <c r="F797" s="54" cm="1">
        <f t="array" ref="F797">IFERROR(STDEV(IF('P13-LeadTime'!$B$5:$B$54=$A797,(DATEVALUE('P13-LeadTime'!$F$5:$F$54)-DATEVALUE('P13-LeadTime'!$D$5:$D$54)))),"-")</f>
        <v>21.213203435596427</v>
      </c>
    </row>
    <row r="798" spans="1:6">
      <c r="A798" t="s">
        <v>239</v>
      </c>
      <c r="B798" s="54" cm="1">
        <f t="array" ref="B798">IFERROR(SUMPRODUCT(('P13-LeadTime'!$B$5:$B$54=$A798)*(DATEVALUE('P13-LeadTime'!$F$5:$F$54)-DATEVALUE('P13-LeadTime'!$D$5:$D$54)))/COUNTIF('P13-LeadTime'!$B$5:$B$54,$A798),"-")</f>
        <v>69</v>
      </c>
      <c r="C798">
        <f>COUNTIF('P13-LeadTime'!$B$5:$B$54,$A798)</f>
        <v>1</v>
      </c>
      <c r="D798" s="54" cm="1">
        <f t="array" ref="D798">IFERROR(MIN(IF('P13-LeadTime'!$B$5:$B$54=$A798,(DATEVALUE('P13-LeadTime'!$F$5:$F$54)-DATEVALUE('P13-LeadTime'!$D$5:$D$54)))),"-")</f>
        <v>69</v>
      </c>
      <c r="E798" s="54" cm="1">
        <f t="array" ref="E798">IFERROR(MAX(IF('P13-LeadTime'!$B$5:$B$54=$A798,(DATEVALUE('P13-LeadTime'!$F$5:$F$54)-DATEVALUE('P13-LeadTime'!$D$5:$D$54)))),"-")</f>
        <v>69</v>
      </c>
      <c r="F798" s="54" t="str" cm="1">
        <f t="array" ref="F798">IFERROR(STDEV(IF('P13-LeadTime'!$B$5:$B$54=$A798,(DATEVALUE('P13-LeadTime'!$F$5:$F$54)-DATEVALUE('P13-LeadTime'!$D$5:$D$54)))),"-")</f>
        <v>-</v>
      </c>
    </row>
    <row r="799" spans="1:6">
      <c r="A799" s="44" t="str" cm="1">
        <f t="array" ref="A799">"ANSWER: Average lead time across all 50 POs is "&amp;TEXT(SUMPRODUCT((DATEVALUE('P13-LeadTime'!$F$5:$F$54)-DATEVALUE('P13-LeadTime'!$D$5:$D$54)))/COUNTA('P13-LeadTime'!$E$5:$E$54),"0.0")&amp;" days. The longest is "&amp;INDEX($A$784:$A$798,MATCH(MAX($B$784:$B$798),$B$784:$B$798,0))&amp;" at "&amp;TEXT(MAX($B$784:$B$798),"0.0")&amp;" days and the shortest is "&amp;INDEX($A$784:$A$798,MATCH(MIN($B$784:$B$798),$B$784:$B$798,0))&amp;" at "&amp;TEXT(MIN($B$784:$B$798),"0.0")&amp;" days — plan procurement call-offs accordingly."</f>
        <v>ANSWER: Average lead time across all 50 POs is 36.9 days. The longest is Copper Wiring at 69.0 days and the shortest is Plywood (Marine) at 21.7 days — plan procurement call-offs accordingly.</v>
      </c>
    </row>
    <row r="801" spans="1:8">
      <c r="A801" s="42" t="s">
        <v>1035</v>
      </c>
    </row>
    <row r="802" spans="1:8">
      <c r="A802" s="43" t="s">
        <v>901</v>
      </c>
      <c r="B802" s="43" t="s">
        <v>1673</v>
      </c>
      <c r="C802" s="43" t="s">
        <v>1677</v>
      </c>
      <c r="D802" s="43" t="s">
        <v>1678</v>
      </c>
      <c r="E802" s="43" t="s">
        <v>1679</v>
      </c>
      <c r="F802" s="43" t="s">
        <v>1672</v>
      </c>
      <c r="H802" s="63" t="s">
        <v>1696</v>
      </c>
    </row>
    <row r="803" spans="1:8">
      <c r="A803" t="s">
        <v>992</v>
      </c>
      <c r="B803">
        <f>COUNTIF('P13-LeadTime'!$C$5:$C$54,$A803)</f>
        <v>3</v>
      </c>
      <c r="C803" cm="1">
        <f t="array" ref="C803">SUMPRODUCT(('P13-LeadTime'!$C$5:$C$54=$A803)*(DATEVALUE('P13-LeadTime'!$F$5:$F$54)&lt;=DATEVALUE('P13-LeadTime'!$E$5:$E$54))*1)</f>
        <v>1</v>
      </c>
      <c r="D803" s="39">
        <f t="shared" ref="D803:D812" si="28">IFERROR(C803/B803,"-")</f>
        <v>0.33333333333333331</v>
      </c>
      <c r="E803" s="54" cm="1">
        <f t="array" ref="E803">IFERROR(SUMPRODUCT(('P13-LeadTime'!$C$5:$C$54=$A803)*(DATEVALUE('P13-LeadTime'!$F$5:$F$54)-DATEVALUE('P13-LeadTime'!$E$5:$E$54)))/B803,"-")</f>
        <v>4.666666666666667</v>
      </c>
      <c r="F803" s="54" cm="1">
        <f t="array" ref="F803">IFERROR(SUMPRODUCT(('P13-LeadTime'!$C$5:$C$54=$A803)*(DATEVALUE('P13-LeadTime'!$F$5:$F$54)-DATEVALUE('P13-LeadTime'!$D$5:$D$54)))/B803,"-")</f>
        <v>43</v>
      </c>
      <c r="H803" s="63">
        <f t="shared" ref="H803:H812" si="29">D803*1000-ROW()</f>
        <v>-469.66666666666669</v>
      </c>
    </row>
    <row r="804" spans="1:8">
      <c r="A804" t="s">
        <v>958</v>
      </c>
      <c r="B804">
        <f>COUNTIF('P13-LeadTime'!$C$5:$C$54,$A804)</f>
        <v>1</v>
      </c>
      <c r="C804" cm="1">
        <f t="array" ref="C804">SUMPRODUCT(('P13-LeadTime'!$C$5:$C$54=$A804)*(DATEVALUE('P13-LeadTime'!$F$5:$F$54)&lt;=DATEVALUE('P13-LeadTime'!$E$5:$E$54))*1)</f>
        <v>0</v>
      </c>
      <c r="D804" s="39">
        <f t="shared" si="28"/>
        <v>0</v>
      </c>
      <c r="E804" s="54" cm="1">
        <f t="array" ref="E804">IFERROR(SUMPRODUCT(('P13-LeadTime'!$C$5:$C$54=$A804)*(DATEVALUE('P13-LeadTime'!$F$5:$F$54)-DATEVALUE('P13-LeadTime'!$E$5:$E$54)))/B804,"-")</f>
        <v>12</v>
      </c>
      <c r="F804" s="54" cm="1">
        <f t="array" ref="F804">IFERROR(SUMPRODUCT(('P13-LeadTime'!$C$5:$C$54=$A804)*(DATEVALUE('P13-LeadTime'!$F$5:$F$54)-DATEVALUE('P13-LeadTime'!$D$5:$D$54)))/B804,"-")</f>
        <v>35</v>
      </c>
      <c r="H804" s="63">
        <f t="shared" si="29"/>
        <v>-804</v>
      </c>
    </row>
    <row r="805" spans="1:8">
      <c r="A805" t="s">
        <v>930</v>
      </c>
      <c r="B805">
        <f>COUNTIF('P13-LeadTime'!$C$5:$C$54,$A805)</f>
        <v>5</v>
      </c>
      <c r="C805" cm="1">
        <f t="array" ref="C805">SUMPRODUCT(('P13-LeadTime'!$C$5:$C$54=$A805)*(DATEVALUE('P13-LeadTime'!$F$5:$F$54)&lt;=DATEVALUE('P13-LeadTime'!$E$5:$E$54))*1)</f>
        <v>2</v>
      </c>
      <c r="D805" s="39">
        <f t="shared" si="28"/>
        <v>0.4</v>
      </c>
      <c r="E805" s="54" cm="1">
        <f t="array" ref="E805">IFERROR(SUMPRODUCT(('P13-LeadTime'!$C$5:$C$54=$A805)*(DATEVALUE('P13-LeadTime'!$F$5:$F$54)-DATEVALUE('P13-LeadTime'!$E$5:$E$54)))/B805,"-")</f>
        <v>7.8</v>
      </c>
      <c r="F805" s="54" cm="1">
        <f t="array" ref="F805">IFERROR(SUMPRODUCT(('P13-LeadTime'!$C$5:$C$54=$A805)*(DATEVALUE('P13-LeadTime'!$F$5:$F$54)-DATEVALUE('P13-LeadTime'!$D$5:$D$54)))/B805,"-")</f>
        <v>36.4</v>
      </c>
      <c r="H805" s="63">
        <f t="shared" si="29"/>
        <v>-405</v>
      </c>
    </row>
    <row r="806" spans="1:8">
      <c r="A806" t="s">
        <v>915</v>
      </c>
      <c r="B806">
        <f>COUNTIF('P13-LeadTime'!$C$5:$C$54,$A806)</f>
        <v>5</v>
      </c>
      <c r="C806" cm="1">
        <f t="array" ref="C806">SUMPRODUCT(('P13-LeadTime'!$C$5:$C$54=$A806)*(DATEVALUE('P13-LeadTime'!$F$5:$F$54)&lt;=DATEVALUE('P13-LeadTime'!$E$5:$E$54))*1)</f>
        <v>2</v>
      </c>
      <c r="D806" s="39">
        <f t="shared" si="28"/>
        <v>0.4</v>
      </c>
      <c r="E806" s="54" cm="1">
        <f t="array" ref="E806">IFERROR(SUMPRODUCT(('P13-LeadTime'!$C$5:$C$54=$A806)*(DATEVALUE('P13-LeadTime'!$F$5:$F$54)-DATEVALUE('P13-LeadTime'!$E$5:$E$54)))/B806,"-")</f>
        <v>2.2000000000000002</v>
      </c>
      <c r="F806" s="54" cm="1">
        <f t="array" ref="F806">IFERROR(SUMPRODUCT(('P13-LeadTime'!$C$5:$C$54=$A806)*(DATEVALUE('P13-LeadTime'!$F$5:$F$54)-DATEVALUE('P13-LeadTime'!$D$5:$D$54)))/B806,"-")</f>
        <v>46.2</v>
      </c>
      <c r="H806" s="63">
        <f t="shared" si="29"/>
        <v>-406</v>
      </c>
    </row>
    <row r="807" spans="1:8">
      <c r="A807" t="s">
        <v>906</v>
      </c>
      <c r="B807">
        <f>COUNTIF('P13-LeadTime'!$C$5:$C$54,$A807)</f>
        <v>7</v>
      </c>
      <c r="C807" cm="1">
        <f t="array" ref="C807">SUMPRODUCT(('P13-LeadTime'!$C$5:$C$54=$A807)*(DATEVALUE('P13-LeadTime'!$F$5:$F$54)&lt;=DATEVALUE('P13-LeadTime'!$E$5:$E$54))*1)</f>
        <v>2</v>
      </c>
      <c r="D807" s="39">
        <f t="shared" si="28"/>
        <v>0.2857142857142857</v>
      </c>
      <c r="E807" s="54" cm="1">
        <f t="array" ref="E807">IFERROR(SUMPRODUCT(('P13-LeadTime'!$C$5:$C$54=$A807)*(DATEVALUE('P13-LeadTime'!$F$5:$F$54)-DATEVALUE('P13-LeadTime'!$E$5:$E$54)))/B807,"-")</f>
        <v>3.1428571428571428</v>
      </c>
      <c r="F807" s="54" cm="1">
        <f t="array" ref="F807">IFERROR(SUMPRODUCT(('P13-LeadTime'!$C$5:$C$54=$A807)*(DATEVALUE('P13-LeadTime'!$F$5:$F$54)-DATEVALUE('P13-LeadTime'!$D$5:$D$54)))/B807,"-")</f>
        <v>27</v>
      </c>
      <c r="H807" s="63">
        <f t="shared" si="29"/>
        <v>-521.28571428571422</v>
      </c>
    </row>
    <row r="808" spans="1:8">
      <c r="A808" t="s">
        <v>920</v>
      </c>
      <c r="B808">
        <f>COUNTIF('P13-LeadTime'!$C$5:$C$54,$A808)</f>
        <v>8</v>
      </c>
      <c r="C808" cm="1">
        <f t="array" ref="C808">SUMPRODUCT(('P13-LeadTime'!$C$5:$C$54=$A808)*(DATEVALUE('P13-LeadTime'!$F$5:$F$54)&lt;=DATEVALUE('P13-LeadTime'!$E$5:$E$54))*1)</f>
        <v>3</v>
      </c>
      <c r="D808" s="39">
        <f t="shared" si="28"/>
        <v>0.375</v>
      </c>
      <c r="E808" s="54" cm="1">
        <f t="array" ref="E808">IFERROR(SUMPRODUCT(('P13-LeadTime'!$C$5:$C$54=$A808)*(DATEVALUE('P13-LeadTime'!$F$5:$F$54)-DATEVALUE('P13-LeadTime'!$E$5:$E$54)))/B808,"-")</f>
        <v>4.5</v>
      </c>
      <c r="F808" s="54" cm="1">
        <f t="array" ref="F808">IFERROR(SUMPRODUCT(('P13-LeadTime'!$C$5:$C$54=$A808)*(DATEVALUE('P13-LeadTime'!$F$5:$F$54)-DATEVALUE('P13-LeadTime'!$D$5:$D$54)))/B808,"-")</f>
        <v>35.25</v>
      </c>
      <c r="H808" s="63">
        <f t="shared" si="29"/>
        <v>-433</v>
      </c>
    </row>
    <row r="809" spans="1:8">
      <c r="A809" t="s">
        <v>933</v>
      </c>
      <c r="B809">
        <f>COUNTIF('P13-LeadTime'!$C$5:$C$54,$A809)</f>
        <v>6</v>
      </c>
      <c r="C809" cm="1">
        <f t="array" ref="C809">SUMPRODUCT(('P13-LeadTime'!$C$5:$C$54=$A809)*(DATEVALUE('P13-LeadTime'!$F$5:$F$54)&lt;=DATEVALUE('P13-LeadTime'!$E$5:$E$54))*1)</f>
        <v>1</v>
      </c>
      <c r="D809" s="39">
        <f t="shared" si="28"/>
        <v>0.16666666666666666</v>
      </c>
      <c r="E809" s="54" cm="1">
        <f t="array" ref="E809">IFERROR(SUMPRODUCT(('P13-LeadTime'!$C$5:$C$54=$A809)*(DATEVALUE('P13-LeadTime'!$F$5:$F$54)-DATEVALUE('P13-LeadTime'!$E$5:$E$54)))/B809,"-")</f>
        <v>7</v>
      </c>
      <c r="F809" s="54" cm="1">
        <f t="array" ref="F809">IFERROR(SUMPRODUCT(('P13-LeadTime'!$C$5:$C$54=$A809)*(DATEVALUE('P13-LeadTime'!$F$5:$F$54)-DATEVALUE('P13-LeadTime'!$D$5:$D$54)))/B809,"-")</f>
        <v>43.333333333333336</v>
      </c>
      <c r="H809" s="63">
        <f t="shared" si="29"/>
        <v>-642.33333333333337</v>
      </c>
    </row>
    <row r="810" spans="1:8">
      <c r="A810" t="s">
        <v>925</v>
      </c>
      <c r="B810">
        <f>COUNTIF('P13-LeadTime'!$C$5:$C$54,$A810)</f>
        <v>1</v>
      </c>
      <c r="C810" cm="1">
        <f t="array" ref="C810">SUMPRODUCT(('P13-LeadTime'!$C$5:$C$54=$A810)*(DATEVALUE('P13-LeadTime'!$F$5:$F$54)&lt;=DATEVALUE('P13-LeadTime'!$E$5:$E$54))*1)</f>
        <v>0</v>
      </c>
      <c r="D810" s="39">
        <f t="shared" si="28"/>
        <v>0</v>
      </c>
      <c r="E810" s="54" cm="1">
        <f t="array" ref="E810">IFERROR(SUMPRODUCT(('P13-LeadTime'!$C$5:$C$54=$A810)*(DATEVALUE('P13-LeadTime'!$F$5:$F$54)-DATEVALUE('P13-LeadTime'!$E$5:$E$54)))/B810,"-")</f>
        <v>17</v>
      </c>
      <c r="F810" s="54" cm="1">
        <f t="array" ref="F810">IFERROR(SUMPRODUCT(('P13-LeadTime'!$C$5:$C$54=$A810)*(DATEVALUE('P13-LeadTime'!$F$5:$F$54)-DATEVALUE('P13-LeadTime'!$D$5:$D$54)))/B810,"-")</f>
        <v>64</v>
      </c>
      <c r="H810" s="63">
        <f t="shared" si="29"/>
        <v>-810</v>
      </c>
    </row>
    <row r="811" spans="1:8">
      <c r="A811" t="s">
        <v>910</v>
      </c>
      <c r="B811">
        <f>COUNTIF('P13-LeadTime'!$C$5:$C$54,$A811)</f>
        <v>7</v>
      </c>
      <c r="C811" cm="1">
        <f t="array" ref="C811">SUMPRODUCT(('P13-LeadTime'!$C$5:$C$54=$A811)*(DATEVALUE('P13-LeadTime'!$F$5:$F$54)&lt;=DATEVALUE('P13-LeadTime'!$E$5:$E$54))*1)</f>
        <v>1</v>
      </c>
      <c r="D811" s="39">
        <f t="shared" si="28"/>
        <v>0.14285714285714285</v>
      </c>
      <c r="E811" s="54" cm="1">
        <f t="array" ref="E811">IFERROR(SUMPRODUCT(('P13-LeadTime'!$C$5:$C$54=$A811)*(DATEVALUE('P13-LeadTime'!$F$5:$F$54)-DATEVALUE('P13-LeadTime'!$E$5:$E$54)))/B811,"-")</f>
        <v>10</v>
      </c>
      <c r="F811" s="54" cm="1">
        <f t="array" ref="F811">IFERROR(SUMPRODUCT(('P13-LeadTime'!$C$5:$C$54=$A811)*(DATEVALUE('P13-LeadTime'!$F$5:$F$54)-DATEVALUE('P13-LeadTime'!$D$5:$D$54)))/B811,"-")</f>
        <v>27.714285714285715</v>
      </c>
      <c r="H811" s="63">
        <f t="shared" si="29"/>
        <v>-668.14285714285711</v>
      </c>
    </row>
    <row r="812" spans="1:8">
      <c r="A812" t="s">
        <v>927</v>
      </c>
      <c r="B812">
        <f>COUNTIF('P13-LeadTime'!$C$5:$C$54,$A812)</f>
        <v>7</v>
      </c>
      <c r="C812" cm="1">
        <f t="array" ref="C812">SUMPRODUCT(('P13-LeadTime'!$C$5:$C$54=$A812)*(DATEVALUE('P13-LeadTime'!$F$5:$F$54)&lt;=DATEVALUE('P13-LeadTime'!$E$5:$E$54))*1)</f>
        <v>3</v>
      </c>
      <c r="D812" s="39">
        <f t="shared" si="28"/>
        <v>0.42857142857142855</v>
      </c>
      <c r="E812" s="54" cm="1">
        <f t="array" ref="E812">IFERROR(SUMPRODUCT(('P13-LeadTime'!$C$5:$C$54=$A812)*(DATEVALUE('P13-LeadTime'!$F$5:$F$54)-DATEVALUE('P13-LeadTime'!$E$5:$E$54)))/B812,"-")</f>
        <v>4.4285714285714288</v>
      </c>
      <c r="F812" s="54" cm="1">
        <f t="array" ref="F812">IFERROR(SUMPRODUCT(('P13-LeadTime'!$C$5:$C$54=$A812)*(DATEVALUE('P13-LeadTime'!$F$5:$F$54)-DATEVALUE('P13-LeadTime'!$D$5:$D$54)))/B812,"-")</f>
        <v>39.857142857142854</v>
      </c>
      <c r="H812" s="63">
        <f t="shared" si="29"/>
        <v>-383.42857142857144</v>
      </c>
    </row>
    <row r="813" spans="1:8">
      <c r="A813" s="44" t="str">
        <f>"ANSWER: "&amp;INDEX($A$803:$A$812,MATCH(MIN($D$803:$D$812),$D$803:$D$812,0))&amp;" has the worst on-time delivery rate at "&amp;TEXT(MIN($D$803:$D$812),"0.0%")&amp;" ("&amp;INDEX($C$803:$C$812,MATCH(MIN($D$803:$D$812),$D$803:$D$812,0))&amp;" of "&amp;INDEX($B$803:$B$812,MATCH(MIN($D$803:$D$812),$D$803:$D$812,0))&amp;" POs on time, average "&amp;TEXT(INDEX($E$803:$E$812,MATCH(MIN($D$803:$D$812),$D$803:$D$812,0)),"0.0")&amp;" days late). Best performer: "&amp;INDEX($A$803:$A$812,MATCH(MAX($D$803:$D$812),$D$803:$D$812,0))&amp;" at "&amp;TEXT(MAX($D$803:$D$812),"0.0%")&amp;"."</f>
        <v>ANSWER: Supplier-B has the worst on-time delivery rate at 0.0% (0 of 1 POs on time, average 12.0 days late). Best performer: Supplier-J at 42.9%.</v>
      </c>
    </row>
    <row r="815" spans="1:8">
      <c r="A815" s="42" t="s">
        <v>1680</v>
      </c>
    </row>
    <row r="816" spans="1:8">
      <c r="A816" t="s">
        <v>1681</v>
      </c>
      <c r="B816" cm="1">
        <f t="array" ref="B816">SUMPRODUCT(((DATEVALUE('P13-LeadTime'!$F$5:$F$54)-DATEVALUE('P13-LeadTime'!$E$5:$E$54))&gt;0)*1)</f>
        <v>35</v>
      </c>
      <c r="C816" t="s">
        <v>1682</v>
      </c>
      <c r="D816" s="39">
        <f>B816/$F$816</f>
        <v>0.7</v>
      </c>
      <c r="E816" t="s">
        <v>1683</v>
      </c>
      <c r="F816">
        <f>COUNTA('P13-LeadTime'!$E$5:$E$54)</f>
        <v>50</v>
      </c>
    </row>
    <row r="817" spans="1:6">
      <c r="A817" t="s">
        <v>1684</v>
      </c>
      <c r="B817" s="54" cm="1">
        <f t="array" ref="B817">SUMPRODUCT(((DATEVALUE('P13-LeadTime'!$F$5:$F$54)-DATEVALUE('P13-LeadTime'!$E$5:$E$54))&gt;0)*(DATEVALUE('P13-LeadTime'!$F$5:$F$54)-DATEVALUE('P13-LeadTime'!$E$5:$E$54)))/$B$816</f>
        <v>9.5714285714285712</v>
      </c>
      <c r="C817" t="s">
        <v>1685</v>
      </c>
      <c r="D817" s="54" cm="1">
        <f t="array" ref="D817">SUMPRODUCT((DATEVALUE('P13-LeadTime'!$F$5:$F$54)-DATEVALUE('P13-LeadTime'!$E$5:$E$54)))/$F$816</f>
        <v>5.88</v>
      </c>
      <c r="E817" t="s">
        <v>1686</v>
      </c>
      <c r="F817" cm="1">
        <f t="array" ref="F817">MAX((DATEVALUE('P13-LeadTime'!$F$5:$F$54)-DATEVALUE('P13-LeadTime'!$E$5:$E$54)))</f>
        <v>20</v>
      </c>
    </row>
    <row r="818" spans="1:6">
      <c r="A818" s="44" t="str">
        <f>"ANSWER: "&amp;$B$816&amp;" of "&amp;$F$816&amp;" POs ("&amp;TEXT($D$816,"0.0%")&amp;") were delivered after the expected date. Late POs run "&amp;TEXT($B$817,"0.0")&amp;" days late on average; across the whole book the average slippage is "&amp;TEXT($D$817,"0.0")&amp;" days, with a worst case of "&amp;$F$817&amp;" days."</f>
        <v>ANSWER: 35 of 50 POs (70.0%) were delivered after the expected date. Late POs run 9.6 days late on average; across the whole book the average slippage is 5.9 days, with a worst case of 20 days.</v>
      </c>
    </row>
    <row r="820" spans="1:6">
      <c r="A820" s="42" t="s">
        <v>1037</v>
      </c>
    </row>
    <row r="821" spans="1:6">
      <c r="A821" s="43" t="s">
        <v>71</v>
      </c>
      <c r="B821" s="43" t="s">
        <v>1673</v>
      </c>
      <c r="C821" s="43" t="s">
        <v>1672</v>
      </c>
      <c r="D821" s="43" t="s">
        <v>1687</v>
      </c>
      <c r="E821" s="43" t="s">
        <v>1678</v>
      </c>
      <c r="F821" s="43" t="s">
        <v>1688</v>
      </c>
    </row>
    <row r="822" spans="1:6">
      <c r="A822" t="s">
        <v>81</v>
      </c>
      <c r="B822">
        <f>COUNTIF('P13-LeadTime'!$H$5:$H$54,$A822)</f>
        <v>21</v>
      </c>
      <c r="C822" s="54" cm="1">
        <f t="array" ref="C822">SUMPRODUCT(('P13-LeadTime'!$H$5:$H$54=$A822)*(DATEVALUE('P13-LeadTime'!$F$5:$F$54)-DATEVALUE('P13-LeadTime'!$D$5:$D$54)))/B822</f>
        <v>35.857142857142854</v>
      </c>
      <c r="D822" s="54" cm="1">
        <f t="array" ref="D822">SUMPRODUCT(('P13-LeadTime'!$H$5:$H$54=$A822)*(DATEVALUE('P13-LeadTime'!$F$5:$F$54)-DATEVALUE('P13-LeadTime'!$E$5:$E$54)))/B822</f>
        <v>6.333333333333333</v>
      </c>
      <c r="E822" s="39" cm="1">
        <f t="array" ref="E822">SUMPRODUCT(('P13-LeadTime'!$H$5:$H$54=$A822)*(DATEVALUE('P13-LeadTime'!$F$5:$F$54)&lt;=DATEVALUE('P13-LeadTime'!$E$5:$E$54))*1)/B822</f>
        <v>0.19047619047619047</v>
      </c>
      <c r="F822" s="54" cm="1">
        <f t="array" ref="F822">STDEV(IF('P13-LeadTime'!$H$5:$H$54=$A822,(DATEVALUE('P13-LeadTime'!$F$5:$F$54)-DATEVALUE('P13-LeadTime'!$D$5:$D$54))))</f>
        <v>20.596809739097253</v>
      </c>
    </row>
    <row r="823" spans="1:6">
      <c r="A823" t="s">
        <v>95</v>
      </c>
      <c r="B823">
        <f>COUNTIF('P13-LeadTime'!$H$5:$H$54,$A823)</f>
        <v>13</v>
      </c>
      <c r="C823" s="54" cm="1">
        <f t="array" ref="C823">SUMPRODUCT(('P13-LeadTime'!$H$5:$H$54=$A823)*(DATEVALUE('P13-LeadTime'!$F$5:$F$54)-DATEVALUE('P13-LeadTime'!$D$5:$D$54)))/B823</f>
        <v>36.846153846153847</v>
      </c>
      <c r="D823" s="54" cm="1">
        <f t="array" ref="D823">SUMPRODUCT(('P13-LeadTime'!$H$5:$H$54=$A823)*(DATEVALUE('P13-LeadTime'!$F$5:$F$54)-DATEVALUE('P13-LeadTime'!$E$5:$E$54)))/B823</f>
        <v>6.6923076923076925</v>
      </c>
      <c r="E823" s="39" cm="1">
        <f t="array" ref="E823">SUMPRODUCT(('P13-LeadTime'!$H$5:$H$54=$A823)*(DATEVALUE('P13-LeadTime'!$F$5:$F$54)&lt;=DATEVALUE('P13-LeadTime'!$E$5:$E$54))*1)/B823</f>
        <v>0.38461538461538464</v>
      </c>
      <c r="F823" s="54" cm="1">
        <f t="array" ref="F823">STDEV(IF('P13-LeadTime'!$H$5:$H$54=$A823,(DATEVALUE('P13-LeadTime'!$F$5:$F$54)-DATEVALUE('P13-LeadTime'!$D$5:$D$54))))</f>
        <v>18.609344220248396</v>
      </c>
    </row>
    <row r="824" spans="1:6">
      <c r="A824" t="s">
        <v>111</v>
      </c>
      <c r="B824">
        <f>COUNTIF('P13-LeadTime'!$H$5:$H$54,$A824)</f>
        <v>16</v>
      </c>
      <c r="C824" s="54" cm="1">
        <f t="array" ref="C824">SUMPRODUCT(('P13-LeadTime'!$H$5:$H$54=$A824)*(DATEVALUE('P13-LeadTime'!$F$5:$F$54)-DATEVALUE('P13-LeadTime'!$D$5:$D$54)))/B824</f>
        <v>38.3125</v>
      </c>
      <c r="D824" s="54" cm="1">
        <f t="array" ref="D824">SUMPRODUCT(('P13-LeadTime'!$H$5:$H$54=$A824)*(DATEVALUE('P13-LeadTime'!$F$5:$F$54)-DATEVALUE('P13-LeadTime'!$E$5:$E$54)))/B824</f>
        <v>4.625</v>
      </c>
      <c r="E824" s="39" cm="1">
        <f t="array" ref="E824">SUMPRODUCT(('P13-LeadTime'!$H$5:$H$54=$A824)*(DATEVALUE('P13-LeadTime'!$F$5:$F$54)&lt;=DATEVALUE('P13-LeadTime'!$E$5:$E$54))*1)/B824</f>
        <v>0.375</v>
      </c>
      <c r="F824" s="54" cm="1">
        <f t="array" ref="F824">STDEV(IF('P13-LeadTime'!$H$5:$H$54=$A824,(DATEVALUE('P13-LeadTime'!$F$5:$F$54)-DATEVALUE('P13-LeadTime'!$D$5:$D$54))))</f>
        <v>17.868850923697735</v>
      </c>
    </row>
    <row r="825" spans="1:6">
      <c r="A825" s="44" t="str">
        <f>"ANSWER: Lead times range from "&amp;TEXT(MIN($C$822:$C$824),"0.0")&amp;" days in "&amp;INDEX($A$822:$A$824,MATCH(MIN($C$822:$C$824),$C$822:$C$824,0))&amp;" to "&amp;TEXT(MAX($C$822:$C$824),"0.0")&amp;" days in "&amp;INDEX($A$822:$A$824,MATCH(MAX($C$822:$C$824),$C$822:$C$824,0))&amp;" — a "&amp;TEXT(MAX($C$822:$C$824)-MIN($C$822:$C$824),"0.0")&amp;" day spread. On-time performance is best in "&amp;INDEX($A$822:$A$824,MATCH(MAX($E$822:$E$824),$E$822:$E$824,0))&amp;" ("&amp;TEXT(MAX($E$822:$E$824),"0.0%")&amp;") and worst in "&amp;INDEX($A$822:$A$824,MATCH(MIN($E$822:$E$824),$E$822:$E$824,0))&amp;" ("&amp;TEXT(MIN($E$822:$E$824),"0.0%")&amp;")."</f>
        <v>ANSWER: Lead times range from 35.9 days in India to 38.3 days in New Zealand — a 2.5 day spread. On-time performance is best in Australia (38.5%) and worst in India (19.0%).</v>
      </c>
    </row>
    <row r="827" spans="1:6">
      <c r="A827" s="42" t="s">
        <v>1689</v>
      </c>
    </row>
    <row r="828" spans="1:6">
      <c r="A828" t="s">
        <v>1690</v>
      </c>
      <c r="B828" t="str">
        <f>INDEX($A$784:$A$798,MATCH(MAX($B$784:$B$798),$B$784:$B$798,0))</f>
        <v>Copper Wiring</v>
      </c>
      <c r="C828" t="s">
        <v>1691</v>
      </c>
      <c r="D828" s="54">
        <f>MAX($B$784:$B$798)</f>
        <v>69</v>
      </c>
      <c r="E828" t="s">
        <v>1673</v>
      </c>
      <c r="F828">
        <f>INDEX($C$784:$C$798,MATCH(MAX($B$784:$B$798),$B$784:$B$798,0))</f>
        <v>1</v>
      </c>
    </row>
    <row r="829" spans="1:6">
      <c r="A829" t="s">
        <v>1692</v>
      </c>
      <c r="B829" t="str">
        <f>INDEX($A$784:$A$798,MATCH(MAX($F$784:$F$798),$F$784:$F$798,0))</f>
        <v>Tiles (Vitrified)</v>
      </c>
      <c r="C829" t="s">
        <v>1676</v>
      </c>
      <c r="D829" s="54">
        <f>MAX($F$784:$F$798)</f>
        <v>39.597979746446661</v>
      </c>
      <c r="E829" t="s">
        <v>1693</v>
      </c>
      <c r="F829" t="str">
        <f>INDEX($D$784:$D$798,MATCH(MAX($F$784:$F$798),$F$784:$F$798,0))&amp;" – "&amp;INDEX($E$784:$E$798,MATCH(MAX($F$784:$F$798),$F$784:$F$798,0))</f>
        <v>18 – 74</v>
      </c>
    </row>
    <row r="830" spans="1:6">
      <c r="A830" s="44" t="str">
        <f>"ANSWER: "&amp;$B$828&amp;" has the longest average lead time at "&amp;TEXT($D$828,"0.0")&amp;" days. "&amp;$B$829&amp;" is the most unpredictable, with a standard deviation of "&amp;TEXT($D$829,"0.0")&amp;" days and deliveries ranging "&amp;$F$829&amp;" days. Carry buffer stock or dual-source those two."</f>
        <v>ANSWER: Copper Wiring has the longest average lead time at 69.0 days. Tiles (Vitrified) is the most unpredictable, with a standard deviation of 39.6 days and deliveries ranging 18 – 74 days. Carry buffer stock or dual-source those two.</v>
      </c>
    </row>
    <row r="832" spans="1:6">
      <c r="A832" s="42" t="s">
        <v>1694</v>
      </c>
    </row>
    <row r="833" spans="1:22">
      <c r="A833" s="43" t="s">
        <v>1309</v>
      </c>
      <c r="B833" s="43" t="s">
        <v>901</v>
      </c>
      <c r="C833" s="43" t="s">
        <v>1678</v>
      </c>
      <c r="D833" s="43" t="s">
        <v>1673</v>
      </c>
      <c r="E833" s="43" t="s">
        <v>1687</v>
      </c>
      <c r="F833" s="43" t="s">
        <v>1695</v>
      </c>
    </row>
    <row r="834" spans="1:22">
      <c r="A834">
        <v>1</v>
      </c>
      <c r="B834" t="str">
        <f t="shared" ref="B834:B843" si="30">INDEX($A$803:$A$812,MATCH(LARGE($H$803:$H$812,$A834),$H$803:$H$812,0))</f>
        <v>Supplier-J</v>
      </c>
      <c r="C834" s="39">
        <f t="shared" ref="C834:C843" si="31">INDEX($D$803:$D$812,MATCH(LARGE($H$803:$H$812,$A834),$H$803:$H$812,0))</f>
        <v>0.42857142857142855</v>
      </c>
      <c r="D834">
        <f t="shared" ref="D834:D843" si="32">INDEX($B$803:$B$812,MATCH(LARGE($H$803:$H$812,$A834),$H$803:$H$812,0))</f>
        <v>7</v>
      </c>
      <c r="E834" s="54">
        <f t="shared" ref="E834:E843" si="33">INDEX($E$803:$E$812,MATCH(LARGE($H$803:$H$812,$A834),$H$803:$H$812,0))</f>
        <v>4.4285714285714288</v>
      </c>
      <c r="F834" t="str">
        <f>IF($C834&gt;=0.9,"A - Preferred",IF($C834&gt;=0.75,"B - Acceptable",IF($C834&gt;=0.5,"C - Watch list","D - Replace")))</f>
        <v>D - Replace</v>
      </c>
    </row>
    <row r="835" spans="1:22">
      <c r="A835">
        <v>2</v>
      </c>
      <c r="B835" t="str">
        <f t="shared" si="30"/>
        <v>Supplier-C</v>
      </c>
      <c r="C835" s="39">
        <f t="shared" si="31"/>
        <v>0.4</v>
      </c>
      <c r="D835">
        <f t="shared" si="32"/>
        <v>5</v>
      </c>
      <c r="E835" s="54">
        <f t="shared" si="33"/>
        <v>7.8</v>
      </c>
      <c r="F835" t="str">
        <f t="shared" ref="F835:F843" si="34">IF($C835&gt;=0.9,"A - Preferred",IF($C835&gt;=0.75,"B - Acceptable",IF($C835&gt;=0.5,"C - Watch list","D - Replace")))</f>
        <v>D - Replace</v>
      </c>
    </row>
    <row r="836" spans="1:22">
      <c r="A836">
        <v>3</v>
      </c>
      <c r="B836" t="str">
        <f t="shared" si="30"/>
        <v>Supplier-D</v>
      </c>
      <c r="C836" s="39">
        <f t="shared" si="31"/>
        <v>0.4</v>
      </c>
      <c r="D836">
        <f t="shared" si="32"/>
        <v>5</v>
      </c>
      <c r="E836" s="54">
        <f t="shared" si="33"/>
        <v>2.2000000000000002</v>
      </c>
      <c r="F836" t="str">
        <f t="shared" si="34"/>
        <v>D - Replace</v>
      </c>
    </row>
    <row r="837" spans="1:22">
      <c r="A837">
        <v>4</v>
      </c>
      <c r="B837" t="str">
        <f t="shared" si="30"/>
        <v>Supplier-F</v>
      </c>
      <c r="C837" s="39">
        <f t="shared" si="31"/>
        <v>0.375</v>
      </c>
      <c r="D837">
        <f t="shared" si="32"/>
        <v>8</v>
      </c>
      <c r="E837" s="54">
        <f t="shared" si="33"/>
        <v>4.5</v>
      </c>
      <c r="F837" t="str">
        <f t="shared" si="34"/>
        <v>D - Replace</v>
      </c>
    </row>
    <row r="838" spans="1:22">
      <c r="A838">
        <v>5</v>
      </c>
      <c r="B838" t="str">
        <f t="shared" si="30"/>
        <v>Supplier-A</v>
      </c>
      <c r="C838" s="39">
        <f t="shared" si="31"/>
        <v>0.33333333333333331</v>
      </c>
      <c r="D838">
        <f t="shared" si="32"/>
        <v>3</v>
      </c>
      <c r="E838" s="54">
        <f t="shared" si="33"/>
        <v>4.666666666666667</v>
      </c>
      <c r="F838" t="str">
        <f t="shared" si="34"/>
        <v>D - Replace</v>
      </c>
    </row>
    <row r="839" spans="1:22">
      <c r="A839">
        <v>6</v>
      </c>
      <c r="B839" t="str">
        <f t="shared" si="30"/>
        <v>Supplier-E</v>
      </c>
      <c r="C839" s="39">
        <f t="shared" si="31"/>
        <v>0.2857142857142857</v>
      </c>
      <c r="D839">
        <f t="shared" si="32"/>
        <v>7</v>
      </c>
      <c r="E839" s="54">
        <f t="shared" si="33"/>
        <v>3.1428571428571428</v>
      </c>
      <c r="F839" t="str">
        <f t="shared" si="34"/>
        <v>D - Replace</v>
      </c>
    </row>
    <row r="840" spans="1:22">
      <c r="A840">
        <v>7</v>
      </c>
      <c r="B840" t="str">
        <f t="shared" si="30"/>
        <v>Supplier-G</v>
      </c>
      <c r="C840" s="39">
        <f t="shared" si="31"/>
        <v>0.16666666666666666</v>
      </c>
      <c r="D840">
        <f t="shared" si="32"/>
        <v>6</v>
      </c>
      <c r="E840" s="54">
        <f t="shared" si="33"/>
        <v>7</v>
      </c>
      <c r="F840" t="str">
        <f t="shared" si="34"/>
        <v>D - Replace</v>
      </c>
    </row>
    <row r="841" spans="1:22">
      <c r="A841">
        <v>8</v>
      </c>
      <c r="B841" t="str">
        <f t="shared" si="30"/>
        <v>Supplier-I</v>
      </c>
      <c r="C841" s="39">
        <f t="shared" si="31"/>
        <v>0.14285714285714285</v>
      </c>
      <c r="D841">
        <f t="shared" si="32"/>
        <v>7</v>
      </c>
      <c r="E841" s="54">
        <f t="shared" si="33"/>
        <v>10</v>
      </c>
      <c r="F841" t="str">
        <f t="shared" si="34"/>
        <v>D - Replace</v>
      </c>
    </row>
    <row r="842" spans="1:22">
      <c r="A842">
        <v>9</v>
      </c>
      <c r="B842" t="str">
        <f t="shared" si="30"/>
        <v>Supplier-B</v>
      </c>
      <c r="C842" s="39">
        <f t="shared" si="31"/>
        <v>0</v>
      </c>
      <c r="D842">
        <f t="shared" si="32"/>
        <v>1</v>
      </c>
      <c r="E842" s="54">
        <f t="shared" si="33"/>
        <v>12</v>
      </c>
      <c r="F842" t="str">
        <f t="shared" si="34"/>
        <v>D - Replace</v>
      </c>
    </row>
    <row r="843" spans="1:22">
      <c r="A843">
        <v>10</v>
      </c>
      <c r="B843" t="str">
        <f t="shared" si="30"/>
        <v>Supplier-H</v>
      </c>
      <c r="C843" s="39">
        <f t="shared" si="31"/>
        <v>0</v>
      </c>
      <c r="D843">
        <f t="shared" si="32"/>
        <v>1</v>
      </c>
      <c r="E843" s="54">
        <f t="shared" si="33"/>
        <v>17</v>
      </c>
      <c r="F843" t="str">
        <f>IF($C843&gt;=0.9,"A - Preferred",IF($C843&gt;=0.75,"B - Acceptable",IF($C843&gt;=0.5,"C - Watch list","D - Replace")))</f>
        <v>D - Replace</v>
      </c>
    </row>
    <row r="844" spans="1:22">
      <c r="A844" s="44" t="str" cm="1">
        <f t="array" ref="A844">"ANSWER: The scorecard above ranks all 10 suppliers. "&amp;COUNTIF($F$834:$F$843,"A*")&amp;" rate A (90%+ on time), "&amp;COUNTIF($F$834:$F$843,"B*")&amp;" rate B, "&amp;COUNTIF($F$834:$F$843,"C*")&amp;" are watch-list and "&amp;COUNTIF($F$834:$F$843,"D*")&amp;" should be replaced. Portfolio on-time performance is "&amp;TEXT(SUMPRODUCT((DATEVALUE('P13-LeadTime'!$F$5:$F$54)&lt;=DATEVALUE('P13-LeadTime'!$E$5:$E$54))*1)/COUNTA('P13-LeadTime'!$E$5:$E$54),"0.0%")&amp;"."</f>
        <v>ANSWER: The scorecard above ranks all 10 suppliers. 0 rate A (90%+ on time), 0 rate B, 0 are watch-list and 10 should be replaced. Portfolio on-time performance is 30.0%.</v>
      </c>
    </row>
    <row r="846" spans="1:22">
      <c r="A846" s="41" t="s">
        <v>1705</v>
      </c>
      <c r="B846" s="41"/>
      <c r="C846" s="41"/>
      <c r="D846" s="41"/>
      <c r="E846" s="41"/>
      <c r="F846" s="41"/>
    </row>
    <row r="847" spans="1:22">
      <c r="A847" s="42" t="s">
        <v>1152</v>
      </c>
    </row>
    <row r="848" spans="1:22">
      <c r="A848" t="s">
        <v>1706</v>
      </c>
      <c r="B848" s="48">
        <f>SUM('P14-PaymentAging'!$F$5:$F$44)</f>
        <v>41713158</v>
      </c>
      <c r="C848" t="s">
        <v>1707</v>
      </c>
      <c r="D848" s="48">
        <f>SUM('P14-PaymentAging'!$G$5:$G$44)</f>
        <v>29856300</v>
      </c>
      <c r="E848" t="s">
        <v>1708</v>
      </c>
      <c r="F848" s="48">
        <f>SUM('P14-PaymentAging'!$I$5:$I$44)</f>
        <v>11856858</v>
      </c>
      <c r="N848" s="63" t="s">
        <v>1697</v>
      </c>
      <c r="O848" s="63" t="s">
        <v>512</v>
      </c>
      <c r="P848" s="63" t="s">
        <v>1698</v>
      </c>
      <c r="Q848" s="63" t="s">
        <v>1699</v>
      </c>
      <c r="R848" s="63" t="s">
        <v>1700</v>
      </c>
      <c r="S848" s="63" t="s">
        <v>1701</v>
      </c>
      <c r="T848" s="63" t="s">
        <v>1702</v>
      </c>
      <c r="U848" s="63" t="s">
        <v>1703</v>
      </c>
      <c r="V848" s="63" t="s">
        <v>1704</v>
      </c>
    </row>
    <row r="849" spans="1:22">
      <c r="A849" s="44" t="str">
        <f>"ANSWER: Total outstanding across all projects is "&amp;TEXT($F$848,"""$""#,##0")&amp;" on "&amp;TEXT($B$848,"""$""#,##0")&amp;" invoiced — a collection rate of "&amp;TEXT($D$848/$B$848,"0.0%")&amp;". "&amp;COUNTIF('P14-PaymentAging'!$I$5:$I$44,"&gt;0")&amp;" of 40 invoices carry a balance."</f>
        <v>ANSWER: Total outstanding across all projects is $1,18,56,858 on $4,17,13,158 invoiced — a collection rate of 71.6%. 19 of 40 invoices carry a balance.</v>
      </c>
      <c r="N849" s="63" t="str">
        <f>'P14-PaymentAging'!$A$5</f>
        <v>INV-700</v>
      </c>
      <c r="O849" s="63" t="str">
        <f>'P14-PaymentAging'!$C$5</f>
        <v>GPT Group</v>
      </c>
      <c r="P849" s="63" t="str">
        <f>'P14-PaymentAging'!$B$5</f>
        <v>WT-HOS-AKL-03</v>
      </c>
      <c r="Q849" s="63">
        <f>IF('P14-PaymentAging'!$H$5="",$B$867-DATEVALUE('P14-PaymentAging'!$E$5),DATEVALUE('P14-PaymentAging'!$H$5)-DATEVALUE('P14-PaymentAging'!$E$5))</f>
        <v>37</v>
      </c>
      <c r="R849" s="63">
        <f>'P14-PaymentAging'!$I$5</f>
        <v>0</v>
      </c>
      <c r="S849" s="63">
        <f t="shared" ref="S849:S888" si="35">IF($Q849&gt;0,$R849,0)</f>
        <v>0</v>
      </c>
      <c r="T849" s="63">
        <f t="shared" ref="T849:T888" si="36">$S849*$B$901*($Q849/30)</f>
        <v>0</v>
      </c>
      <c r="U849" s="63">
        <f>IF('P14-PaymentAging'!$H$5="","",DATEVALUE('P14-PaymentAging'!$H$5)-DATEVALUE('P14-PaymentAging'!$D$5))</f>
        <v>67</v>
      </c>
      <c r="V849" s="63">
        <f>IF('P14-PaymentAging'!$H$5="",0,IF(DATEVALUE('P14-PaymentAging'!$H$5)&gt;DATEVALUE('P14-PaymentAging'!$E$5),'P14-PaymentAging'!$G$5,0))</f>
        <v>1697785</v>
      </c>
    </row>
    <row r="850" spans="1:22">
      <c r="N850" s="63" t="str">
        <f>'P14-PaymentAging'!$A$6</f>
        <v>INV-701</v>
      </c>
      <c r="O850" s="63" t="str">
        <f>'P14-PaymentAging'!$C$6</f>
        <v>Ascendas REIT</v>
      </c>
      <c r="P850" s="63" t="str">
        <f>'P14-PaymentAging'!$B$6</f>
        <v>WT-ITP-BLR-04</v>
      </c>
      <c r="Q850" s="63">
        <f>IF('P14-PaymentAging'!$H$6="",$B$867-DATEVALUE('P14-PaymentAging'!$E$6),DATEVALUE('P14-PaymentAging'!$H$6)-DATEVALUE('P14-PaymentAging'!$E$6))</f>
        <v>-3</v>
      </c>
      <c r="R850" s="63">
        <f>'P14-PaymentAging'!$I$6</f>
        <v>109120</v>
      </c>
      <c r="S850" s="63">
        <f t="shared" si="35"/>
        <v>0</v>
      </c>
      <c r="T850" s="63">
        <f t="shared" si="36"/>
        <v>0</v>
      </c>
      <c r="U850" s="63">
        <f>IF('P14-PaymentAging'!$H$6="","",DATEVALUE('P14-PaymentAging'!$H$6)-DATEVALUE('P14-PaymentAging'!$D$6))</f>
        <v>27</v>
      </c>
      <c r="V850" s="63">
        <f>IF('P14-PaymentAging'!$H$6="",0,IF(DATEVALUE('P14-PaymentAging'!$H$6)&gt;DATEVALUE('P14-PaymentAging'!$E$6),'P14-PaymentAging'!$G$6,0))</f>
        <v>0</v>
      </c>
    </row>
    <row r="851" spans="1:22">
      <c r="A851" s="42" t="s">
        <v>1709</v>
      </c>
      <c r="N851" s="63" t="str">
        <f>'P14-PaymentAging'!$A$7</f>
        <v>INV-702</v>
      </c>
      <c r="O851" s="63" t="str">
        <f>'P14-PaymentAging'!$C$7</f>
        <v>GPT Group</v>
      </c>
      <c r="P851" s="63" t="str">
        <f>'P14-PaymentAging'!$B$7</f>
        <v>WT-HOS-AKL-03</v>
      </c>
      <c r="Q851" s="63">
        <f>IF('P14-PaymentAging'!$H$7="",$B$867-DATEVALUE('P14-PaymentAging'!$E$7),DATEVALUE('P14-PaymentAging'!$H$7)-DATEVALUE('P14-PaymentAging'!$E$7))</f>
        <v>13</v>
      </c>
      <c r="R851" s="63">
        <f>'P14-PaymentAging'!$I$7</f>
        <v>0</v>
      </c>
      <c r="S851" s="63">
        <f t="shared" si="35"/>
        <v>0</v>
      </c>
      <c r="T851" s="63">
        <f t="shared" si="36"/>
        <v>0</v>
      </c>
      <c r="U851" s="63">
        <f>IF('P14-PaymentAging'!$H$7="","",DATEVALUE('P14-PaymentAging'!$H$7)-DATEVALUE('P14-PaymentAging'!$D$7))</f>
        <v>43</v>
      </c>
      <c r="V851" s="63">
        <f>IF('P14-PaymentAging'!$H$7="",0,IF(DATEVALUE('P14-PaymentAging'!$H$7)&gt;DATEVALUE('P14-PaymentAging'!$E$7),'P14-PaymentAging'!$G$7,0))</f>
        <v>1189156</v>
      </c>
    </row>
    <row r="852" spans="1:22">
      <c r="A852" s="43" t="s">
        <v>512</v>
      </c>
      <c r="B852" s="43" t="s">
        <v>1710</v>
      </c>
      <c r="C852" s="43" t="s">
        <v>1711</v>
      </c>
      <c r="D852" s="43" t="s">
        <v>1712</v>
      </c>
      <c r="E852" s="43" t="s">
        <v>1700</v>
      </c>
      <c r="F852" s="43" t="s">
        <v>1713</v>
      </c>
      <c r="N852" s="63" t="str">
        <f>'P14-PaymentAging'!$A$8</f>
        <v>INV-703</v>
      </c>
      <c r="O852" s="63" t="str">
        <f>'P14-PaymentAging'!$C$8</f>
        <v>Goodman Group</v>
      </c>
      <c r="P852" s="63" t="str">
        <f>'P14-PaymentAging'!$B$8</f>
        <v>WT-OFF-SYD-02</v>
      </c>
      <c r="Q852" s="63">
        <f>IF('P14-PaymentAging'!$H$8="",$B$867-DATEVALUE('P14-PaymentAging'!$E$8),DATEVALUE('P14-PaymentAging'!$H$8)-DATEVALUE('P14-PaymentAging'!$E$8))</f>
        <v>60</v>
      </c>
      <c r="R852" s="63">
        <f>'P14-PaymentAging'!$I$8</f>
        <v>850225</v>
      </c>
      <c r="S852" s="63">
        <f t="shared" si="35"/>
        <v>850225</v>
      </c>
      <c r="T852" s="63">
        <f t="shared" si="36"/>
        <v>25506.75</v>
      </c>
      <c r="U852" s="63" t="str">
        <f>IF('P14-PaymentAging'!$H$8="","",DATEVALUE('P14-PaymentAging'!$H$8)-DATEVALUE('P14-PaymentAging'!$D$8))</f>
        <v/>
      </c>
      <c r="V852" s="63">
        <f>IF('P14-PaymentAging'!$H$8="",0,IF(DATEVALUE('P14-PaymentAging'!$H$8)&gt;DATEVALUE('P14-PaymentAging'!$E$8),'P14-PaymentAging'!$G$8,0))</f>
        <v>0</v>
      </c>
    </row>
    <row r="853" spans="1:22">
      <c r="A853" t="s">
        <v>1059</v>
      </c>
      <c r="B853">
        <f>COUNTIF('P14-PaymentAging'!$C$5:$C$44,$A853)</f>
        <v>4</v>
      </c>
      <c r="C853" s="48">
        <f>SUMIF('P14-PaymentAging'!$C$5:$C$44,$A853,'P14-PaymentAging'!$F$5:$F$44)</f>
        <v>4067274</v>
      </c>
      <c r="D853" s="48">
        <f>SUMIF('P14-PaymentAging'!$C$5:$C$44,$A853,'P14-PaymentAging'!$G$5:$G$44)</f>
        <v>3341941</v>
      </c>
      <c r="E853" s="48">
        <f>SUMIF('P14-PaymentAging'!$C$5:$C$44,$A853,'P14-PaymentAging'!$I$5:$I$44)</f>
        <v>725333</v>
      </c>
      <c r="F853" s="48">
        <f t="shared" ref="F853:F862" si="37">SUMIF($O$849:$O$888,$A853,$V$849:$V$888)</f>
        <v>3341941</v>
      </c>
      <c r="N853" s="63" t="str">
        <f>'P14-PaymentAging'!$A$9</f>
        <v>INV-704</v>
      </c>
      <c r="O853" s="63" t="str">
        <f>'P14-PaymentAging'!$C$9</f>
        <v>Tata Realty</v>
      </c>
      <c r="P853" s="63" t="str">
        <f>'P14-PaymentAging'!$B$9</f>
        <v>WT-DC-MUM-01</v>
      </c>
      <c r="Q853" s="63">
        <f>IF('P14-PaymentAging'!$H$9="",$B$867-DATEVALUE('P14-PaymentAging'!$E$9),DATEVALUE('P14-PaymentAging'!$H$9)-DATEVALUE('P14-PaymentAging'!$E$9))</f>
        <v>21</v>
      </c>
      <c r="R853" s="63">
        <f>'P14-PaymentAging'!$I$9</f>
        <v>0</v>
      </c>
      <c r="S853" s="63">
        <f t="shared" si="35"/>
        <v>0</v>
      </c>
      <c r="T853" s="63">
        <f t="shared" si="36"/>
        <v>0</v>
      </c>
      <c r="U853" s="63">
        <f>IF('P14-PaymentAging'!$H$9="","",DATEVALUE('P14-PaymentAging'!$H$9)-DATEVALUE('P14-PaymentAging'!$D$9))</f>
        <v>51</v>
      </c>
      <c r="V853" s="63">
        <f>IF('P14-PaymentAging'!$H$9="",0,IF(DATEVALUE('P14-PaymentAging'!$H$9)&gt;DATEVALUE('P14-PaymentAging'!$E$9),'P14-PaymentAging'!$G$9,0))</f>
        <v>1667376</v>
      </c>
    </row>
    <row r="854" spans="1:22">
      <c r="A854" t="s">
        <v>1062</v>
      </c>
      <c r="B854">
        <f>COUNTIF('P14-PaymentAging'!$C$5:$C$44,$A854)</f>
        <v>5</v>
      </c>
      <c r="C854" s="48">
        <f>SUMIF('P14-PaymentAging'!$C$5:$C$44,$A854,'P14-PaymentAging'!$F$5:$F$44)</f>
        <v>5877131</v>
      </c>
      <c r="D854" s="48">
        <f>SUMIF('P14-PaymentAging'!$C$5:$C$44,$A854,'P14-PaymentAging'!$G$5:$G$44)</f>
        <v>4731174</v>
      </c>
      <c r="E854" s="48">
        <f>SUMIF('P14-PaymentAging'!$C$5:$C$44,$A854,'P14-PaymentAging'!$I$5:$I$44)</f>
        <v>1145957</v>
      </c>
      <c r="F854" s="48">
        <f t="shared" si="37"/>
        <v>4622054</v>
      </c>
      <c r="N854" s="63" t="str">
        <f>'P14-PaymentAging'!$A$10</f>
        <v>INV-705</v>
      </c>
      <c r="O854" s="63" t="str">
        <f>'P14-PaymentAging'!$C$10</f>
        <v>Tata Realty</v>
      </c>
      <c r="P854" s="63" t="str">
        <f>'P14-PaymentAging'!$B$10</f>
        <v>WT-DC-MUM-01</v>
      </c>
      <c r="Q854" s="63">
        <f>IF('P14-PaymentAging'!$H$10="",$B$867-DATEVALUE('P14-PaymentAging'!$E$10),DATEVALUE('P14-PaymentAging'!$H$10)-DATEVALUE('P14-PaymentAging'!$E$10))</f>
        <v>243</v>
      </c>
      <c r="R854" s="63">
        <f>'P14-PaymentAging'!$I$10</f>
        <v>1592083</v>
      </c>
      <c r="S854" s="63">
        <f t="shared" si="35"/>
        <v>1592083</v>
      </c>
      <c r="T854" s="63">
        <f t="shared" si="36"/>
        <v>193438.0845</v>
      </c>
      <c r="U854" s="63" t="str">
        <f>IF('P14-PaymentAging'!$H$10="","",DATEVALUE('P14-PaymentAging'!$H$10)-DATEVALUE('P14-PaymentAging'!$D$10))</f>
        <v/>
      </c>
      <c r="V854" s="63">
        <f>IF('P14-PaymentAging'!$H$10="",0,IF(DATEVALUE('P14-PaymentAging'!$H$10)&gt;DATEVALUE('P14-PaymentAging'!$E$10),'P14-PaymentAging'!$G$10,0))</f>
        <v>0</v>
      </c>
    </row>
    <row r="855" spans="1:22">
      <c r="A855" t="s">
        <v>1068</v>
      </c>
      <c r="B855">
        <f>COUNTIF('P14-PaymentAging'!$C$5:$C$44,$A855)</f>
        <v>4</v>
      </c>
      <c r="C855" s="48">
        <f>SUMIF('P14-PaymentAging'!$C$5:$C$44,$A855,'P14-PaymentAging'!$F$5:$F$44)</f>
        <v>3730694</v>
      </c>
      <c r="D855" s="48">
        <f>SUMIF('P14-PaymentAging'!$C$5:$C$44,$A855,'P14-PaymentAging'!$G$5:$G$44)</f>
        <v>2880469</v>
      </c>
      <c r="E855" s="48">
        <f>SUMIF('P14-PaymentAging'!$C$5:$C$44,$A855,'P14-PaymentAging'!$I$5:$I$44)</f>
        <v>850225</v>
      </c>
      <c r="F855" s="48">
        <f t="shared" si="37"/>
        <v>2880469</v>
      </c>
      <c r="N855" s="63" t="str">
        <f>'P14-PaymentAging'!$A$11</f>
        <v>INV-706</v>
      </c>
      <c r="O855" s="63" t="str">
        <f>'P14-PaymentAging'!$C$11</f>
        <v>Tata Realty</v>
      </c>
      <c r="P855" s="63" t="str">
        <f>'P14-PaymentAging'!$B$11</f>
        <v>WT-RES-MEL-05</v>
      </c>
      <c r="Q855" s="63">
        <f>IF('P14-PaymentAging'!$H$11="",$B$867-DATEVALUE('P14-PaymentAging'!$E$11),DATEVALUE('P14-PaymentAging'!$H$11)-DATEVALUE('P14-PaymentAging'!$E$11))</f>
        <v>29</v>
      </c>
      <c r="R855" s="63">
        <f>'P14-PaymentAging'!$I$11</f>
        <v>0</v>
      </c>
      <c r="S855" s="63">
        <f t="shared" si="35"/>
        <v>0</v>
      </c>
      <c r="T855" s="63">
        <f t="shared" si="36"/>
        <v>0</v>
      </c>
      <c r="U855" s="63">
        <f>IF('P14-PaymentAging'!$H$11="","",DATEVALUE('P14-PaymentAging'!$H$11)-DATEVALUE('P14-PaymentAging'!$D$11))</f>
        <v>59</v>
      </c>
      <c r="V855" s="63">
        <f>IF('P14-PaymentAging'!$H$11="",0,IF(DATEVALUE('P14-PaymentAging'!$H$11)&gt;DATEVALUE('P14-PaymentAging'!$E$11),'P14-PaymentAging'!$G$11,0))</f>
        <v>866049</v>
      </c>
    </row>
    <row r="856" spans="1:22">
      <c r="A856" t="s">
        <v>1070</v>
      </c>
      <c r="B856">
        <f>COUNTIF('P14-PaymentAging'!$C$5:$C$44,$A856)</f>
        <v>7</v>
      </c>
      <c r="C856" s="48">
        <f>SUMIF('P14-PaymentAging'!$C$5:$C$44,$A856,'P14-PaymentAging'!$F$5:$F$44)</f>
        <v>7778748</v>
      </c>
      <c r="D856" s="48">
        <f>SUMIF('P14-PaymentAging'!$C$5:$C$44,$A856,'P14-PaymentAging'!$G$5:$G$44)</f>
        <v>4865987</v>
      </c>
      <c r="E856" s="48">
        <f>SUMIF('P14-PaymentAging'!$C$5:$C$44,$A856,'P14-PaymentAging'!$I$5:$I$44)</f>
        <v>2912761</v>
      </c>
      <c r="F856" s="48">
        <f t="shared" si="37"/>
        <v>4145611</v>
      </c>
      <c r="N856" s="63" t="str">
        <f>'P14-PaymentAging'!$A$12</f>
        <v>INV-707</v>
      </c>
      <c r="O856" s="63" t="str">
        <f>'P14-PaymentAging'!$C$12</f>
        <v>Brookfield</v>
      </c>
      <c r="P856" s="63" t="str">
        <f>'P14-PaymentAging'!$B$12</f>
        <v>WT-HOS-AKL-03</v>
      </c>
      <c r="Q856" s="63">
        <f>IF('P14-PaymentAging'!$H$12="",$B$867-DATEVALUE('P14-PaymentAging'!$E$12),DATEVALUE('P14-PaymentAging'!$H$12)-DATEVALUE('P14-PaymentAging'!$E$12))</f>
        <v>156</v>
      </c>
      <c r="R856" s="63">
        <f>'P14-PaymentAging'!$I$12</f>
        <v>1577223</v>
      </c>
      <c r="S856" s="63">
        <f t="shared" si="35"/>
        <v>1577223</v>
      </c>
      <c r="T856" s="63">
        <f t="shared" si="36"/>
        <v>123023.39399999999</v>
      </c>
      <c r="U856" s="63" t="str">
        <f>IF('P14-PaymentAging'!$H$12="","",DATEVALUE('P14-PaymentAging'!$H$12)-DATEVALUE('P14-PaymentAging'!$D$12))</f>
        <v/>
      </c>
      <c r="V856" s="63">
        <f>IF('P14-PaymentAging'!$H$12="",0,IF(DATEVALUE('P14-PaymentAging'!$H$12)&gt;DATEVALUE('P14-PaymentAging'!$E$12),'P14-PaymentAging'!$G$12,0))</f>
        <v>0</v>
      </c>
    </row>
    <row r="857" spans="1:22">
      <c r="A857" t="s">
        <v>1077</v>
      </c>
      <c r="B857">
        <f>COUNTIF('P14-PaymentAging'!$C$5:$C$44,$A857)</f>
        <v>9</v>
      </c>
      <c r="C857" s="48">
        <f>SUMIF('P14-PaymentAging'!$C$5:$C$44,$A857,'P14-PaymentAging'!$F$5:$F$44)</f>
        <v>8558948</v>
      </c>
      <c r="D857" s="48">
        <f>SUMIF('P14-PaymentAging'!$C$5:$C$44,$A857,'P14-PaymentAging'!$G$5:$G$44)</f>
        <v>4423250</v>
      </c>
      <c r="E857" s="48">
        <f>SUMIF('P14-PaymentAging'!$C$5:$C$44,$A857,'P14-PaymentAging'!$I$5:$I$44)</f>
        <v>4135698</v>
      </c>
      <c r="F857" s="48">
        <f t="shared" si="37"/>
        <v>4423250</v>
      </c>
      <c r="N857" s="63" t="str">
        <f>'P14-PaymentAging'!$A$13</f>
        <v>INV-708</v>
      </c>
      <c r="O857" s="63" t="str">
        <f>'P14-PaymentAging'!$C$13</f>
        <v>Dexus</v>
      </c>
      <c r="P857" s="63" t="str">
        <f>'P14-PaymentAging'!$B$13</f>
        <v>WT-RES-MEL-05</v>
      </c>
      <c r="Q857" s="63">
        <f>IF('P14-PaymentAging'!$H$13="",$B$867-DATEVALUE('P14-PaymentAging'!$E$13),DATEVALUE('P14-PaymentAging'!$H$13)-DATEVALUE('P14-PaymentAging'!$E$13))</f>
        <v>28</v>
      </c>
      <c r="R857" s="63">
        <f>'P14-PaymentAging'!$I$13</f>
        <v>0</v>
      </c>
      <c r="S857" s="63">
        <f t="shared" si="35"/>
        <v>0</v>
      </c>
      <c r="T857" s="63">
        <f t="shared" si="36"/>
        <v>0</v>
      </c>
      <c r="U857" s="63">
        <f>IF('P14-PaymentAging'!$H$13="","",DATEVALUE('P14-PaymentAging'!$H$13)-DATEVALUE('P14-PaymentAging'!$D$13))</f>
        <v>58</v>
      </c>
      <c r="V857" s="63">
        <f>IF('P14-PaymentAging'!$H$13="",0,IF(DATEVALUE('P14-PaymentAging'!$H$13)&gt;DATEVALUE('P14-PaymentAging'!$E$13),'P14-PaymentAging'!$G$13,0))</f>
        <v>581235</v>
      </c>
    </row>
    <row r="858" spans="1:22">
      <c r="A858" t="s">
        <v>1080</v>
      </c>
      <c r="B858">
        <f>COUNTIF('P14-PaymentAging'!$C$5:$C$44,$A858)</f>
        <v>4</v>
      </c>
      <c r="C858" s="48">
        <f>SUMIF('P14-PaymentAging'!$C$5:$C$44,$A858,'P14-PaymentAging'!$F$5:$F$44)</f>
        <v>2554118</v>
      </c>
      <c r="D858" s="48">
        <f>SUMIF('P14-PaymentAging'!$C$5:$C$44,$A858,'P14-PaymentAging'!$G$5:$G$44)</f>
        <v>2364281</v>
      </c>
      <c r="E858" s="48">
        <f>SUMIF('P14-PaymentAging'!$C$5:$C$44,$A858,'P14-PaymentAging'!$I$5:$I$44)</f>
        <v>189837</v>
      </c>
      <c r="F858" s="48">
        <f t="shared" si="37"/>
        <v>2364281</v>
      </c>
      <c r="N858" s="63" t="str">
        <f>'P14-PaymentAging'!$A$14</f>
        <v>INV-709</v>
      </c>
      <c r="O858" s="63" t="str">
        <f>'P14-PaymentAging'!$C$14</f>
        <v>Stockland</v>
      </c>
      <c r="P858" s="63" t="str">
        <f>'P14-PaymentAging'!$B$14</f>
        <v>WT-OFF-SYD-02</v>
      </c>
      <c r="Q858" s="63">
        <f>IF('P14-PaymentAging'!$H$14="",$B$867-DATEVALUE('P14-PaymentAging'!$E$14),DATEVALUE('P14-PaymentAging'!$H$14)-DATEVALUE('P14-PaymentAging'!$E$14))</f>
        <v>17</v>
      </c>
      <c r="R858" s="63">
        <f>'P14-PaymentAging'!$I$14</f>
        <v>0</v>
      </c>
      <c r="S858" s="63">
        <f t="shared" si="35"/>
        <v>0</v>
      </c>
      <c r="T858" s="63">
        <f t="shared" si="36"/>
        <v>0</v>
      </c>
      <c r="U858" s="63">
        <f>IF('P14-PaymentAging'!$H$14="","",DATEVALUE('P14-PaymentAging'!$H$14)-DATEVALUE('P14-PaymentAging'!$D$14))</f>
        <v>47</v>
      </c>
      <c r="V858" s="63">
        <f>IF('P14-PaymentAging'!$H$14="",0,IF(DATEVALUE('P14-PaymentAging'!$H$14)&gt;DATEVALUE('P14-PaymentAging'!$E$14),'P14-PaymentAging'!$G$14,0))</f>
        <v>1861221</v>
      </c>
    </row>
    <row r="859" spans="1:22">
      <c r="A859" t="s">
        <v>1084</v>
      </c>
      <c r="B859">
        <f>COUNTIF('P14-PaymentAging'!$C$5:$C$44,$A859)</f>
        <v>2</v>
      </c>
      <c r="C859" s="48">
        <f>SUMIF('P14-PaymentAging'!$C$5:$C$44,$A859,'P14-PaymentAging'!$F$5:$F$44)</f>
        <v>3181997</v>
      </c>
      <c r="D859" s="48">
        <f>SUMIF('P14-PaymentAging'!$C$5:$C$44,$A859,'P14-PaymentAging'!$G$5:$G$44)</f>
        <v>3181997</v>
      </c>
      <c r="E859" s="48">
        <f>SUMIF('P14-PaymentAging'!$C$5:$C$44,$A859,'P14-PaymentAging'!$I$5:$I$44)</f>
        <v>0</v>
      </c>
      <c r="F859" s="48">
        <f t="shared" si="37"/>
        <v>1861221</v>
      </c>
      <c r="N859" s="63" t="str">
        <f>'P14-PaymentAging'!$A$15</f>
        <v>INV-710</v>
      </c>
      <c r="O859" s="63" t="str">
        <f>'P14-PaymentAging'!$C$15</f>
        <v>Tata Realty</v>
      </c>
      <c r="P859" s="63" t="str">
        <f>'P14-PaymentAging'!$B$15</f>
        <v>WT-DC-MUM-01</v>
      </c>
      <c r="Q859" s="63">
        <f>IF('P14-PaymentAging'!$H$15="",$B$867-DATEVALUE('P14-PaymentAging'!$E$15),DATEVALUE('P14-PaymentAging'!$H$15)-DATEVALUE('P14-PaymentAging'!$E$15))</f>
        <v>-9</v>
      </c>
      <c r="R859" s="63">
        <f>'P14-PaymentAging'!$I$15</f>
        <v>240126</v>
      </c>
      <c r="S859" s="63">
        <f t="shared" si="35"/>
        <v>0</v>
      </c>
      <c r="T859" s="63">
        <f t="shared" si="36"/>
        <v>0</v>
      </c>
      <c r="U859" s="63">
        <f>IF('P14-PaymentAging'!$H$15="","",DATEVALUE('P14-PaymentAging'!$H$15)-DATEVALUE('P14-PaymentAging'!$D$15))</f>
        <v>21</v>
      </c>
      <c r="V859" s="63">
        <f>IF('P14-PaymentAging'!$H$15="",0,IF(DATEVALUE('P14-PaymentAging'!$H$15)&gt;DATEVALUE('P14-PaymentAging'!$E$15),'P14-PaymentAging'!$G$15,0))</f>
        <v>0</v>
      </c>
    </row>
    <row r="860" spans="1:22">
      <c r="A860" t="s">
        <v>1107</v>
      </c>
      <c r="B860">
        <f>COUNTIF('P14-PaymentAging'!$C$5:$C$44,$A860)</f>
        <v>1</v>
      </c>
      <c r="C860" s="48">
        <f>SUMIF('P14-PaymentAging'!$C$5:$C$44,$A860,'P14-PaymentAging'!$F$5:$F$44)</f>
        <v>1212913</v>
      </c>
      <c r="D860" s="48">
        <f>SUMIF('P14-PaymentAging'!$C$5:$C$44,$A860,'P14-PaymentAging'!$G$5:$G$44)</f>
        <v>606456</v>
      </c>
      <c r="E860" s="48">
        <f>SUMIF('P14-PaymentAging'!$C$5:$C$44,$A860,'P14-PaymentAging'!$I$5:$I$44)</f>
        <v>606457</v>
      </c>
      <c r="F860" s="48">
        <f t="shared" si="37"/>
        <v>0</v>
      </c>
      <c r="N860" s="63" t="str">
        <f>'P14-PaymentAging'!$A$16</f>
        <v>INV-711</v>
      </c>
      <c r="O860" s="63" t="str">
        <f>'P14-PaymentAging'!$C$16</f>
        <v>Goodman Group</v>
      </c>
      <c r="P860" s="63" t="str">
        <f>'P14-PaymentAging'!$B$16</f>
        <v>WT-OFF-SYD-02</v>
      </c>
      <c r="Q860" s="63">
        <f>IF('P14-PaymentAging'!$H$16="",$B$867-DATEVALUE('P14-PaymentAging'!$E$16),DATEVALUE('P14-PaymentAging'!$H$16)-DATEVALUE('P14-PaymentAging'!$E$16))</f>
        <v>21</v>
      </c>
      <c r="R860" s="63">
        <f>'P14-PaymentAging'!$I$16</f>
        <v>0</v>
      </c>
      <c r="S860" s="63">
        <f t="shared" si="35"/>
        <v>0</v>
      </c>
      <c r="T860" s="63">
        <f t="shared" si="36"/>
        <v>0</v>
      </c>
      <c r="U860" s="63">
        <f>IF('P14-PaymentAging'!$H$16="","",DATEVALUE('P14-PaymentAging'!$H$16)-DATEVALUE('P14-PaymentAging'!$D$16))</f>
        <v>51</v>
      </c>
      <c r="V860" s="63">
        <f>IF('P14-PaymentAging'!$H$16="",0,IF(DATEVALUE('P14-PaymentAging'!$H$16)&gt;DATEVALUE('P14-PaymentAging'!$E$16),'P14-PaymentAging'!$G$16,0))</f>
        <v>300923</v>
      </c>
    </row>
    <row r="861" spans="1:22">
      <c r="A861" t="s">
        <v>1113</v>
      </c>
      <c r="B861">
        <f>COUNTIF('P14-PaymentAging'!$C$5:$C$44,$A861)</f>
        <v>2</v>
      </c>
      <c r="C861" s="48">
        <f>SUMIF('P14-PaymentAging'!$C$5:$C$44,$A861,'P14-PaymentAging'!$F$5:$F$44)</f>
        <v>2883728</v>
      </c>
      <c r="D861" s="48">
        <f>SUMIF('P14-PaymentAging'!$C$5:$C$44,$A861,'P14-PaymentAging'!$G$5:$G$44)</f>
        <v>2280472</v>
      </c>
      <c r="E861" s="48">
        <f>SUMIF('P14-PaymentAging'!$C$5:$C$44,$A861,'P14-PaymentAging'!$I$5:$I$44)</f>
        <v>603256</v>
      </c>
      <c r="F861" s="48">
        <f t="shared" si="37"/>
        <v>2280472</v>
      </c>
      <c r="N861" s="63" t="str">
        <f>'P14-PaymentAging'!$A$17</f>
        <v>INV-712</v>
      </c>
      <c r="O861" s="63" t="str">
        <f>'P14-PaymentAging'!$C$17</f>
        <v>Ascendas REIT</v>
      </c>
      <c r="P861" s="63" t="str">
        <f>'P14-PaymentAging'!$B$17</f>
        <v>WT-DC-MUM-01</v>
      </c>
      <c r="Q861" s="63">
        <f>IF('P14-PaymentAging'!$H$17="",$B$867-DATEVALUE('P14-PaymentAging'!$E$17),DATEVALUE('P14-PaymentAging'!$H$17)-DATEVALUE('P14-PaymentAging'!$E$17))</f>
        <v>50</v>
      </c>
      <c r="R861" s="63">
        <f>'P14-PaymentAging'!$I$17</f>
        <v>0</v>
      </c>
      <c r="S861" s="63">
        <f t="shared" si="35"/>
        <v>0</v>
      </c>
      <c r="T861" s="63">
        <f t="shared" si="36"/>
        <v>0</v>
      </c>
      <c r="U861" s="63">
        <f>IF('P14-PaymentAging'!$H$17="","",DATEVALUE('P14-PaymentAging'!$H$17)-DATEVALUE('P14-PaymentAging'!$D$17))</f>
        <v>80</v>
      </c>
      <c r="V861" s="63">
        <f>IF('P14-PaymentAging'!$H$17="",0,IF(DATEVALUE('P14-PaymentAging'!$H$17)&gt;DATEVALUE('P14-PaymentAging'!$E$17),'P14-PaymentAging'!$G$17,0))</f>
        <v>1693066</v>
      </c>
    </row>
    <row r="862" spans="1:22">
      <c r="A862" t="s">
        <v>1120</v>
      </c>
      <c r="B862">
        <f>COUNTIF('P14-PaymentAging'!$C$5:$C$44,$A862)</f>
        <v>2</v>
      </c>
      <c r="C862" s="48">
        <f>SUMIF('P14-PaymentAging'!$C$5:$C$44,$A862,'P14-PaymentAging'!$F$5:$F$44)</f>
        <v>1867607</v>
      </c>
      <c r="D862" s="48">
        <f>SUMIF('P14-PaymentAging'!$C$5:$C$44,$A862,'P14-PaymentAging'!$G$5:$G$44)</f>
        <v>1180273</v>
      </c>
      <c r="E862" s="48">
        <f>SUMIF('P14-PaymentAging'!$C$5:$C$44,$A862,'P14-PaymentAging'!$I$5:$I$44)</f>
        <v>687334</v>
      </c>
      <c r="F862" s="48">
        <f t="shared" si="37"/>
        <v>1180273</v>
      </c>
      <c r="N862" s="63" t="str">
        <f>'P14-PaymentAging'!$A$18</f>
        <v>INV-713</v>
      </c>
      <c r="O862" s="63" t="str">
        <f>'P14-PaymentAging'!$C$18</f>
        <v>Brookfield</v>
      </c>
      <c r="P862" s="63" t="str">
        <f>'P14-PaymentAging'!$B$18</f>
        <v>WT-RES-MEL-05</v>
      </c>
      <c r="Q862" s="63">
        <f>IF('P14-PaymentAging'!$H$18="",$B$867-DATEVALUE('P14-PaymentAging'!$E$18),DATEVALUE('P14-PaymentAging'!$H$18)-DATEVALUE('P14-PaymentAging'!$E$18))</f>
        <v>288</v>
      </c>
      <c r="R862" s="63">
        <f>'P14-PaymentAging'!$I$18</f>
        <v>1666478</v>
      </c>
      <c r="S862" s="63">
        <f t="shared" si="35"/>
        <v>1666478</v>
      </c>
      <c r="T862" s="63">
        <f t="shared" si="36"/>
        <v>239972.83199999997</v>
      </c>
      <c r="U862" s="63" t="str">
        <f>IF('P14-PaymentAging'!$H$18="","",DATEVALUE('P14-PaymentAging'!$H$18)-DATEVALUE('P14-PaymentAging'!$D$18))</f>
        <v/>
      </c>
      <c r="V862" s="63">
        <f>IF('P14-PaymentAging'!$H$18="",0,IF(DATEVALUE('P14-PaymentAging'!$H$18)&gt;DATEVALUE('P14-PaymentAging'!$E$18),'P14-PaymentAging'!$G$18,0))</f>
        <v>0</v>
      </c>
    </row>
    <row r="863" spans="1:22">
      <c r="A863" s="36" t="s">
        <v>1307</v>
      </c>
      <c r="B863" s="36">
        <f>SUM(B853:B862)</f>
        <v>40</v>
      </c>
      <c r="C863" s="49">
        <f>SUM(C853:C862)</f>
        <v>41713158</v>
      </c>
      <c r="D863" s="49">
        <f>SUM(D853:D862)</f>
        <v>29856300</v>
      </c>
      <c r="E863" s="49">
        <f>SUM(E853:E862)</f>
        <v>11856858</v>
      </c>
      <c r="F863" s="49">
        <f>SUM(F853:F862)</f>
        <v>27099572</v>
      </c>
      <c r="N863" s="63" t="str">
        <f>'P14-PaymentAging'!$A$19</f>
        <v>INV-714</v>
      </c>
      <c r="O863" s="63" t="str">
        <f>'P14-PaymentAging'!$C$19</f>
        <v>Brookfield</v>
      </c>
      <c r="P863" s="63" t="str">
        <f>'P14-PaymentAging'!$B$19</f>
        <v>WT-OFF-SYD-02</v>
      </c>
      <c r="Q863" s="63">
        <f>IF('P14-PaymentAging'!$H$19="",$B$867-DATEVALUE('P14-PaymentAging'!$E$19),DATEVALUE('P14-PaymentAging'!$H$19)-DATEVALUE('P14-PaymentAging'!$E$19))</f>
        <v>33</v>
      </c>
      <c r="R863" s="63">
        <f>'P14-PaymentAging'!$I$19</f>
        <v>0</v>
      </c>
      <c r="S863" s="63">
        <f t="shared" si="35"/>
        <v>0</v>
      </c>
      <c r="T863" s="63">
        <f t="shared" si="36"/>
        <v>0</v>
      </c>
      <c r="U863" s="63">
        <f>IF('P14-PaymentAging'!$H$19="","",DATEVALUE('P14-PaymentAging'!$H$19)-DATEVALUE('P14-PaymentAging'!$D$19))</f>
        <v>63</v>
      </c>
      <c r="V863" s="63">
        <f>IF('P14-PaymentAging'!$H$19="",0,IF(DATEVALUE('P14-PaymentAging'!$H$19)&gt;DATEVALUE('P14-PaymentAging'!$E$19),'P14-PaymentAging'!$G$19,0))</f>
        <v>241682</v>
      </c>
    </row>
    <row r="864" spans="1:22">
      <c r="A864" s="44" t="str">
        <f>"ANSWER: "&amp;INDEX($A$853:$A$862,MATCH(MAX($F$853:$F$862),$F$853:$F$862,0))&amp;" has the largest value paid after the due date — "&amp;TEXT(MAX($F$853:$F$862),"""$""#,##0")&amp;". On money still unpaid, the biggest exposure is "&amp;INDEX($A$853:$A$862,MATCH(MAX($E$853:$E$862),$E$853:$E$862,0))&amp;" at "&amp;TEXT(MAX($E$853:$E$862),"""$""#,##0")&amp;" outstanding."</f>
        <v>ANSWER: Ascendas REIT has the largest value paid after the due date — $46,22,054. On money still unpaid, the biggest exposure is Brookfield at $41,35,698 outstanding.</v>
      </c>
      <c r="N864" s="63" t="str">
        <f>'P14-PaymentAging'!$A$20</f>
        <v>INV-715</v>
      </c>
      <c r="O864" s="63" t="str">
        <f>'P14-PaymentAging'!$C$20</f>
        <v>Ascendas REIT</v>
      </c>
      <c r="P864" s="63" t="str">
        <f>'P14-PaymentAging'!$B$20</f>
        <v>WT-DC-MUM-01</v>
      </c>
      <c r="Q864" s="63">
        <f>IF('P14-PaymentAging'!$H$20="",$B$867-DATEVALUE('P14-PaymentAging'!$E$20),DATEVALUE('P14-PaymentAging'!$H$20)-DATEVALUE('P14-PaymentAging'!$E$20))</f>
        <v>58</v>
      </c>
      <c r="R864" s="63">
        <f>'P14-PaymentAging'!$I$20</f>
        <v>700886</v>
      </c>
      <c r="S864" s="63">
        <f t="shared" si="35"/>
        <v>700886</v>
      </c>
      <c r="T864" s="63">
        <f t="shared" si="36"/>
        <v>20325.694</v>
      </c>
      <c r="U864" s="63">
        <f>IF('P14-PaymentAging'!$H$20="","",DATEVALUE('P14-PaymentAging'!$H$20)-DATEVALUE('P14-PaymentAging'!$D$20))</f>
        <v>88</v>
      </c>
      <c r="V864" s="63">
        <f>IF('P14-PaymentAging'!$H$20="",0,IF(DATEVALUE('P14-PaymentAging'!$H$20)&gt;DATEVALUE('P14-PaymentAging'!$E$20),'P14-PaymentAging'!$G$20,0))</f>
        <v>700885</v>
      </c>
    </row>
    <row r="865" spans="1:22">
      <c r="N865" s="63" t="str">
        <f>'P14-PaymentAging'!$A$21</f>
        <v>INV-716</v>
      </c>
      <c r="O865" s="63" t="str">
        <f>'P14-PaymentAging'!$C$21</f>
        <v>Brookfield</v>
      </c>
      <c r="P865" s="63" t="str">
        <f>'P14-PaymentAging'!$B$21</f>
        <v>WT-DC-MUM-01</v>
      </c>
      <c r="Q865" s="63">
        <f>IF('P14-PaymentAging'!$H$21="",$B$867-DATEVALUE('P14-PaymentAging'!$E$21),DATEVALUE('P14-PaymentAging'!$H$21)-DATEVALUE('P14-PaymentAging'!$E$21))</f>
        <v>34</v>
      </c>
      <c r="R865" s="63">
        <f>'P14-PaymentAging'!$I$21</f>
        <v>134489</v>
      </c>
      <c r="S865" s="63">
        <f t="shared" si="35"/>
        <v>134489</v>
      </c>
      <c r="T865" s="63">
        <f t="shared" si="36"/>
        <v>2286.3130000000001</v>
      </c>
      <c r="U865" s="63">
        <f>IF('P14-PaymentAging'!$H$21="","",DATEVALUE('P14-PaymentAging'!$H$21)-DATEVALUE('P14-PaymentAging'!$D$21))</f>
        <v>64</v>
      </c>
      <c r="V865" s="63">
        <f>IF('P14-PaymentAging'!$H$21="",0,IF(DATEVALUE('P14-PaymentAging'!$H$21)&gt;DATEVALUE('P14-PaymentAging'!$E$21),'P14-PaymentAging'!$G$21,0))</f>
        <v>403465</v>
      </c>
    </row>
    <row r="866" spans="1:22">
      <c r="A866" s="42" t="s">
        <v>1714</v>
      </c>
      <c r="N866" s="63" t="str">
        <f>'P14-PaymentAging'!$A$22</f>
        <v>INV-717</v>
      </c>
      <c r="O866" s="63" t="str">
        <f>'P14-PaymentAging'!$C$22</f>
        <v>Tata Realty</v>
      </c>
      <c r="P866" s="63" t="str">
        <f>'P14-PaymentAging'!$B$22</f>
        <v>WT-ITP-BLR-04</v>
      </c>
      <c r="Q866" s="63">
        <f>IF('P14-PaymentAging'!$H$22="",$B$867-DATEVALUE('P14-PaymentAging'!$E$22),DATEVALUE('P14-PaymentAging'!$H$22)-DATEVALUE('P14-PaymentAging'!$E$22))</f>
        <v>35</v>
      </c>
      <c r="R866" s="63">
        <f>'P14-PaymentAging'!$I$22</f>
        <v>0</v>
      </c>
      <c r="S866" s="63">
        <f t="shared" si="35"/>
        <v>0</v>
      </c>
      <c r="T866" s="63">
        <f t="shared" si="36"/>
        <v>0</v>
      </c>
      <c r="U866" s="63">
        <f>IF('P14-PaymentAging'!$H$22="","",DATEVALUE('P14-PaymentAging'!$H$22)-DATEVALUE('P14-PaymentAging'!$D$22))</f>
        <v>65</v>
      </c>
      <c r="V866" s="63">
        <f>IF('P14-PaymentAging'!$H$22="",0,IF(DATEVALUE('P14-PaymentAging'!$H$22)&gt;DATEVALUE('P14-PaymentAging'!$E$22),'P14-PaymentAging'!$G$22,0))</f>
        <v>1495461</v>
      </c>
    </row>
    <row r="867" spans="1:22">
      <c r="A867" t="s">
        <v>1715</v>
      </c>
      <c r="B867" s="71">
        <f>DATE(2025,5,23)</f>
        <v>45800</v>
      </c>
      <c r="C867" s="48" t="s">
        <v>1716</v>
      </c>
      <c r="D867">
        <f>COUNTIF('P14-PaymentAging'!$I$5:$I$44,"&gt;0")</f>
        <v>19</v>
      </c>
      <c r="E867" t="s">
        <v>1708</v>
      </c>
      <c r="F867" s="48">
        <f>SUM('P14-PaymentAging'!$I$5:$I$44)</f>
        <v>11856858</v>
      </c>
      <c r="N867" s="63" t="str">
        <f>'P14-PaymentAging'!$A$23</f>
        <v>INV-718</v>
      </c>
      <c r="O867" s="63" t="str">
        <f>'P14-PaymentAging'!$C$23</f>
        <v>Goodman Group</v>
      </c>
      <c r="P867" s="63" t="str">
        <f>'P14-PaymentAging'!$B$23</f>
        <v>WT-OFF-SYD-02</v>
      </c>
      <c r="Q867" s="63">
        <f>IF('P14-PaymentAging'!$H$23="",$B$867-DATEVALUE('P14-PaymentAging'!$E$23),DATEVALUE('P14-PaymentAging'!$H$23)-DATEVALUE('P14-PaymentAging'!$E$23))</f>
        <v>46</v>
      </c>
      <c r="R867" s="63">
        <f>'P14-PaymentAging'!$I$23</f>
        <v>0</v>
      </c>
      <c r="S867" s="63">
        <f t="shared" si="35"/>
        <v>0</v>
      </c>
      <c r="T867" s="63">
        <f t="shared" si="36"/>
        <v>0</v>
      </c>
      <c r="U867" s="63">
        <f>IF('P14-PaymentAging'!$H$23="","",DATEVALUE('P14-PaymentAging'!$H$23)-DATEVALUE('P14-PaymentAging'!$D$23))</f>
        <v>76</v>
      </c>
      <c r="V867" s="63">
        <f>IF('P14-PaymentAging'!$H$23="",0,IF(DATEVALUE('P14-PaymentAging'!$H$23)&gt;DATEVALUE('P14-PaymentAging'!$E$23),'P14-PaymentAging'!$G$23,0))</f>
        <v>1067752</v>
      </c>
    </row>
    <row r="868" spans="1:22">
      <c r="A868" s="43" t="s">
        <v>1717</v>
      </c>
      <c r="B868" s="43" t="s">
        <v>1710</v>
      </c>
      <c r="C868" s="43" t="s">
        <v>1700</v>
      </c>
      <c r="D868" s="43" t="s">
        <v>1718</v>
      </c>
      <c r="E868" s="43" t="s">
        <v>1719</v>
      </c>
      <c r="N868" s="63" t="str">
        <f>'P14-PaymentAging'!$A$24</f>
        <v>INV-719</v>
      </c>
      <c r="O868" s="63" t="str">
        <f>'P14-PaymentAging'!$C$24</f>
        <v>Goodman Group</v>
      </c>
      <c r="P868" s="63" t="str">
        <f>'P14-PaymentAging'!$B$24</f>
        <v>WT-RES-MEL-05</v>
      </c>
      <c r="Q868" s="63">
        <f>IF('P14-PaymentAging'!$H$24="",$B$867-DATEVALUE('P14-PaymentAging'!$E$24),DATEVALUE('P14-PaymentAging'!$H$24)-DATEVALUE('P14-PaymentAging'!$E$24))</f>
        <v>14</v>
      </c>
      <c r="R868" s="63">
        <f>'P14-PaymentAging'!$I$24</f>
        <v>0</v>
      </c>
      <c r="S868" s="63">
        <f t="shared" si="35"/>
        <v>0</v>
      </c>
      <c r="T868" s="63">
        <f t="shared" si="36"/>
        <v>0</v>
      </c>
      <c r="U868" s="63">
        <f>IF('P14-PaymentAging'!$H$24="","",DATEVALUE('P14-PaymentAging'!$H$24)-DATEVALUE('P14-PaymentAging'!$D$24))</f>
        <v>44</v>
      </c>
      <c r="V868" s="63">
        <f>IF('P14-PaymentAging'!$H$24="",0,IF(DATEVALUE('P14-PaymentAging'!$H$24)&gt;DATEVALUE('P14-PaymentAging'!$E$24),'P14-PaymentAging'!$G$24,0))</f>
        <v>1511794</v>
      </c>
    </row>
    <row r="869" spans="1:22">
      <c r="A869" t="s">
        <v>1720</v>
      </c>
      <c r="B869">
        <f>COUNTIFS($R$849:$R$888,"&gt;0",$Q$849:$Q$888,"&gt;"&amp;0,$Q$849:$Q$888,"&lt;="&amp;30)</f>
        <v>3</v>
      </c>
      <c r="C869" s="48">
        <f>SUMIFS($R$849:$R$888,$R$849:$R$888,"&gt;0",$Q$849:$Q$888,"&gt;"&amp;0,$Q$849:$Q$888,"&lt;="&amp;30)</f>
        <v>998469</v>
      </c>
      <c r="D869" s="39">
        <f>IFERROR(C869/$C$873,0)</f>
        <v>9.1592955058431888E-2</v>
      </c>
      <c r="E869" s="60">
        <f>IFERROR(AVERAGEIFS($Q$849:$Q$888,$R$849:$R$888,"&gt;0",$Q$849:$Q$888,"&gt;"&amp;0,$Q$849:$Q$888,"&lt;="&amp;30),"-")</f>
        <v>16.333333333333332</v>
      </c>
      <c r="N869" s="63" t="str">
        <f>'P14-PaymentAging'!$A$25</f>
        <v>INV-720</v>
      </c>
      <c r="O869" s="63" t="str">
        <f>'P14-PaymentAging'!$C$25</f>
        <v>Brookfield</v>
      </c>
      <c r="P869" s="63" t="str">
        <f>'P14-PaymentAging'!$B$25</f>
        <v>WT-RES-MEL-05</v>
      </c>
      <c r="Q869" s="63">
        <f>IF('P14-PaymentAging'!$H$25="",$B$867-DATEVALUE('P14-PaymentAging'!$E$25),DATEVALUE('P14-PaymentAging'!$H$25)-DATEVALUE('P14-PaymentAging'!$E$25))</f>
        <v>49</v>
      </c>
      <c r="R869" s="63">
        <f>'P14-PaymentAging'!$I$25</f>
        <v>194777</v>
      </c>
      <c r="S869" s="63">
        <f t="shared" si="35"/>
        <v>194777</v>
      </c>
      <c r="T869" s="63">
        <f t="shared" si="36"/>
        <v>4772.0364999999993</v>
      </c>
      <c r="U869" s="63">
        <f>IF('P14-PaymentAging'!$H$25="","",DATEVALUE('P14-PaymentAging'!$H$25)-DATEVALUE('P14-PaymentAging'!$D$25))</f>
        <v>79</v>
      </c>
      <c r="V869" s="63">
        <f>IF('P14-PaymentAging'!$H$25="",0,IF(DATEVALUE('P14-PaymentAging'!$H$25)&gt;DATEVALUE('P14-PaymentAging'!$E$25),'P14-PaymentAging'!$G$25,0))</f>
        <v>584328</v>
      </c>
    </row>
    <row r="870" spans="1:22">
      <c r="A870" t="s">
        <v>1721</v>
      </c>
      <c r="B870">
        <f>COUNTIFS($R$849:$R$888,"&gt;0",$Q$849:$Q$888,"&gt;"&amp;30,$Q$849:$Q$888,"&lt;="&amp;60)</f>
        <v>7</v>
      </c>
      <c r="C870" s="48">
        <f>SUMIFS($R$849:$R$888,$R$849:$R$888,"&gt;0",$Q$849:$Q$888,"&gt;"&amp;30,$Q$849:$Q$888,"&lt;="&amp;60)</f>
        <v>3071180</v>
      </c>
      <c r="D870" s="39">
        <f>IFERROR(C870/$C$873,0)</f>
        <v>0.28172978000954946</v>
      </c>
      <c r="E870" s="60">
        <f>IFERROR(AVERAGEIFS($Q$849:$Q$888,$R$849:$R$888,"&gt;0",$Q$849:$Q$888,"&gt;"&amp;30,$Q$849:$Q$888,"&lt;="&amp;60),"-")</f>
        <v>52.571428571428569</v>
      </c>
      <c r="N870" s="63" t="str">
        <f>'P14-PaymentAging'!$A$26</f>
        <v>INV-721</v>
      </c>
      <c r="O870" s="63" t="str">
        <f>'P14-PaymentAging'!$C$26</f>
        <v>Embassy Group</v>
      </c>
      <c r="P870" s="63" t="str">
        <f>'P14-PaymentAging'!$B$26</f>
        <v>WT-HOS-AKL-03</v>
      </c>
      <c r="Q870" s="63">
        <f>IF('P14-PaymentAging'!$H$26="",$B$867-DATEVALUE('P14-PaymentAging'!$E$26),DATEVALUE('P14-PaymentAging'!$H$26)-DATEVALUE('P14-PaymentAging'!$E$26))</f>
        <v>-2</v>
      </c>
      <c r="R870" s="63">
        <f>'P14-PaymentAging'!$I$26</f>
        <v>606457</v>
      </c>
      <c r="S870" s="63">
        <f t="shared" si="35"/>
        <v>0</v>
      </c>
      <c r="T870" s="63">
        <f t="shared" si="36"/>
        <v>0</v>
      </c>
      <c r="U870" s="63">
        <f>IF('P14-PaymentAging'!$H$26="","",DATEVALUE('P14-PaymentAging'!$H$26)-DATEVALUE('P14-PaymentAging'!$D$26))</f>
        <v>28</v>
      </c>
      <c r="V870" s="63">
        <f>IF('P14-PaymentAging'!$H$26="",0,IF(DATEVALUE('P14-PaymentAging'!$H$26)&gt;DATEVALUE('P14-PaymentAging'!$E$26),'P14-PaymentAging'!$G$26,0))</f>
        <v>0</v>
      </c>
    </row>
    <row r="871" spans="1:22">
      <c r="A871" t="s">
        <v>1722</v>
      </c>
      <c r="B871">
        <f>COUNTIFS($R$849:$R$888,"&gt;0",$Q$849:$Q$888,"&gt;"&amp;60,$Q$849:$Q$888,"&lt;="&amp;90)</f>
        <v>0</v>
      </c>
      <c r="C871" s="48">
        <f>SUMIFS($R$849:$R$888,$R$849:$R$888,"&gt;0",$Q$849:$Q$888,"&gt;"&amp;60,$Q$849:$Q$888,"&lt;="&amp;90)</f>
        <v>0</v>
      </c>
      <c r="D871" s="39">
        <f>IFERROR(C871/$C$873,0)</f>
        <v>0</v>
      </c>
      <c r="E871" s="60" t="str">
        <f>IFERROR(AVERAGEIFS($Q$849:$Q$888,$R$849:$R$888,"&gt;0",$Q$849:$Q$888,"&gt;"&amp;60,$Q$849:$Q$888,"&lt;="&amp;90),"-")</f>
        <v>-</v>
      </c>
      <c r="N871" s="63" t="str">
        <f>'P14-PaymentAging'!$A$27</f>
        <v>INV-722</v>
      </c>
      <c r="O871" s="63" t="str">
        <f>'P14-PaymentAging'!$C$27</f>
        <v>Brookfield</v>
      </c>
      <c r="P871" s="63" t="str">
        <f>'P14-PaymentAging'!$B$27</f>
        <v>WT-RES-MEL-05</v>
      </c>
      <c r="Q871" s="63">
        <f>IF('P14-PaymentAging'!$H$27="",$B$867-DATEVALUE('P14-PaymentAging'!$E$27),DATEVALUE('P14-PaymentAging'!$H$27)-DATEVALUE('P14-PaymentAging'!$E$27))</f>
        <v>59</v>
      </c>
      <c r="R871" s="63">
        <f>'P14-PaymentAging'!$I$27</f>
        <v>167518</v>
      </c>
      <c r="S871" s="63">
        <f t="shared" si="35"/>
        <v>167518</v>
      </c>
      <c r="T871" s="63">
        <f t="shared" si="36"/>
        <v>4941.7809999999999</v>
      </c>
      <c r="U871" s="63">
        <f>IF('P14-PaymentAging'!$H$27="","",DATEVALUE('P14-PaymentAging'!$H$27)-DATEVALUE('P14-PaymentAging'!$D$27))</f>
        <v>89</v>
      </c>
      <c r="V871" s="63">
        <f>IF('P14-PaymentAging'!$H$27="",0,IF(DATEVALUE('P14-PaymentAging'!$H$27)&gt;DATEVALUE('P14-PaymentAging'!$E$27),'P14-PaymentAging'!$G$27,0))</f>
        <v>502552</v>
      </c>
    </row>
    <row r="872" spans="1:22">
      <c r="A872" t="s">
        <v>1723</v>
      </c>
      <c r="B872">
        <f>COUNTIFS($R$849:$R$888,"&gt;0",$Q$849:$Q$888,"&gt;"&amp;90,$Q$849:$Q$888,"&lt;="&amp;99999)</f>
        <v>6</v>
      </c>
      <c r="C872" s="48">
        <f>SUMIFS($R$849:$R$888,$R$849:$R$888,"&gt;0",$Q$849:$Q$888,"&gt;"&amp;90,$Q$849:$Q$888,"&lt;="&amp;99999)</f>
        <v>6831506</v>
      </c>
      <c r="D872" s="39">
        <f>IFERROR(C872/$C$873,0)</f>
        <v>0.6266772649320187</v>
      </c>
      <c r="E872" s="60">
        <f>IFERROR(AVERAGEIFS($Q$849:$Q$888,$R$849:$R$888,"&gt;0",$Q$849:$Q$888,"&gt;"&amp;90,$Q$849:$Q$888,"&lt;="&amp;99999),"-")</f>
        <v>186.83333333333334</v>
      </c>
      <c r="N872" s="63" t="str">
        <f>'P14-PaymentAging'!$A$28</f>
        <v>INV-723</v>
      </c>
      <c r="O872" s="63" t="str">
        <f>'P14-PaymentAging'!$C$28</f>
        <v>Mirvac</v>
      </c>
      <c r="P872" s="63" t="str">
        <f>'P14-PaymentAging'!$B$28</f>
        <v>WT-HOS-AKL-03</v>
      </c>
      <c r="Q872" s="63">
        <f>IF('P14-PaymentAging'!$H$28="",$B$867-DATEVALUE('P14-PaymentAging'!$E$28),DATEVALUE('P14-PaymentAging'!$H$28)-DATEVALUE('P14-PaymentAging'!$E$28))</f>
        <v>54</v>
      </c>
      <c r="R872" s="63">
        <f>'P14-PaymentAging'!$I$28</f>
        <v>0</v>
      </c>
      <c r="S872" s="63">
        <f t="shared" si="35"/>
        <v>0</v>
      </c>
      <c r="T872" s="63">
        <f t="shared" si="36"/>
        <v>0</v>
      </c>
      <c r="U872" s="63">
        <f>IF('P14-PaymentAging'!$H$28="","",DATEVALUE('P14-PaymentAging'!$H$28)-DATEVALUE('P14-PaymentAging'!$D$28))</f>
        <v>84</v>
      </c>
      <c r="V872" s="63">
        <f>IF('P14-PaymentAging'!$H$28="",0,IF(DATEVALUE('P14-PaymentAging'!$H$28)&gt;DATEVALUE('P14-PaymentAging'!$E$28),'P14-PaymentAging'!$G$28,0))</f>
        <v>1677217</v>
      </c>
    </row>
    <row r="873" spans="1:22">
      <c r="A873" s="36" t="s">
        <v>1738</v>
      </c>
      <c r="B873" s="36">
        <f>SUM(B869:B872)</f>
        <v>16</v>
      </c>
      <c r="C873" s="49">
        <f>SUM(C869:C872)</f>
        <v>10901155</v>
      </c>
      <c r="D873" s="45">
        <f>SUM(D869:D872)</f>
        <v>1</v>
      </c>
      <c r="E873" s="61">
        <f>IFERROR(AVERAGEIFS($Q$849:$Q$888,$R$849:$R$888,"&gt;0"),"-")</f>
        <v>80.21052631578948</v>
      </c>
      <c r="F873" s="36"/>
      <c r="N873" s="63" t="str">
        <f>'P14-PaymentAging'!$A$29</f>
        <v>INV-724</v>
      </c>
      <c r="O873" s="63" t="str">
        <f>'P14-PaymentAging'!$C$29</f>
        <v>Brookfield</v>
      </c>
      <c r="P873" s="63" t="str">
        <f>'P14-PaymentAging'!$B$29</f>
        <v>WT-ITP-BLR-04</v>
      </c>
      <c r="Q873" s="63">
        <f>IF('P14-PaymentAging'!$H$29="",$B$867-DATEVALUE('P14-PaymentAging'!$E$29),DATEVALUE('P14-PaymentAging'!$H$29)-DATEVALUE('P14-PaymentAging'!$E$29))</f>
        <v>20</v>
      </c>
      <c r="R873" s="63">
        <f>'P14-PaymentAging'!$I$29</f>
        <v>337420</v>
      </c>
      <c r="S873" s="63">
        <f t="shared" si="35"/>
        <v>337420</v>
      </c>
      <c r="T873" s="63">
        <f t="shared" si="36"/>
        <v>3374.2</v>
      </c>
      <c r="U873" s="63">
        <f>IF('P14-PaymentAging'!$H$29="","",DATEVALUE('P14-PaymentAging'!$H$29)-DATEVALUE('P14-PaymentAging'!$D$29))</f>
        <v>50</v>
      </c>
      <c r="V873" s="63">
        <f>IF('P14-PaymentAging'!$H$29="",0,IF(DATEVALUE('P14-PaymentAging'!$H$29)&gt;DATEVALUE('P14-PaymentAging'!$E$29),'P14-PaymentAging'!$G$29,0))</f>
        <v>1012257</v>
      </c>
    </row>
    <row r="874" spans="1:22">
      <c r="A874" s="44" t="str">
        <f>"ANSWER: Of "&amp;TEXT($F$848,"""$""#,##0")&amp;" outstanding, "&amp;TEXT($C$873,"""$""#,##0")&amp;" is past due and splits as: "&amp;TEXT($C$869,"""$""#,##0")&amp;" ("&amp;TEXT($D$869,"0.0%")&amp;") 0–30 days, "&amp;TEXT($C$870,"""$""#,##0")&amp;" ("&amp;TEXT($D$870,"0.0%")&amp;") 31–60 days, "&amp;TEXT($C$871,"""$""#,##0")&amp;" ("&amp;TEXT($D$871,"0.0%")&amp;") 61–90 days and "&amp;TEXT($C$872,"""$""#,##0")&amp;" ("&amp;TEXT($D$872,"0.0%")&amp;") 90+ days. The remaining "&amp;TEXT($F$848-$C$873,"""$""#,##0")&amp;" is not yet due. Average age of past-due debt: "&amp;TEXT($E$873,"0")&amp;" days."</f>
        <v>ANSWER: Of $1,18,56,858 outstanding, $1,09,01,155 is past due and splits as: $9,98,469 (9.2%) 0–30 days, $30,71,180 (28.2%) 31–60 days, $0 (0.0%) 61–90 days and $68,31,506 (62.7%) 90+ days. The remaining $9,55,703 is not yet due. Average age of past-due debt: 80 days.</v>
      </c>
      <c r="N874" s="63" t="str">
        <f>'P14-PaymentAging'!$A$30</f>
        <v>INV-725</v>
      </c>
      <c r="O874" s="63" t="str">
        <f>'P14-PaymentAging'!$C$30</f>
        <v>Lendlease</v>
      </c>
      <c r="P874" s="63" t="str">
        <f>'P14-PaymentAging'!$B$30</f>
        <v>WT-HOS-AKL-03</v>
      </c>
      <c r="Q874" s="63">
        <f>IF('P14-PaymentAging'!$H$30="",$B$867-DATEVALUE('P14-PaymentAging'!$E$30),DATEVALUE('P14-PaymentAging'!$H$30)-DATEVALUE('P14-PaymentAging'!$E$30))</f>
        <v>14</v>
      </c>
      <c r="R874" s="63">
        <f>'P14-PaymentAging'!$I$30</f>
        <v>0</v>
      </c>
      <c r="S874" s="63">
        <f t="shared" si="35"/>
        <v>0</v>
      </c>
      <c r="T874" s="63">
        <f t="shared" si="36"/>
        <v>0</v>
      </c>
      <c r="U874" s="63">
        <f>IF('P14-PaymentAging'!$H$30="","",DATEVALUE('P14-PaymentAging'!$H$30)-DATEVALUE('P14-PaymentAging'!$D$30))</f>
        <v>44</v>
      </c>
      <c r="V874" s="63">
        <f>IF('P14-PaymentAging'!$H$30="",0,IF(DATEVALUE('P14-PaymentAging'!$H$30)&gt;DATEVALUE('P14-PaymentAging'!$E$30),'P14-PaymentAging'!$G$30,0))</f>
        <v>1180273</v>
      </c>
    </row>
    <row r="875" spans="1:22">
      <c r="N875" s="63" t="str">
        <f>'P14-PaymentAging'!$A$31</f>
        <v>INV-726</v>
      </c>
      <c r="O875" s="63" t="str">
        <f>'P14-PaymentAging'!$C$31</f>
        <v>Mirvac</v>
      </c>
      <c r="P875" s="63" t="str">
        <f>'P14-PaymentAging'!$B$31</f>
        <v>WT-RES-MEL-05</v>
      </c>
      <c r="Q875" s="63">
        <f>IF('P14-PaymentAging'!$H$31="",$B$867-DATEVALUE('P14-PaymentAging'!$E$31),DATEVALUE('P14-PaymentAging'!$H$31)-DATEVALUE('P14-PaymentAging'!$E$31))</f>
        <v>26</v>
      </c>
      <c r="R875" s="63">
        <f>'P14-PaymentAging'!$I$31</f>
        <v>603256</v>
      </c>
      <c r="S875" s="63">
        <f t="shared" si="35"/>
        <v>603256</v>
      </c>
      <c r="T875" s="63">
        <f t="shared" si="36"/>
        <v>7842.3280000000004</v>
      </c>
      <c r="U875" s="63">
        <f>IF('P14-PaymentAging'!$H$31="","",DATEVALUE('P14-PaymentAging'!$H$31)-DATEVALUE('P14-PaymentAging'!$D$31))</f>
        <v>56</v>
      </c>
      <c r="V875" s="63">
        <f>IF('P14-PaymentAging'!$H$31="",0,IF(DATEVALUE('P14-PaymentAging'!$H$31)&gt;DATEVALUE('P14-PaymentAging'!$E$31),'P14-PaymentAging'!$G$31,0))</f>
        <v>603255</v>
      </c>
    </row>
    <row r="876" spans="1:22">
      <c r="A876" s="42" t="s">
        <v>1724</v>
      </c>
      <c r="N876" s="63" t="str">
        <f>'P14-PaymentAging'!$A$32</f>
        <v>INV-727</v>
      </c>
      <c r="O876" s="63" t="str">
        <f>'P14-PaymentAging'!$C$32</f>
        <v>GPT Group</v>
      </c>
      <c r="P876" s="63" t="str">
        <f>'P14-PaymentAging'!$B$32</f>
        <v>WT-HOS-AKL-03</v>
      </c>
      <c r="Q876" s="63">
        <f>IF('P14-PaymentAging'!$H$32="",$B$867-DATEVALUE('P14-PaymentAging'!$E$32),DATEVALUE('P14-PaymentAging'!$H$32)-DATEVALUE('P14-PaymentAging'!$E$32))</f>
        <v>150</v>
      </c>
      <c r="R876" s="63">
        <f>'P14-PaymentAging'!$I$32</f>
        <v>725333</v>
      </c>
      <c r="S876" s="63">
        <f t="shared" si="35"/>
        <v>725333</v>
      </c>
      <c r="T876" s="63">
        <f t="shared" si="36"/>
        <v>54399.974999999991</v>
      </c>
      <c r="U876" s="63" t="str">
        <f>IF('P14-PaymentAging'!$H$32="","",DATEVALUE('P14-PaymentAging'!$H$32)-DATEVALUE('P14-PaymentAging'!$D$32))</f>
        <v/>
      </c>
      <c r="V876" s="63">
        <f>IF('P14-PaymentAging'!$H$32="",0,IF(DATEVALUE('P14-PaymentAging'!$H$32)&gt;DATEVALUE('P14-PaymentAging'!$E$32),'P14-PaymentAging'!$G$32,0))</f>
        <v>0</v>
      </c>
    </row>
    <row r="877" spans="1:22">
      <c r="A877" s="43" t="s">
        <v>512</v>
      </c>
      <c r="B877" s="43" t="s">
        <v>1725</v>
      </c>
      <c r="C877" s="43" t="s">
        <v>1726</v>
      </c>
      <c r="D877" s="43" t="s">
        <v>1727</v>
      </c>
      <c r="E877" s="43" t="s">
        <v>1728</v>
      </c>
      <c r="F877" s="43" t="s">
        <v>1729</v>
      </c>
      <c r="N877" s="63" t="str">
        <f>'P14-PaymentAging'!$A$33</f>
        <v>INV-728</v>
      </c>
      <c r="O877" s="63" t="str">
        <f>'P14-PaymentAging'!$C$33</f>
        <v>Dexus</v>
      </c>
      <c r="P877" s="63" t="str">
        <f>'P14-PaymentAging'!$B$33</f>
        <v>WT-DC-MUM-01</v>
      </c>
      <c r="Q877" s="63">
        <f>IF('P14-PaymentAging'!$H$33="",$B$867-DATEVALUE('P14-PaymentAging'!$E$33),DATEVALUE('P14-PaymentAging'!$H$33)-DATEVALUE('P14-PaymentAging'!$E$33))</f>
        <v>141</v>
      </c>
      <c r="R877" s="63">
        <f>'P14-PaymentAging'!$I$33</f>
        <v>189837</v>
      </c>
      <c r="S877" s="63">
        <f t="shared" si="35"/>
        <v>189837</v>
      </c>
      <c r="T877" s="63">
        <f t="shared" si="36"/>
        <v>13383.5085</v>
      </c>
      <c r="U877" s="63" t="str">
        <f>IF('P14-PaymentAging'!$H$33="","",DATEVALUE('P14-PaymentAging'!$H$33)-DATEVALUE('P14-PaymentAging'!$D$33))</f>
        <v/>
      </c>
      <c r="V877" s="63">
        <f>IF('P14-PaymentAging'!$H$33="",0,IF(DATEVALUE('P14-PaymentAging'!$H$33)&gt;DATEVALUE('P14-PaymentAging'!$E$33),'P14-PaymentAging'!$G$33,0))</f>
        <v>0</v>
      </c>
    </row>
    <row r="878" spans="1:22">
      <c r="A878" t="s">
        <v>1059</v>
      </c>
      <c r="B878">
        <f t="shared" ref="B878:B887" si="38">COUNTIFS($O$849:$O$888,$A878,$U$849:$U$888,"&gt;0")</f>
        <v>3</v>
      </c>
      <c r="C878" s="60">
        <f t="shared" ref="C878:C887" si="39">IFERROR(AVERAGEIFS($U$849:$U$888,$O$849:$O$888,$A878,$U$849:$U$888,"&gt;0"),"-")</f>
        <v>53.666666666666664</v>
      </c>
      <c r="D878" s="60">
        <f t="shared" ref="D878:D887" si="40">IFERROR(_xlfn.MAXIFS($U$849:$U$888,$O$849:$O$888,$A878),"-")</f>
        <v>67</v>
      </c>
      <c r="E878" s="60">
        <f t="shared" ref="E878:E887" si="41">IFERROR(AVERAGEIFS($Q$849:$Q$888,$O$849:$O$888,$A878),"-")</f>
        <v>55.25</v>
      </c>
      <c r="F878">
        <f t="shared" ref="F878:F887" si="42">COUNTIF($O$849:$O$888,$A878)-B878</f>
        <v>1</v>
      </c>
      <c r="N878" s="63" t="str">
        <f>'P14-PaymentAging'!$A$34</f>
        <v>INV-729</v>
      </c>
      <c r="O878" s="63" t="str">
        <f>'P14-PaymentAging'!$C$34</f>
        <v>Brookfield</v>
      </c>
      <c r="P878" s="63" t="str">
        <f>'P14-PaymentAging'!$B$34</f>
        <v>WT-OFF-SYD-02</v>
      </c>
      <c r="Q878" s="63">
        <f>IF('P14-PaymentAging'!$H$34="",$B$867-DATEVALUE('P14-PaymentAging'!$E$34),DATEVALUE('P14-PaymentAging'!$H$34)-DATEVALUE('P14-PaymentAging'!$E$34))</f>
        <v>3</v>
      </c>
      <c r="R878" s="63">
        <f>'P14-PaymentAging'!$I$34</f>
        <v>57793</v>
      </c>
      <c r="S878" s="63">
        <f t="shared" si="35"/>
        <v>57793</v>
      </c>
      <c r="T878" s="63">
        <f t="shared" si="36"/>
        <v>86.68950000000001</v>
      </c>
      <c r="U878" s="63">
        <f>IF('P14-PaymentAging'!$H$34="","",DATEVALUE('P14-PaymentAging'!$H$34)-DATEVALUE('P14-PaymentAging'!$D$34))</f>
        <v>33</v>
      </c>
      <c r="V878" s="63">
        <f>IF('P14-PaymentAging'!$H$34="",0,IF(DATEVALUE('P14-PaymentAging'!$H$34)&gt;DATEVALUE('P14-PaymentAging'!$E$34),'P14-PaymentAging'!$G$34,0))</f>
        <v>57792</v>
      </c>
    </row>
    <row r="879" spans="1:22">
      <c r="A879" t="s">
        <v>1062</v>
      </c>
      <c r="B879">
        <f t="shared" si="38"/>
        <v>5</v>
      </c>
      <c r="C879" s="60">
        <f t="shared" si="39"/>
        <v>71</v>
      </c>
      <c r="D879" s="60">
        <f t="shared" si="40"/>
        <v>88</v>
      </c>
      <c r="E879" s="60">
        <f t="shared" si="41"/>
        <v>41</v>
      </c>
      <c r="F879">
        <f t="shared" si="42"/>
        <v>0</v>
      </c>
      <c r="N879" s="63" t="str">
        <f>'P14-PaymentAging'!$A$35</f>
        <v>INV-730</v>
      </c>
      <c r="O879" s="63" t="str">
        <f>'P14-PaymentAging'!$C$35</f>
        <v>Tata Realty</v>
      </c>
      <c r="P879" s="63" t="str">
        <f>'P14-PaymentAging'!$B$35</f>
        <v>WT-ITP-BLR-04</v>
      </c>
      <c r="Q879" s="63">
        <f>IF('P14-PaymentAging'!$H$35="",$B$867-DATEVALUE('P14-PaymentAging'!$E$35),DATEVALUE('P14-PaymentAging'!$H$35)-DATEVALUE('P14-PaymentAging'!$E$35))</f>
        <v>39</v>
      </c>
      <c r="R879" s="63">
        <f>'P14-PaymentAging'!$I$35</f>
        <v>0</v>
      </c>
      <c r="S879" s="63">
        <f t="shared" si="35"/>
        <v>0</v>
      </c>
      <c r="T879" s="63">
        <f t="shared" si="36"/>
        <v>0</v>
      </c>
      <c r="U879" s="63">
        <f>IF('P14-PaymentAging'!$H$35="","",DATEVALUE('P14-PaymentAging'!$H$35)-DATEVALUE('P14-PaymentAging'!$D$35))</f>
        <v>69</v>
      </c>
      <c r="V879" s="63">
        <f>IF('P14-PaymentAging'!$H$35="",0,IF(DATEVALUE('P14-PaymentAging'!$H$35)&gt;DATEVALUE('P14-PaymentAging'!$E$35),'P14-PaymentAging'!$G$35,0))</f>
        <v>116725</v>
      </c>
    </row>
    <row r="880" spans="1:22">
      <c r="A880" t="s">
        <v>1068</v>
      </c>
      <c r="B880">
        <f t="shared" si="38"/>
        <v>3</v>
      </c>
      <c r="C880" s="60">
        <f t="shared" si="39"/>
        <v>57</v>
      </c>
      <c r="D880" s="60">
        <f t="shared" si="40"/>
        <v>76</v>
      </c>
      <c r="E880" s="60">
        <f t="shared" si="41"/>
        <v>35.25</v>
      </c>
      <c r="F880">
        <f t="shared" si="42"/>
        <v>1</v>
      </c>
      <c r="N880" s="63" t="str">
        <f>'P14-PaymentAging'!$A$36</f>
        <v>INV-731</v>
      </c>
      <c r="O880" s="63" t="str">
        <f>'P14-PaymentAging'!$C$36</f>
        <v>Dexus</v>
      </c>
      <c r="P880" s="63" t="str">
        <f>'P14-PaymentAging'!$B$36</f>
        <v>WT-ITP-BLR-04</v>
      </c>
      <c r="Q880" s="63">
        <f>IF('P14-PaymentAging'!$H$36="",$B$867-DATEVALUE('P14-PaymentAging'!$E$36),DATEVALUE('P14-PaymentAging'!$H$36)-DATEVALUE('P14-PaymentAging'!$E$36))</f>
        <v>22</v>
      </c>
      <c r="R880" s="63">
        <f>'P14-PaymentAging'!$I$36</f>
        <v>0</v>
      </c>
      <c r="S880" s="63">
        <f t="shared" si="35"/>
        <v>0</v>
      </c>
      <c r="T880" s="63">
        <f t="shared" si="36"/>
        <v>0</v>
      </c>
      <c r="U880" s="63">
        <f>IF('P14-PaymentAging'!$H$36="","",DATEVALUE('P14-PaymentAging'!$H$36)-DATEVALUE('P14-PaymentAging'!$D$36))</f>
        <v>52</v>
      </c>
      <c r="V880" s="63">
        <f>IF('P14-PaymentAging'!$H$36="",0,IF(DATEVALUE('P14-PaymentAging'!$H$36)&gt;DATEVALUE('P14-PaymentAging'!$E$36),'P14-PaymentAging'!$G$36,0))</f>
        <v>1520762</v>
      </c>
    </row>
    <row r="881" spans="1:22">
      <c r="A881" t="s">
        <v>1070</v>
      </c>
      <c r="B881">
        <f t="shared" si="38"/>
        <v>5</v>
      </c>
      <c r="C881" s="60">
        <f t="shared" si="39"/>
        <v>53</v>
      </c>
      <c r="D881" s="60">
        <f t="shared" si="40"/>
        <v>69</v>
      </c>
      <c r="E881" s="60">
        <f t="shared" si="41"/>
        <v>71.571428571428569</v>
      </c>
      <c r="F881">
        <f t="shared" si="42"/>
        <v>2</v>
      </c>
      <c r="N881" s="63" t="str">
        <f>'P14-PaymentAging'!$A$37</f>
        <v>INV-732</v>
      </c>
      <c r="O881" s="63" t="str">
        <f>'P14-PaymentAging'!$C$37</f>
        <v>Stockland</v>
      </c>
      <c r="P881" s="63" t="str">
        <f>'P14-PaymentAging'!$B$37</f>
        <v>WT-DC-MUM-01</v>
      </c>
      <c r="Q881" s="63">
        <f>IF('P14-PaymentAging'!$H$37="",$B$867-DATEVALUE('P14-PaymentAging'!$E$37),DATEVALUE('P14-PaymentAging'!$H$37)-DATEVALUE('P14-PaymentAging'!$E$37))</f>
        <v>-1</v>
      </c>
      <c r="R881" s="63">
        <f>'P14-PaymentAging'!$I$37</f>
        <v>0</v>
      </c>
      <c r="S881" s="63">
        <f t="shared" si="35"/>
        <v>0</v>
      </c>
      <c r="T881" s="63">
        <f t="shared" si="36"/>
        <v>0</v>
      </c>
      <c r="U881" s="63">
        <f>IF('P14-PaymentAging'!$H$37="","",DATEVALUE('P14-PaymentAging'!$H$37)-DATEVALUE('P14-PaymentAging'!$D$37))</f>
        <v>29</v>
      </c>
      <c r="V881" s="63">
        <f>IF('P14-PaymentAging'!$H$37="",0,IF(DATEVALUE('P14-PaymentAging'!$H$37)&gt;DATEVALUE('P14-PaymentAging'!$E$37),'P14-PaymentAging'!$G$37,0))</f>
        <v>0</v>
      </c>
    </row>
    <row r="882" spans="1:22">
      <c r="A882" t="s">
        <v>1077</v>
      </c>
      <c r="B882">
        <f t="shared" si="38"/>
        <v>7</v>
      </c>
      <c r="C882" s="60">
        <f t="shared" si="39"/>
        <v>64.428571428571431</v>
      </c>
      <c r="D882" s="60">
        <f t="shared" si="40"/>
        <v>89</v>
      </c>
      <c r="E882" s="60">
        <f t="shared" si="41"/>
        <v>76.111111111111114</v>
      </c>
      <c r="F882">
        <f t="shared" si="42"/>
        <v>2</v>
      </c>
      <c r="N882" s="63" t="str">
        <f>'P14-PaymentAging'!$A$38</f>
        <v>INV-733</v>
      </c>
      <c r="O882" s="63" t="str">
        <f>'P14-PaymentAging'!$C$38</f>
        <v>Tata Realty</v>
      </c>
      <c r="P882" s="63" t="str">
        <f>'P14-PaymentAging'!$B$38</f>
        <v>WT-DC-MUM-01</v>
      </c>
      <c r="Q882" s="63">
        <f>IF('P14-PaymentAging'!$H$38="",$B$867-DATEVALUE('P14-PaymentAging'!$E$38),DATEVALUE('P14-PaymentAging'!$H$38)-DATEVALUE('P14-PaymentAging'!$E$38))</f>
        <v>143</v>
      </c>
      <c r="R882" s="63">
        <f>'P14-PaymentAging'!$I$38</f>
        <v>1080552</v>
      </c>
      <c r="S882" s="63">
        <f t="shared" si="35"/>
        <v>1080552</v>
      </c>
      <c r="T882" s="63">
        <f t="shared" si="36"/>
        <v>77259.467999999993</v>
      </c>
      <c r="U882" s="63" t="str">
        <f>IF('P14-PaymentAging'!$H$38="","",DATEVALUE('P14-PaymentAging'!$H$38)-DATEVALUE('P14-PaymentAging'!$D$38))</f>
        <v/>
      </c>
      <c r="V882" s="63">
        <f>IF('P14-PaymentAging'!$H$38="",0,IF(DATEVALUE('P14-PaymentAging'!$H$38)&gt;DATEVALUE('P14-PaymentAging'!$E$38),'P14-PaymentAging'!$G$38,0))</f>
        <v>0</v>
      </c>
    </row>
    <row r="883" spans="1:22">
      <c r="A883" t="s">
        <v>1080</v>
      </c>
      <c r="B883">
        <f t="shared" si="38"/>
        <v>3</v>
      </c>
      <c r="C883" s="60">
        <f t="shared" si="39"/>
        <v>53</v>
      </c>
      <c r="D883" s="60">
        <f t="shared" si="40"/>
        <v>58</v>
      </c>
      <c r="E883" s="60">
        <f t="shared" si="41"/>
        <v>52.5</v>
      </c>
      <c r="F883">
        <f t="shared" si="42"/>
        <v>1</v>
      </c>
      <c r="N883" s="63" t="str">
        <f>'P14-PaymentAging'!$A$39</f>
        <v>INV-734</v>
      </c>
      <c r="O883" s="63" t="str">
        <f>'P14-PaymentAging'!$C$39</f>
        <v>Ascendas REIT</v>
      </c>
      <c r="P883" s="63" t="str">
        <f>'P14-PaymentAging'!$B$39</f>
        <v>WT-ITP-BLR-04</v>
      </c>
      <c r="Q883" s="63">
        <f>IF('P14-PaymentAging'!$H$39="",$B$867-DATEVALUE('P14-PaymentAging'!$E$39),DATEVALUE('P14-PaymentAging'!$H$39)-DATEVALUE('P14-PaymentAging'!$E$39))</f>
        <v>43</v>
      </c>
      <c r="R883" s="63">
        <f>'P14-PaymentAging'!$I$39</f>
        <v>0</v>
      </c>
      <c r="S883" s="63">
        <f t="shared" si="35"/>
        <v>0</v>
      </c>
      <c r="T883" s="63">
        <f t="shared" si="36"/>
        <v>0</v>
      </c>
      <c r="U883" s="63">
        <f>IF('P14-PaymentAging'!$H$39="","",DATEVALUE('P14-PaymentAging'!$H$39)-DATEVALUE('P14-PaymentAging'!$D$39))</f>
        <v>73</v>
      </c>
      <c r="V883" s="63">
        <f>IF('P14-PaymentAging'!$H$39="",0,IF(DATEVALUE('P14-PaymentAging'!$H$39)&gt;DATEVALUE('P14-PaymentAging'!$E$39),'P14-PaymentAging'!$G$39,0))</f>
        <v>1220252</v>
      </c>
    </row>
    <row r="884" spans="1:22">
      <c r="A884" t="s">
        <v>1084</v>
      </c>
      <c r="B884">
        <f t="shared" si="38"/>
        <v>2</v>
      </c>
      <c r="C884" s="60">
        <f t="shared" si="39"/>
        <v>38</v>
      </c>
      <c r="D884" s="60">
        <f t="shared" si="40"/>
        <v>47</v>
      </c>
      <c r="E884" s="60">
        <f t="shared" si="41"/>
        <v>8</v>
      </c>
      <c r="F884">
        <f t="shared" si="42"/>
        <v>0</v>
      </c>
      <c r="N884" s="63" t="str">
        <f>'P14-PaymentAging'!$A$40</f>
        <v>INV-735</v>
      </c>
      <c r="O884" s="63" t="str">
        <f>'P14-PaymentAging'!$C$40</f>
        <v>Ascendas REIT</v>
      </c>
      <c r="P884" s="63" t="str">
        <f>'P14-PaymentAging'!$B$40</f>
        <v>WT-HOS-AKL-03</v>
      </c>
      <c r="Q884" s="63">
        <f>IF('P14-PaymentAging'!$H$40="",$B$867-DATEVALUE('P14-PaymentAging'!$E$40),DATEVALUE('P14-PaymentAging'!$H$40)-DATEVALUE('P14-PaymentAging'!$E$40))</f>
        <v>57</v>
      </c>
      <c r="R884" s="63">
        <f>'P14-PaymentAging'!$I$40</f>
        <v>335951</v>
      </c>
      <c r="S884" s="63">
        <f t="shared" si="35"/>
        <v>335951</v>
      </c>
      <c r="T884" s="63">
        <f t="shared" si="36"/>
        <v>9574.6034999999993</v>
      </c>
      <c r="U884" s="63">
        <f>IF('P14-PaymentAging'!$H$40="","",DATEVALUE('P14-PaymentAging'!$H$40)-DATEVALUE('P14-PaymentAging'!$D$40))</f>
        <v>87</v>
      </c>
      <c r="V884" s="63">
        <f>IF('P14-PaymentAging'!$H$40="",0,IF(DATEVALUE('P14-PaymentAging'!$H$40)&gt;DATEVALUE('P14-PaymentAging'!$E$40),'P14-PaymentAging'!$G$40,0))</f>
        <v>1007851</v>
      </c>
    </row>
    <row r="885" spans="1:22">
      <c r="A885" t="s">
        <v>1107</v>
      </c>
      <c r="B885">
        <f t="shared" si="38"/>
        <v>1</v>
      </c>
      <c r="C885" s="60">
        <f t="shared" si="39"/>
        <v>28</v>
      </c>
      <c r="D885" s="60">
        <f t="shared" si="40"/>
        <v>28</v>
      </c>
      <c r="E885" s="60">
        <f t="shared" si="41"/>
        <v>-2</v>
      </c>
      <c r="F885">
        <f t="shared" si="42"/>
        <v>0</v>
      </c>
      <c r="N885" s="63" t="str">
        <f>'P14-PaymentAging'!$A$41</f>
        <v>INV-736</v>
      </c>
      <c r="O885" s="63" t="str">
        <f>'P14-PaymentAging'!$C$41</f>
        <v>Lendlease</v>
      </c>
      <c r="P885" s="63" t="str">
        <f>'P14-PaymentAging'!$B$41</f>
        <v>WT-DC-MUM-01</v>
      </c>
      <c r="Q885" s="63">
        <f>IF('P14-PaymentAging'!$H$41="",$B$867-DATEVALUE('P14-PaymentAging'!$E$41),DATEVALUE('P14-PaymentAging'!$H$41)-DATEVALUE('P14-PaymentAging'!$E$41))</f>
        <v>51</v>
      </c>
      <c r="R885" s="63">
        <f>'P14-PaymentAging'!$I$41</f>
        <v>687334</v>
      </c>
      <c r="S885" s="63">
        <f t="shared" si="35"/>
        <v>687334</v>
      </c>
      <c r="T885" s="63">
        <f t="shared" si="36"/>
        <v>17527.017</v>
      </c>
      <c r="U885" s="63" t="str">
        <f>IF('P14-PaymentAging'!$H$41="","",DATEVALUE('P14-PaymentAging'!$H$41)-DATEVALUE('P14-PaymentAging'!$D$41))</f>
        <v/>
      </c>
      <c r="V885" s="63">
        <f>IF('P14-PaymentAging'!$H$41="",0,IF(DATEVALUE('P14-PaymentAging'!$H$41)&gt;DATEVALUE('P14-PaymentAging'!$E$41),'P14-PaymentAging'!$G$41,0))</f>
        <v>0</v>
      </c>
    </row>
    <row r="886" spans="1:22">
      <c r="A886" t="s">
        <v>1113</v>
      </c>
      <c r="B886">
        <f t="shared" si="38"/>
        <v>2</v>
      </c>
      <c r="C886" s="60">
        <f t="shared" si="39"/>
        <v>70</v>
      </c>
      <c r="D886" s="60">
        <f t="shared" si="40"/>
        <v>84</v>
      </c>
      <c r="E886" s="60">
        <f t="shared" si="41"/>
        <v>40</v>
      </c>
      <c r="F886">
        <f t="shared" si="42"/>
        <v>0</v>
      </c>
      <c r="N886" s="63" t="str">
        <f>'P14-PaymentAging'!$A$42</f>
        <v>INV-737</v>
      </c>
      <c r="O886" s="63" t="str">
        <f>'P14-PaymentAging'!$C$42</f>
        <v>Dexus</v>
      </c>
      <c r="P886" s="63" t="str">
        <f>'P14-PaymentAging'!$B$42</f>
        <v>WT-OFF-SYD-02</v>
      </c>
      <c r="Q886" s="63">
        <f>IF('P14-PaymentAging'!$H$42="",$B$867-DATEVALUE('P14-PaymentAging'!$E$42),DATEVALUE('P14-PaymentAging'!$H$42)-DATEVALUE('P14-PaymentAging'!$E$42))</f>
        <v>19</v>
      </c>
      <c r="R886" s="63">
        <f>'P14-PaymentAging'!$I$42</f>
        <v>0</v>
      </c>
      <c r="S886" s="63">
        <f t="shared" si="35"/>
        <v>0</v>
      </c>
      <c r="T886" s="63">
        <f t="shared" si="36"/>
        <v>0</v>
      </c>
      <c r="U886" s="63">
        <f>IF('P14-PaymentAging'!$H$42="","",DATEVALUE('P14-PaymentAging'!$H$42)-DATEVALUE('P14-PaymentAging'!$D$42))</f>
        <v>49</v>
      </c>
      <c r="V886" s="63">
        <f>IF('P14-PaymentAging'!$H$42="",0,IF(DATEVALUE('P14-PaymentAging'!$H$42)&gt;DATEVALUE('P14-PaymentAging'!$E$42),'P14-PaymentAging'!$G$42,0))</f>
        <v>262284</v>
      </c>
    </row>
    <row r="887" spans="1:22">
      <c r="A887" t="s">
        <v>1120</v>
      </c>
      <c r="B887">
        <f t="shared" si="38"/>
        <v>1</v>
      </c>
      <c r="C887" s="60">
        <f t="shared" si="39"/>
        <v>44</v>
      </c>
      <c r="D887" s="60">
        <f t="shared" si="40"/>
        <v>44</v>
      </c>
      <c r="E887" s="60">
        <f t="shared" si="41"/>
        <v>32.5</v>
      </c>
      <c r="F887">
        <f t="shared" si="42"/>
        <v>1</v>
      </c>
      <c r="N887" s="63" t="str">
        <f>'P14-PaymentAging'!$A$43</f>
        <v>INV-738</v>
      </c>
      <c r="O887" s="63" t="str">
        <f>'P14-PaymentAging'!$C$43</f>
        <v>GPT Group</v>
      </c>
      <c r="P887" s="63" t="str">
        <f>'P14-PaymentAging'!$B$43</f>
        <v>WT-RES-MEL-05</v>
      </c>
      <c r="Q887" s="63">
        <f>IF('P14-PaymentAging'!$H$43="",$B$867-DATEVALUE('P14-PaymentAging'!$E$43),DATEVALUE('P14-PaymentAging'!$H$43)-DATEVALUE('P14-PaymentAging'!$E$43))</f>
        <v>21</v>
      </c>
      <c r="R887" s="63">
        <f>'P14-PaymentAging'!$I$43</f>
        <v>0</v>
      </c>
      <c r="S887" s="63">
        <f t="shared" si="35"/>
        <v>0</v>
      </c>
      <c r="T887" s="63">
        <f t="shared" si="36"/>
        <v>0</v>
      </c>
      <c r="U887" s="63">
        <f>IF('P14-PaymentAging'!$H$43="","",DATEVALUE('P14-PaymentAging'!$H$43)-DATEVALUE('P14-PaymentAging'!$D$43))</f>
        <v>51</v>
      </c>
      <c r="V887" s="63">
        <f>IF('P14-PaymentAging'!$H$43="",0,IF(DATEVALUE('P14-PaymentAging'!$H$43)&gt;DATEVALUE('P14-PaymentAging'!$E$43),'P14-PaymentAging'!$G$43,0))</f>
        <v>455000</v>
      </c>
    </row>
    <row r="888" spans="1:22">
      <c r="A888" s="44" t="str">
        <f>"ANSWER: The slowest payer is "&amp;INDEX($A$878:$A$887,MATCH(MAX($C$878:$C$887),$C$878:$C$887,0))&amp;" at "&amp;TEXT(MAX($C$878:$C$887),"0")&amp;" days from invoice to payment; the fastest is "&amp;INDEX($A$878:$A$887,MATCH(MIN($C$878:$C$887),$C$878:$C$887,0))&amp;" at "&amp;TEXT(MIN($C$878:$C$887),"0")&amp;" days. Portfolio average: "&amp;TEXT(AVERAGE($U$849:$U$888),"0")&amp;" days against payment terms of roughly 30 days."</f>
        <v>ANSWER: The slowest payer is Ascendas REIT at 71 days from invoice to payment; the fastest is Embassy Group at 28 days. Portfolio average: 58 days against payment terms of roughly 30 days.</v>
      </c>
      <c r="N888" s="63" t="str">
        <f>'P14-PaymentAging'!$A$44</f>
        <v>INV-739</v>
      </c>
      <c r="O888" s="63" t="str">
        <f>'P14-PaymentAging'!$C$44</f>
        <v>Brookfield</v>
      </c>
      <c r="P888" s="63" t="str">
        <f>'P14-PaymentAging'!$B$44</f>
        <v>WT-RES-MEL-05</v>
      </c>
      <c r="Q888" s="63">
        <f>IF('P14-PaymentAging'!$H$44="",$B$867-DATEVALUE('P14-PaymentAging'!$E$44),DATEVALUE('P14-PaymentAging'!$H$44)-DATEVALUE('P14-PaymentAging'!$E$44))</f>
        <v>43</v>
      </c>
      <c r="R888" s="63">
        <f>'P14-PaymentAging'!$I$44</f>
        <v>0</v>
      </c>
      <c r="S888" s="63">
        <f t="shared" si="35"/>
        <v>0</v>
      </c>
      <c r="T888" s="63">
        <f t="shared" si="36"/>
        <v>0</v>
      </c>
      <c r="U888" s="63">
        <f>IF('P14-PaymentAging'!$H$44="","",DATEVALUE('P14-PaymentAging'!$H$44)-DATEVALUE('P14-PaymentAging'!$D$44))</f>
        <v>73</v>
      </c>
      <c r="V888" s="63">
        <f>IF('P14-PaymentAging'!$H$44="",0,IF(DATEVALUE('P14-PaymentAging'!$H$44)&gt;DATEVALUE('P14-PaymentAging'!$E$44),'P14-PaymentAging'!$G$44,0))</f>
        <v>1621174</v>
      </c>
    </row>
    <row r="890" spans="1:22">
      <c r="A890" s="42" t="s">
        <v>1730</v>
      </c>
    </row>
    <row r="891" spans="1:22">
      <c r="A891" s="43" t="s">
        <v>68</v>
      </c>
      <c r="B891" s="43" t="s">
        <v>1710</v>
      </c>
      <c r="C891" s="43" t="s">
        <v>1711</v>
      </c>
      <c r="D891" s="43" t="s">
        <v>1712</v>
      </c>
      <c r="E891" s="43" t="s">
        <v>1731</v>
      </c>
      <c r="F891" s="43" t="s">
        <v>1700</v>
      </c>
    </row>
    <row r="892" spans="1:22">
      <c r="A892" t="s">
        <v>283</v>
      </c>
      <c r="B892">
        <f>COUNTIF('P14-PaymentAging'!$B$5:$B$44,$A892)</f>
        <v>10</v>
      </c>
      <c r="C892" s="48">
        <f>SUMIF('P14-PaymentAging'!$B$5:$B$44,$A892,'P14-PaymentAging'!$F$5:$F$44)</f>
        <v>11131251</v>
      </c>
      <c r="D892" s="48">
        <f>SUMIF('P14-PaymentAging'!$B$5:$B$44,$A892,'P14-PaymentAging'!$G$5:$G$44)</f>
        <v>6505944</v>
      </c>
      <c r="E892" s="39">
        <f t="shared" ref="E892:E897" si="43">D892/C892</f>
        <v>0.58447554547103464</v>
      </c>
      <c r="F892" s="48">
        <f>SUMIF('P14-PaymentAging'!$B$5:$B$44,$A892,'P14-PaymentAging'!$I$5:$I$44)</f>
        <v>4625307</v>
      </c>
    </row>
    <row r="893" spans="1:22">
      <c r="A893" t="s">
        <v>317</v>
      </c>
      <c r="B893">
        <f>COUNTIF('P14-PaymentAging'!$B$5:$B$44,$A893)</f>
        <v>7</v>
      </c>
      <c r="C893" s="48">
        <f>SUMIF('P14-PaymentAging'!$B$5:$B$44,$A893,'P14-PaymentAging'!$F$5:$F$44)</f>
        <v>4699672</v>
      </c>
      <c r="D893" s="48">
        <f>SUMIF('P14-PaymentAging'!$B$5:$B$44,$A893,'P14-PaymentAging'!$G$5:$G$44)</f>
        <v>3791654</v>
      </c>
      <c r="E893" s="39">
        <f t="shared" si="43"/>
        <v>0.80679119734313376</v>
      </c>
      <c r="F893" s="48">
        <f>SUMIF('P14-PaymentAging'!$B$5:$B$44,$A893,'P14-PaymentAging'!$I$5:$I$44)</f>
        <v>908018</v>
      </c>
    </row>
    <row r="894" spans="1:22">
      <c r="A894" t="s">
        <v>318</v>
      </c>
      <c r="B894">
        <f>COUNTIF('P14-PaymentAging'!$B$5:$B$44,$A894)</f>
        <v>8</v>
      </c>
      <c r="C894" s="48">
        <f>SUMIF('P14-PaymentAging'!$B$5:$B$44,$A894,'P14-PaymentAging'!$F$5:$F$44)</f>
        <v>10603702</v>
      </c>
      <c r="D894" s="48">
        <f>SUMIF('P14-PaymentAging'!$B$5:$B$44,$A894,'P14-PaymentAging'!$G$5:$G$44)</f>
        <v>7358738</v>
      </c>
      <c r="E894" s="39">
        <f t="shared" si="43"/>
        <v>0.69397819742576694</v>
      </c>
      <c r="F894" s="48">
        <f>SUMIF('P14-PaymentAging'!$B$5:$B$44,$A894,'P14-PaymentAging'!$I$5:$I$44)</f>
        <v>3244964</v>
      </c>
    </row>
    <row r="895" spans="1:22">
      <c r="A895" t="s">
        <v>337</v>
      </c>
      <c r="B895">
        <f>COUNTIF('P14-PaymentAging'!$B$5:$B$44,$A895)</f>
        <v>6</v>
      </c>
      <c r="C895" s="48">
        <f>SUMIF('P14-PaymentAging'!$B$5:$B$44,$A895,'P14-PaymentAging'!$F$5:$F$44)</f>
        <v>5921117</v>
      </c>
      <c r="D895" s="48">
        <f>SUMIF('P14-PaymentAging'!$B$5:$B$44,$A895,'P14-PaymentAging'!$G$5:$G$44)</f>
        <v>5474577</v>
      </c>
      <c r="E895" s="39">
        <f t="shared" si="43"/>
        <v>0.92458517539849328</v>
      </c>
      <c r="F895" s="48">
        <f>SUMIF('P14-PaymentAging'!$B$5:$B$44,$A895,'P14-PaymentAging'!$I$5:$I$44)</f>
        <v>446540</v>
      </c>
    </row>
    <row r="896" spans="1:22">
      <c r="A896" t="s">
        <v>446</v>
      </c>
      <c r="B896">
        <f>COUNTIF('P14-PaymentAging'!$B$5:$B$44,$A896)</f>
        <v>9</v>
      </c>
      <c r="C896" s="48">
        <f>SUMIF('P14-PaymentAging'!$B$5:$B$44,$A896,'P14-PaymentAging'!$F$5:$F$44)</f>
        <v>9357416</v>
      </c>
      <c r="D896" s="48">
        <f>SUMIF('P14-PaymentAging'!$B$5:$B$44,$A896,'P14-PaymentAging'!$G$5:$G$44)</f>
        <v>6725387</v>
      </c>
      <c r="E896" s="39">
        <f t="shared" si="43"/>
        <v>0.71872266873675383</v>
      </c>
      <c r="F896" s="48">
        <f>SUMIF('P14-PaymentAging'!$B$5:$B$44,$A896,'P14-PaymentAging'!$I$5:$I$44)</f>
        <v>2632029</v>
      </c>
    </row>
    <row r="897" spans="1:6">
      <c r="A897" s="36" t="s">
        <v>1307</v>
      </c>
      <c r="B897" s="36">
        <f>SUM(B892:B896)</f>
        <v>40</v>
      </c>
      <c r="C897" s="49">
        <f>SUM(C892:C896)</f>
        <v>41713158</v>
      </c>
      <c r="D897" s="49">
        <f>SUM(D892:D896)</f>
        <v>29856300</v>
      </c>
      <c r="E897" s="45">
        <f t="shared" si="43"/>
        <v>0.71575256900951978</v>
      </c>
      <c r="F897" s="36">
        <f>SUM(F892:F896)</f>
        <v>11856858</v>
      </c>
    </row>
    <row r="898" spans="1:6">
      <c r="A898" s="44" t="str">
        <f>"ANSWER: "&amp;INDEX($A$892:$A$896,MATCH(MIN($E$892:$E$896),$E$892:$E$896,0))&amp;" has the worst collection rate at "&amp;TEXT(MIN($E$892:$E$896),"0.0%")&amp;" ("&amp;TEXT(INDEX($F$892:$F$896,MATCH(MIN($E$892:$E$896),$E$892:$E$896,0)),"""$""#,##0")&amp;" outstanding); the best is "&amp;INDEX($A$892:$A$896,MATCH(MAX($E$892:$E$896),$E$892:$E$896,0))&amp;" at "&amp;TEXT(MAX($E$892:$E$896),"0.0%")&amp;". Portfolio collection rate: "&amp;TEXT($E$897,"0.0%")&amp;"."</f>
        <v>ANSWER: WT-DC-MUM-01 has the worst collection rate at 58.4% ($46,25,307 outstanding); the best is WT-ITP-BLR-04 at 92.5%. Portfolio collection rate: 71.6%.</v>
      </c>
    </row>
    <row r="900" spans="1:6">
      <c r="A900" s="42" t="s">
        <v>1732</v>
      </c>
    </row>
    <row r="901" spans="1:6">
      <c r="A901" t="s">
        <v>1733</v>
      </c>
      <c r="B901" s="72">
        <v>1.4999999999999999E-2</v>
      </c>
      <c r="C901" t="s">
        <v>1734</v>
      </c>
      <c r="D901">
        <f>COUNTIF($S$849:$S$888,"&gt;0")</f>
        <v>16</v>
      </c>
      <c r="E901" t="s">
        <v>1735</v>
      </c>
      <c r="F901">
        <f>SUM($S$849:$S$888)</f>
        <v>10901155</v>
      </c>
    </row>
    <row r="902" spans="1:6">
      <c r="A902" s="43" t="s">
        <v>512</v>
      </c>
      <c r="B902" s="43" t="s">
        <v>1701</v>
      </c>
      <c r="C902" s="43" t="s">
        <v>1736</v>
      </c>
      <c r="D902" s="43" t="s">
        <v>1737</v>
      </c>
    </row>
    <row r="903" spans="1:6">
      <c r="A903" t="s">
        <v>1059</v>
      </c>
      <c r="B903" s="48">
        <f t="shared" ref="B903:B912" si="44">SUMIF($O$849:$O$888,$A903,$S$849:$S$888)</f>
        <v>725333</v>
      </c>
      <c r="C903" s="60">
        <f t="shared" ref="C903:C912" si="45">IFERROR(AVERAGEIFS($Q$849:$Q$888,$O$849:$O$888,$A903,$S$849:$S$888,"&gt;0"),"-")</f>
        <v>150</v>
      </c>
      <c r="D903" s="48">
        <f t="shared" ref="D903:D912" si="46">SUMIF($O$849:$O$888,$A903,$T$849:$T$888)</f>
        <v>54399.974999999991</v>
      </c>
    </row>
    <row r="904" spans="1:6">
      <c r="A904" t="s">
        <v>1062</v>
      </c>
      <c r="B904" s="48">
        <f t="shared" si="44"/>
        <v>1036837</v>
      </c>
      <c r="C904" s="60">
        <f t="shared" si="45"/>
        <v>57.5</v>
      </c>
      <c r="D904" s="48">
        <f t="shared" si="46"/>
        <v>29900.297500000001</v>
      </c>
    </row>
    <row r="905" spans="1:6">
      <c r="A905" t="s">
        <v>1068</v>
      </c>
      <c r="B905" s="48">
        <f t="shared" si="44"/>
        <v>850225</v>
      </c>
      <c r="C905" s="60">
        <f t="shared" si="45"/>
        <v>60</v>
      </c>
      <c r="D905" s="48">
        <f t="shared" si="46"/>
        <v>25506.75</v>
      </c>
    </row>
    <row r="906" spans="1:6">
      <c r="A906" t="s">
        <v>1070</v>
      </c>
      <c r="B906" s="48">
        <f t="shared" si="44"/>
        <v>2672635</v>
      </c>
      <c r="C906" s="60">
        <f t="shared" si="45"/>
        <v>193</v>
      </c>
      <c r="D906" s="48">
        <f t="shared" si="46"/>
        <v>270697.55249999999</v>
      </c>
    </row>
    <row r="907" spans="1:6">
      <c r="A907" t="s">
        <v>1077</v>
      </c>
      <c r="B907" s="48">
        <f t="shared" si="44"/>
        <v>4135698</v>
      </c>
      <c r="C907" s="60">
        <f t="shared" si="45"/>
        <v>87</v>
      </c>
      <c r="D907" s="48">
        <f t="shared" si="46"/>
        <v>378457.24599999998</v>
      </c>
    </row>
    <row r="908" spans="1:6">
      <c r="A908" t="s">
        <v>1080</v>
      </c>
      <c r="B908" s="48">
        <f t="shared" si="44"/>
        <v>189837</v>
      </c>
      <c r="C908" s="60">
        <f t="shared" si="45"/>
        <v>141</v>
      </c>
      <c r="D908" s="48">
        <f t="shared" si="46"/>
        <v>13383.5085</v>
      </c>
    </row>
    <row r="909" spans="1:6">
      <c r="A909" t="s">
        <v>1084</v>
      </c>
      <c r="B909" s="48">
        <f t="shared" si="44"/>
        <v>0</v>
      </c>
      <c r="C909" s="60" t="str">
        <f t="shared" si="45"/>
        <v>-</v>
      </c>
      <c r="D909" s="48">
        <f t="shared" si="46"/>
        <v>0</v>
      </c>
    </row>
    <row r="910" spans="1:6">
      <c r="A910" t="s">
        <v>1107</v>
      </c>
      <c r="B910" s="48">
        <f t="shared" si="44"/>
        <v>0</v>
      </c>
      <c r="C910" s="60" t="str">
        <f t="shared" si="45"/>
        <v>-</v>
      </c>
      <c r="D910" s="48">
        <f t="shared" si="46"/>
        <v>0</v>
      </c>
    </row>
    <row r="911" spans="1:6">
      <c r="A911" t="s">
        <v>1113</v>
      </c>
      <c r="B911" s="48">
        <f t="shared" si="44"/>
        <v>603256</v>
      </c>
      <c r="C911" s="60">
        <f t="shared" si="45"/>
        <v>26</v>
      </c>
      <c r="D911" s="48">
        <f t="shared" si="46"/>
        <v>7842.3280000000004</v>
      </c>
    </row>
    <row r="912" spans="1:6">
      <c r="A912" t="s">
        <v>1120</v>
      </c>
      <c r="B912" s="48">
        <f t="shared" si="44"/>
        <v>687334</v>
      </c>
      <c r="C912" s="60">
        <f t="shared" si="45"/>
        <v>51</v>
      </c>
      <c r="D912" s="48">
        <f t="shared" si="46"/>
        <v>17527.017</v>
      </c>
    </row>
    <row r="913" spans="1:6">
      <c r="A913" s="36" t="s">
        <v>1307</v>
      </c>
      <c r="B913" s="49">
        <f>SUM(B903:B912)</f>
        <v>10901155</v>
      </c>
      <c r="C913" s="61">
        <f>IFERROR(AVERAGEIFS($Q$849:$Q$888,$S$849:$S$888,"&gt;0"),"-")</f>
        <v>96.125</v>
      </c>
      <c r="D913" s="49">
        <f>SUM(D903:D912)</f>
        <v>797714.67449999996</v>
      </c>
      <c r="E913" s="36"/>
      <c r="F913" s="36"/>
    </row>
    <row r="914" spans="1:6">
      <c r="A914" s="44" t="str">
        <f>"ANSWER: At 1.5% per month, the "&amp;TEXT($B$913,"""$""#,##0")&amp;" of overdue balances (average "&amp;TEXT($C$913,"0")&amp;" days past due) carries "&amp;TEXT($D$913,"""$""#,##0")&amp;" of interest receivable. The largest single claim is against "&amp;INDEX($A$903:$A$912,MATCH(MAX($D$903:$D$912),$D$903:$D$912,0))&amp;" at "&amp;TEXT(MAX($D$903:$D$912),"""$""#,##0")&amp;". Aging is measured to "&amp;TEXT($B$867,"dd-mmm-yyyy")&amp;" (latest payment date in the data)."</f>
        <v>ANSWER: At 1.5% per month, the $1,09,01,155 of overdue balances (average 96 days past due) carries $7,97,715 of interest receivable. The largest single claim is against Brookfield at $3,78,457. Aging is measured to 23-May-2025 (latest payment date in the data).</v>
      </c>
    </row>
    <row r="916" spans="1:6">
      <c r="A916" s="41" t="s">
        <v>1739</v>
      </c>
      <c r="B916" s="41"/>
      <c r="C916" s="41"/>
      <c r="D916" s="41"/>
      <c r="E916" s="41"/>
      <c r="F916" s="41"/>
    </row>
    <row r="917" spans="1:6">
      <c r="A917" s="42" t="s">
        <v>1740</v>
      </c>
    </row>
    <row r="918" spans="1:6">
      <c r="A918" s="43" t="s">
        <v>655</v>
      </c>
      <c r="B918" s="43" t="s">
        <v>1316</v>
      </c>
      <c r="C918" s="43" t="s">
        <v>1318</v>
      </c>
      <c r="D918" s="43" t="s">
        <v>1741</v>
      </c>
      <c r="E918" s="43" t="s">
        <v>1742</v>
      </c>
      <c r="F918" s="43" t="s">
        <v>1743</v>
      </c>
    </row>
    <row r="919" spans="1:6">
      <c r="A919" t="s">
        <v>831</v>
      </c>
      <c r="B919">
        <f>COUNTIF('P15-Portfolio'!$E$5:$E$29,$A919)</f>
        <v>4</v>
      </c>
      <c r="C919" s="39">
        <f>B919/$B$923</f>
        <v>0.16</v>
      </c>
      <c r="D919" s="48">
        <f>SUMIF('P15-Portfolio'!$E$5:$E$29,$A919,'P15-Portfolio'!$F$5:$F$29)</f>
        <v>142240052</v>
      </c>
      <c r="E919" s="48">
        <f>SUMIF('P15-Portfolio'!$E$5:$E$29,$A919,'P15-Portfolio'!$G$5:$G$29)</f>
        <v>109936604</v>
      </c>
      <c r="F919" s="39">
        <f>AVERAGEIF('P15-Portfolio'!$E$5:$E$29,$A919,'P15-Portfolio'!$H$5:$H$29)/100</f>
        <v>0.755</v>
      </c>
    </row>
    <row r="920" spans="1:6">
      <c r="A920" t="s">
        <v>1178</v>
      </c>
      <c r="B920">
        <f>COUNTIF('P15-Portfolio'!$E$5:$E$29,$A920)</f>
        <v>8</v>
      </c>
      <c r="C920" s="39">
        <f>B920/$B$923</f>
        <v>0.32</v>
      </c>
      <c r="D920" s="48">
        <f>SUMIF('P15-Portfolio'!$E$5:$E$29,$A920,'P15-Portfolio'!$F$5:$F$29)</f>
        <v>505848491</v>
      </c>
      <c r="E920" s="48">
        <f>SUMIF('P15-Portfolio'!$E$5:$E$29,$A920,'P15-Portfolio'!$G$5:$G$29)</f>
        <v>319243519</v>
      </c>
      <c r="F920" s="39">
        <f>AVERAGEIF('P15-Portfolio'!$E$5:$E$29,$A920,'P15-Portfolio'!$H$5:$H$29)/100</f>
        <v>0.49</v>
      </c>
    </row>
    <row r="921" spans="1:6">
      <c r="A921" t="s">
        <v>1167</v>
      </c>
      <c r="B921">
        <f>COUNTIF('P15-Portfolio'!$E$5:$E$29,$A921)</f>
        <v>8</v>
      </c>
      <c r="C921" s="39">
        <f>B921/$B$923</f>
        <v>0.32</v>
      </c>
      <c r="D921" s="48">
        <f>SUMIF('P15-Portfolio'!$E$5:$E$29,$A921,'P15-Portfolio'!$F$5:$F$29)</f>
        <v>397754853</v>
      </c>
      <c r="E921" s="48">
        <f>SUMIF('P15-Portfolio'!$E$5:$E$29,$A921,'P15-Portfolio'!$G$5:$G$29)</f>
        <v>261592213</v>
      </c>
      <c r="F921" s="39">
        <f>AVERAGEIF('P15-Portfolio'!$E$5:$E$29,$A921,'P15-Portfolio'!$H$5:$H$29)/100</f>
        <v>0.6875</v>
      </c>
    </row>
    <row r="922" spans="1:6">
      <c r="A922" t="s">
        <v>1186</v>
      </c>
      <c r="B922">
        <f>COUNTIF('P15-Portfolio'!$E$5:$E$29,$A922)</f>
        <v>5</v>
      </c>
      <c r="C922" s="39">
        <f>B922/$B$923</f>
        <v>0.2</v>
      </c>
      <c r="D922" s="48">
        <f>SUMIF('P15-Portfolio'!$E$5:$E$29,$A922,'P15-Portfolio'!$F$5:$F$29)</f>
        <v>379882427</v>
      </c>
      <c r="E922" s="48">
        <f>SUMIF('P15-Portfolio'!$E$5:$E$29,$A922,'P15-Portfolio'!$G$5:$G$29)</f>
        <v>0</v>
      </c>
      <c r="F922" s="39">
        <f>AVERAGEIF('P15-Portfolio'!$E$5:$E$29,$A922,'P15-Portfolio'!$H$5:$H$29)/100</f>
        <v>0</v>
      </c>
    </row>
    <row r="923" spans="1:6">
      <c r="A923" s="36" t="s">
        <v>1307</v>
      </c>
      <c r="B923" s="36">
        <f>COUNTA('P15-Portfolio'!$A$5:$A$29)</f>
        <v>25</v>
      </c>
      <c r="C923" s="45">
        <f>B923/$B$923</f>
        <v>1</v>
      </c>
      <c r="D923" s="49">
        <f>SUM('P15-Portfolio'!$F$5:$F$29)</f>
        <v>1425725823</v>
      </c>
      <c r="E923" s="49">
        <f>SUM('P15-Portfolio'!$G$5:$G$29)</f>
        <v>690772336</v>
      </c>
      <c r="F923" s="45">
        <f>AVERAGE('P15-Portfolio'!$H$5:$H$29)/100</f>
        <v>0.49759999999999999</v>
      </c>
    </row>
    <row r="924" spans="1:6">
      <c r="A924" s="44" t="str">
        <f>"ANSWER: The portfolio splits "&amp;$B$919&amp;" In Progress, "&amp;$B$920&amp;" On Hold, "&amp;$B$921&amp;" Completed and "&amp;$B$922&amp;" in Planning ("&amp;$B$923&amp;" projects total). "&amp;INDEX($A$919:$A$922,MATCH(MAX($B$919:$B$922),$B$919:$B$922,0))&amp;" is the largest group at "&amp;TEXT(MAX($B$919:$B$922)/$B$923,"0.0%")&amp;" of projects. On-hold projects alone tie up "&amp;TEXT($D$920,"""$""#,##0")&amp;" of budget."</f>
        <v>ANSWER: The portfolio splits 4 In Progress, 8 On Hold, 8 Completed and 5 in Planning (25 projects total). On Hold is the largest group at 32.0% of projects. On-hold projects alone tie up $50,58,48,491 of budget.</v>
      </c>
    </row>
    <row r="926" spans="1:6">
      <c r="A926" s="42" t="s">
        <v>1744</v>
      </c>
    </row>
    <row r="927" spans="1:6">
      <c r="A927" t="s">
        <v>1745</v>
      </c>
      <c r="B927" s="48">
        <f>SUM('P15-Portfolio'!$F$5:$F$29)</f>
        <v>1425725823</v>
      </c>
      <c r="C927" t="s">
        <v>1746</v>
      </c>
      <c r="D927" s="48">
        <f>SUM('P15-Portfolio'!$G$5:$G$29)</f>
        <v>690772336</v>
      </c>
      <c r="E927" t="s">
        <v>1747</v>
      </c>
      <c r="F927" s="48">
        <f>D927-B927</f>
        <v>-734953487</v>
      </c>
    </row>
    <row r="928" spans="1:6">
      <c r="A928" t="s">
        <v>1306</v>
      </c>
      <c r="B928" s="39">
        <f>F927/B927</f>
        <v>-0.51549426624925487</v>
      </c>
      <c r="C928" t="s">
        <v>1748</v>
      </c>
      <c r="D928" s="48">
        <f>B927-D927</f>
        <v>734953487</v>
      </c>
      <c r="E928" t="s">
        <v>1749</v>
      </c>
      <c r="F928" s="39">
        <f>AVERAGE('P15-Portfolio'!$H$5:$H$29)/100</f>
        <v>0.49759999999999999</v>
      </c>
    </row>
    <row r="929" spans="1:6">
      <c r="A929" s="44" t="str">
        <f>"ANSWER: Portfolio budget is "&amp;TEXT($B$927,"""$""#,##0")&amp;" and spend to date is "&amp;TEXT($D$927,"""$""#,##0")&amp;" — "&amp;TEXT($D$927/$B$927,"0.0%")&amp;" of budget drawn against "&amp;TEXT($F$928,"0.0%")&amp;" average completion, leaving "&amp;TEXT($D$928,"""$""#,##0")&amp;" unspent. On the source sheet's own Budget_Variance column the portfolio is "&amp;TEXT(SUM('P15-Portfolio'!$L$5:$L$29),"""$""#,##0")&amp;" adrift, and "&amp;COUNTIF('P15-Portfolio'!$L$5:$L$29,"&gt;0")&amp;" of 25 projects show an adverse variance."</f>
        <v>ANSWER: Portfolio budget is $1,42,57,25,823 and spend to date is $69,07,72,336 — 48.5% of budget drawn against 49.8% average completion, leaving $73,49,53,487 unspent. On the source sheet's own Budget_Variance column the portfolio is $3,61,50,438 adrift, and 12 of 25 projects show an adverse variance.</v>
      </c>
    </row>
    <row r="931" spans="1:6">
      <c r="A931" s="42" t="s">
        <v>1750</v>
      </c>
    </row>
    <row r="932" spans="1:6">
      <c r="A932" t="s">
        <v>1751</v>
      </c>
      <c r="B932" cm="1">
        <f t="array" ref="B932">SUMPRODUCT(('P15-Portfolio'!$J$5:$J$29&lt;0.9)*('P15-Portfolio'!$I$5:$I$29&lt;0.9)*1)</f>
        <v>3</v>
      </c>
      <c r="C932" t="s">
        <v>1752</v>
      </c>
      <c r="D932">
        <f>COUNTIF('P15-Portfolio'!$J$5:$J$29,"&lt;0.9")</f>
        <v>11</v>
      </c>
      <c r="E932" t="s">
        <v>1753</v>
      </c>
      <c r="F932">
        <f>COUNTIF('P15-Portfolio'!$I$5:$I$29,"&lt;0.9")</f>
        <v>9</v>
      </c>
    </row>
    <row r="933" spans="1:6">
      <c r="A933" s="43" t="s">
        <v>2</v>
      </c>
      <c r="B933" s="43" t="s">
        <v>68</v>
      </c>
      <c r="C933" s="43" t="s">
        <v>1310</v>
      </c>
      <c r="D933" s="43" t="s">
        <v>71</v>
      </c>
      <c r="E933" s="43" t="s">
        <v>840</v>
      </c>
      <c r="F933" s="43" t="s">
        <v>841</v>
      </c>
    </row>
    <row r="934" spans="1:6">
      <c r="A934">
        <v>1</v>
      </c>
      <c r="B934" t="str" cm="1">
        <f t="array" ref="B934">IFERROR(INDEX('P15-Portfolio'!$A$5:$A$29,_xlfn.AGGREGATE(15,6,(ROW('P15-Portfolio'!$A$5:$A$29)-4)/(('P15-Portfolio'!$J$5:$J$29&lt;0.9)*('P15-Portfolio'!$I$5:$I$29&lt;0.9)),$A934)),"")</f>
        <v>WT-2005</v>
      </c>
      <c r="C934" t="str" cm="1">
        <f t="array" ref="C934">IFERROR(INDEX('P15-Portfolio'!$B$5:$B$29,_xlfn.AGGREGATE(15,6,(ROW('P15-Portfolio'!$A$5:$A$29)-4)/(('P15-Portfolio'!$J$5:$J$29&lt;0.9)*('P15-Portfolio'!$I$5:$I$29&lt;0.9)),$A934)),"")</f>
        <v>IT Park Sydney</v>
      </c>
      <c r="D934" t="str" cm="1">
        <f t="array" ref="D934">IFERROR(INDEX('P15-Portfolio'!$C$5:$C$29,_xlfn.AGGREGATE(15,6,(ROW('P15-Portfolio'!$A$5:$A$29)-4)/(('P15-Portfolio'!$J$5:$J$29&lt;0.9)*('P15-Portfolio'!$I$5:$I$29&lt;0.9)),$A934)),"")</f>
        <v>Australia</v>
      </c>
      <c r="E934" s="22" cm="1">
        <f t="array" ref="E934">IFERROR(INDEX('P15-Portfolio'!$I$5:$I$29,_xlfn.AGGREGATE(15,6,(ROW('P15-Portfolio'!$A$5:$A$29)-4)/(('P15-Portfolio'!$J$5:$J$29&lt;0.9)*('P15-Portfolio'!$I$5:$I$29&lt;0.9)),$A934)),"")</f>
        <v>0.78</v>
      </c>
      <c r="F934" s="22" cm="1">
        <f t="array" ref="F934">IFERROR(INDEX('P15-Portfolio'!$J$5:$J$29,_xlfn.AGGREGATE(15,6,(ROW('P15-Portfolio'!$A$5:$A$29)-4)/(('P15-Portfolio'!$J$5:$J$29&lt;0.9)*('P15-Portfolio'!$I$5:$I$29&lt;0.9)),$A934)),"")</f>
        <v>0.86</v>
      </c>
    </row>
    <row r="935" spans="1:6">
      <c r="A935">
        <v>2</v>
      </c>
      <c r="B935" t="str" cm="1">
        <f t="array" ref="B935">IFERROR(INDEX('P15-Portfolio'!$A$5:$A$29,_xlfn.AGGREGATE(15,6,(ROW('P15-Portfolio'!$A$5:$A$29)-4)/(('P15-Portfolio'!$J$5:$J$29&lt;0.9)*('P15-Portfolio'!$I$5:$I$29&lt;0.9)),$A935)),"")</f>
        <v>WT-2015</v>
      </c>
      <c r="C935" t="str" cm="1">
        <f t="array" ref="C935">IFERROR(INDEX('P15-Portfolio'!$B$5:$B$29,_xlfn.AGGREGATE(15,6,(ROW('P15-Portfolio'!$A$5:$A$29)-4)/(('P15-Portfolio'!$J$5:$J$29&lt;0.9)*('P15-Portfolio'!$I$5:$I$29&lt;0.9)),$A935)),"")</f>
        <v>Shopping Mall Canberra</v>
      </c>
      <c r="D935" t="str" cm="1">
        <f t="array" ref="D935">IFERROR(INDEX('P15-Portfolio'!$C$5:$C$29,_xlfn.AGGREGATE(15,6,(ROW('P15-Portfolio'!$A$5:$A$29)-4)/(('P15-Portfolio'!$J$5:$J$29&lt;0.9)*('P15-Portfolio'!$I$5:$I$29&lt;0.9)),$A935)),"")</f>
        <v>Australia</v>
      </c>
      <c r="E935" s="22" cm="1">
        <f t="array" ref="E935">IFERROR(INDEX('P15-Portfolio'!$I$5:$I$29,_xlfn.AGGREGATE(15,6,(ROW('P15-Portfolio'!$A$5:$A$29)-4)/(('P15-Portfolio'!$J$5:$J$29&lt;0.9)*('P15-Portfolio'!$I$5:$I$29&lt;0.9)),$A935)),"")</f>
        <v>0.88</v>
      </c>
      <c r="F935" s="22" cm="1">
        <f t="array" ref="F935">IFERROR(INDEX('P15-Portfolio'!$J$5:$J$29,_xlfn.AGGREGATE(15,6,(ROW('P15-Portfolio'!$A$5:$A$29)-4)/(('P15-Portfolio'!$J$5:$J$29&lt;0.9)*('P15-Portfolio'!$I$5:$I$29&lt;0.9)),$A935)),"")</f>
        <v>0.83</v>
      </c>
    </row>
    <row r="936" spans="1:6">
      <c r="A936">
        <v>3</v>
      </c>
      <c r="B936" t="str" cm="1">
        <f t="array" ref="B936">IFERROR(INDEX('P15-Portfolio'!$A$5:$A$29,_xlfn.AGGREGATE(15,6,(ROW('P15-Portfolio'!$A$5:$A$29)-4)/(('P15-Portfolio'!$J$5:$J$29&lt;0.9)*('P15-Portfolio'!$I$5:$I$29&lt;0.9)),$A936)),"")</f>
        <v>WT-2024</v>
      </c>
      <c r="C936" t="str" cm="1">
        <f t="array" ref="C936">IFERROR(INDEX('P15-Portfolio'!$B$5:$B$29,_xlfn.AGGREGATE(15,6,(ROW('P15-Portfolio'!$A$5:$A$29)-4)/(('P15-Portfolio'!$J$5:$J$29&lt;0.9)*('P15-Portfolio'!$I$5:$I$29&lt;0.9)),$A936)),"")</f>
        <v>Hospital Bangalore</v>
      </c>
      <c r="D936" t="str" cm="1">
        <f t="array" ref="D936">IFERROR(INDEX('P15-Portfolio'!$C$5:$C$29,_xlfn.AGGREGATE(15,6,(ROW('P15-Portfolio'!$A$5:$A$29)-4)/(('P15-Portfolio'!$J$5:$J$29&lt;0.9)*('P15-Portfolio'!$I$5:$I$29&lt;0.9)),$A936)),"")</f>
        <v>India</v>
      </c>
      <c r="E936" s="22" cm="1">
        <f t="array" ref="E936">IFERROR(INDEX('P15-Portfolio'!$I$5:$I$29,_xlfn.AGGREGATE(15,6,(ROW('P15-Portfolio'!$A$5:$A$29)-4)/(('P15-Portfolio'!$J$5:$J$29&lt;0.9)*('P15-Portfolio'!$I$5:$I$29&lt;0.9)),$A936)),"")</f>
        <v>0.78</v>
      </c>
      <c r="F936" s="22" cm="1">
        <f t="array" ref="F936">IFERROR(INDEX('P15-Portfolio'!$J$5:$J$29,_xlfn.AGGREGATE(15,6,(ROW('P15-Portfolio'!$A$5:$A$29)-4)/(('P15-Portfolio'!$J$5:$J$29&lt;0.9)*('P15-Portfolio'!$I$5:$I$29&lt;0.9)),$A936)),"")</f>
        <v>0.89</v>
      </c>
    </row>
    <row r="937" spans="1:6">
      <c r="A937">
        <v>4</v>
      </c>
      <c r="B937" t="str" cm="1">
        <f t="array" ref="B937">IFERROR(INDEX('P15-Portfolio'!$A$5:$A$29,_xlfn.AGGREGATE(15,6,(ROW('P15-Portfolio'!$A$5:$A$29)-4)/(('P15-Portfolio'!$J$5:$J$29&lt;0.9)*('P15-Portfolio'!$I$5:$I$29&lt;0.9)),$A937)),"")</f>
        <v/>
      </c>
      <c r="C937" t="str" cm="1">
        <f t="array" ref="C937">IFERROR(INDEX('P15-Portfolio'!$B$5:$B$29,_xlfn.AGGREGATE(15,6,(ROW('P15-Portfolio'!$A$5:$A$29)-4)/(('P15-Portfolio'!$J$5:$J$29&lt;0.9)*('P15-Portfolio'!$I$5:$I$29&lt;0.9)),$A937)),"")</f>
        <v/>
      </c>
      <c r="D937" t="str" cm="1">
        <f t="array" ref="D937">IFERROR(INDEX('P15-Portfolio'!$C$5:$C$29,_xlfn.AGGREGATE(15,6,(ROW('P15-Portfolio'!$A$5:$A$29)-4)/(('P15-Portfolio'!$J$5:$J$29&lt;0.9)*('P15-Portfolio'!$I$5:$I$29&lt;0.9)),$A937)),"")</f>
        <v/>
      </c>
      <c r="E937" s="22" t="str" cm="1">
        <f t="array" ref="E937">IFERROR(INDEX('P15-Portfolio'!$I$5:$I$29,_xlfn.AGGREGATE(15,6,(ROW('P15-Portfolio'!$A$5:$A$29)-4)/(('P15-Portfolio'!$J$5:$J$29&lt;0.9)*('P15-Portfolio'!$I$5:$I$29&lt;0.9)),$A937)),"")</f>
        <v/>
      </c>
      <c r="F937" s="22" t="str" cm="1">
        <f t="array" ref="F937">IFERROR(INDEX('P15-Portfolio'!$J$5:$J$29,_xlfn.AGGREGATE(15,6,(ROW('P15-Portfolio'!$A$5:$A$29)-4)/(('P15-Portfolio'!$J$5:$J$29&lt;0.9)*('P15-Portfolio'!$I$5:$I$29&lt;0.9)),$A937)),"")</f>
        <v/>
      </c>
    </row>
    <row r="938" spans="1:6">
      <c r="A938">
        <v>5</v>
      </c>
      <c r="B938" t="str" cm="1">
        <f t="array" ref="B938">IFERROR(INDEX('P15-Portfolio'!$A$5:$A$29,_xlfn.AGGREGATE(15,6,(ROW('P15-Portfolio'!$A$5:$A$29)-4)/(('P15-Portfolio'!$J$5:$J$29&lt;0.9)*('P15-Portfolio'!$I$5:$I$29&lt;0.9)),$A938)),"")</f>
        <v/>
      </c>
      <c r="C938" t="str" cm="1">
        <f t="array" ref="C938">IFERROR(INDEX('P15-Portfolio'!$B$5:$B$29,_xlfn.AGGREGATE(15,6,(ROW('P15-Portfolio'!$A$5:$A$29)-4)/(('P15-Portfolio'!$J$5:$J$29&lt;0.9)*('P15-Portfolio'!$I$5:$I$29&lt;0.9)),$A938)),"")</f>
        <v/>
      </c>
      <c r="D938" t="str" cm="1">
        <f t="array" ref="D938">IFERROR(INDEX('P15-Portfolio'!$C$5:$C$29,_xlfn.AGGREGATE(15,6,(ROW('P15-Portfolio'!$A$5:$A$29)-4)/(('P15-Portfolio'!$J$5:$J$29&lt;0.9)*('P15-Portfolio'!$I$5:$I$29&lt;0.9)),$A938)),"")</f>
        <v/>
      </c>
      <c r="E938" s="22" t="str" cm="1">
        <f t="array" ref="E938">IFERROR(INDEX('P15-Portfolio'!$I$5:$I$29,_xlfn.AGGREGATE(15,6,(ROW('P15-Portfolio'!$A$5:$A$29)-4)/(('P15-Portfolio'!$J$5:$J$29&lt;0.9)*('P15-Portfolio'!$I$5:$I$29&lt;0.9)),$A938)),"")</f>
        <v/>
      </c>
      <c r="F938" s="22" t="str" cm="1">
        <f t="array" ref="F938">IFERROR(INDEX('P15-Portfolio'!$J$5:$J$29,_xlfn.AGGREGATE(15,6,(ROW('P15-Portfolio'!$A$5:$A$29)-4)/(('P15-Portfolio'!$J$5:$J$29&lt;0.9)*('P15-Portfolio'!$I$5:$I$29&lt;0.9)),$A938)),"")</f>
        <v/>
      </c>
    </row>
    <row r="939" spans="1:6">
      <c r="A939">
        <v>6</v>
      </c>
      <c r="B939" t="str" cm="1">
        <f t="array" ref="B939">IFERROR(INDEX('P15-Portfolio'!$A$5:$A$29,_xlfn.AGGREGATE(15,6,(ROW('P15-Portfolio'!$A$5:$A$29)-4)/(('P15-Portfolio'!$J$5:$J$29&lt;0.9)*('P15-Portfolio'!$I$5:$I$29&lt;0.9)),$A939)),"")</f>
        <v/>
      </c>
      <c r="C939" t="str" cm="1">
        <f t="array" ref="C939">IFERROR(INDEX('P15-Portfolio'!$B$5:$B$29,_xlfn.AGGREGATE(15,6,(ROW('P15-Portfolio'!$A$5:$A$29)-4)/(('P15-Portfolio'!$J$5:$J$29&lt;0.9)*('P15-Portfolio'!$I$5:$I$29&lt;0.9)),$A939)),"")</f>
        <v/>
      </c>
      <c r="D939" t="str" cm="1">
        <f t="array" ref="D939">IFERROR(INDEX('P15-Portfolio'!$C$5:$C$29,_xlfn.AGGREGATE(15,6,(ROW('P15-Portfolio'!$A$5:$A$29)-4)/(('P15-Portfolio'!$J$5:$J$29&lt;0.9)*('P15-Portfolio'!$I$5:$I$29&lt;0.9)),$A939)),"")</f>
        <v/>
      </c>
      <c r="E939" s="22" t="str" cm="1">
        <f t="array" ref="E939">IFERROR(INDEX('P15-Portfolio'!$I$5:$I$29,_xlfn.AGGREGATE(15,6,(ROW('P15-Portfolio'!$A$5:$A$29)-4)/(('P15-Portfolio'!$J$5:$J$29&lt;0.9)*('P15-Portfolio'!$I$5:$I$29&lt;0.9)),$A939)),"")</f>
        <v/>
      </c>
      <c r="F939" s="22" t="str" cm="1">
        <f t="array" ref="F939">IFERROR(INDEX('P15-Portfolio'!$J$5:$J$29,_xlfn.AGGREGATE(15,6,(ROW('P15-Portfolio'!$A$5:$A$29)-4)/(('P15-Portfolio'!$J$5:$J$29&lt;0.9)*('P15-Portfolio'!$I$5:$I$29&lt;0.9)),$A939)),"")</f>
        <v/>
      </c>
    </row>
    <row r="940" spans="1:6">
      <c r="A940">
        <v>7</v>
      </c>
      <c r="B940" t="str" cm="1">
        <f t="array" ref="B940">IFERROR(INDEX('P15-Portfolio'!$A$5:$A$29,_xlfn.AGGREGATE(15,6,(ROW('P15-Portfolio'!$A$5:$A$29)-4)/(('P15-Portfolio'!$J$5:$J$29&lt;0.9)*('P15-Portfolio'!$I$5:$I$29&lt;0.9)),$A940)),"")</f>
        <v/>
      </c>
      <c r="C940" t="str" cm="1">
        <f t="array" ref="C940">IFERROR(INDEX('P15-Portfolio'!$B$5:$B$29,_xlfn.AGGREGATE(15,6,(ROW('P15-Portfolio'!$A$5:$A$29)-4)/(('P15-Portfolio'!$J$5:$J$29&lt;0.9)*('P15-Portfolio'!$I$5:$I$29&lt;0.9)),$A940)),"")</f>
        <v/>
      </c>
      <c r="D940" t="str" cm="1">
        <f t="array" ref="D940">IFERROR(INDEX('P15-Portfolio'!$C$5:$C$29,_xlfn.AGGREGATE(15,6,(ROW('P15-Portfolio'!$A$5:$A$29)-4)/(('P15-Portfolio'!$J$5:$J$29&lt;0.9)*('P15-Portfolio'!$I$5:$I$29&lt;0.9)),$A940)),"")</f>
        <v/>
      </c>
      <c r="E940" s="22" t="str" cm="1">
        <f t="array" ref="E940">IFERROR(INDEX('P15-Portfolio'!$I$5:$I$29,_xlfn.AGGREGATE(15,6,(ROW('P15-Portfolio'!$A$5:$A$29)-4)/(('P15-Portfolio'!$J$5:$J$29&lt;0.9)*('P15-Portfolio'!$I$5:$I$29&lt;0.9)),$A940)),"")</f>
        <v/>
      </c>
      <c r="F940" s="22" t="str" cm="1">
        <f t="array" ref="F940">IFERROR(INDEX('P15-Portfolio'!$J$5:$J$29,_xlfn.AGGREGATE(15,6,(ROW('P15-Portfolio'!$A$5:$A$29)-4)/(('P15-Portfolio'!$J$5:$J$29&lt;0.9)*('P15-Portfolio'!$I$5:$I$29&lt;0.9)),$A940)),"")</f>
        <v/>
      </c>
    </row>
    <row r="941" spans="1:6">
      <c r="A941">
        <v>8</v>
      </c>
      <c r="B941" t="str" cm="1">
        <f t="array" ref="B941">IFERROR(INDEX('P15-Portfolio'!$A$5:$A$29,_xlfn.AGGREGATE(15,6,(ROW('P15-Portfolio'!$A$5:$A$29)-4)/(('P15-Portfolio'!$J$5:$J$29&lt;0.9)*('P15-Portfolio'!$I$5:$I$29&lt;0.9)),$A941)),"")</f>
        <v/>
      </c>
      <c r="C941" t="str" cm="1">
        <f t="array" ref="C941">IFERROR(INDEX('P15-Portfolio'!$B$5:$B$29,_xlfn.AGGREGATE(15,6,(ROW('P15-Portfolio'!$A$5:$A$29)-4)/(('P15-Portfolio'!$J$5:$J$29&lt;0.9)*('P15-Portfolio'!$I$5:$I$29&lt;0.9)),$A941)),"")</f>
        <v/>
      </c>
      <c r="D941" t="str" cm="1">
        <f t="array" ref="D941">IFERROR(INDEX('P15-Portfolio'!$C$5:$C$29,_xlfn.AGGREGATE(15,6,(ROW('P15-Portfolio'!$A$5:$A$29)-4)/(('P15-Portfolio'!$J$5:$J$29&lt;0.9)*('P15-Portfolio'!$I$5:$I$29&lt;0.9)),$A941)),"")</f>
        <v/>
      </c>
      <c r="E941" s="22" t="str" cm="1">
        <f t="array" ref="E941">IFERROR(INDEX('P15-Portfolio'!$I$5:$I$29,_xlfn.AGGREGATE(15,6,(ROW('P15-Portfolio'!$A$5:$A$29)-4)/(('P15-Portfolio'!$J$5:$J$29&lt;0.9)*('P15-Portfolio'!$I$5:$I$29&lt;0.9)),$A941)),"")</f>
        <v/>
      </c>
      <c r="F941" s="22" t="str" cm="1">
        <f t="array" ref="F941">IFERROR(INDEX('P15-Portfolio'!$J$5:$J$29,_xlfn.AGGREGATE(15,6,(ROW('P15-Portfolio'!$A$5:$A$29)-4)/(('P15-Portfolio'!$J$5:$J$29&lt;0.9)*('P15-Portfolio'!$I$5:$I$29&lt;0.9)),$A941)),"")</f>
        <v/>
      </c>
    </row>
    <row r="942" spans="1:6">
      <c r="A942" s="44" t="str">
        <f>"ANSWER: "&amp;$B$932&amp;" of 25 projects are in the red zone (both CPI and SPI below 0.90) and are listed above. Separately "&amp;$D$932&amp;" projects have CPI below 0.90 and "&amp;$F$932&amp;" have SPI below 0.90. These need recovery plans before any new work is taken on."</f>
        <v>ANSWER: 3 of 25 projects are in the red zone (both CPI and SPI below 0.90) and are listed above. Separately 11 projects have CPI below 0.90 and 9 have SPI below 0.90. These need recovery plans before any new work is taken on.</v>
      </c>
    </row>
    <row r="944" spans="1:6">
      <c r="A944" s="42" t="s">
        <v>1754</v>
      </c>
    </row>
    <row r="945" spans="1:6">
      <c r="A945" s="43" t="s">
        <v>840</v>
      </c>
      <c r="B945" s="43" t="s">
        <v>841</v>
      </c>
      <c r="C945" s="43" t="s">
        <v>1741</v>
      </c>
      <c r="D945" s="43" t="s">
        <v>68</v>
      </c>
      <c r="E945" s="43" t="s">
        <v>655</v>
      </c>
      <c r="F945" s="43" t="s">
        <v>1755</v>
      </c>
    </row>
    <row r="946" spans="1:6">
      <c r="A946" s="22">
        <f>'P15-Portfolio'!$I$5</f>
        <v>0.91</v>
      </c>
      <c r="B946" s="22">
        <f>'P15-Portfolio'!$J$5</f>
        <v>0.79</v>
      </c>
      <c r="C946" s="48">
        <f>'P15-Portfolio'!$F$5</f>
        <v>95528859</v>
      </c>
      <c r="D946" t="str">
        <f>'P15-Portfolio'!$A$5</f>
        <v>WT-2000</v>
      </c>
      <c r="E946" t="str">
        <f>'P15-Portfolio'!$E$5</f>
        <v>Completed</v>
      </c>
      <c r="F946" t="str">
        <f>'P15-Portfolio'!$K$5</f>
        <v>Medium</v>
      </c>
    </row>
    <row r="947" spans="1:6">
      <c r="A947" s="22">
        <f>'P15-Portfolio'!$I$6</f>
        <v>1</v>
      </c>
      <c r="B947" s="22">
        <f>'P15-Portfolio'!$J$6</f>
        <v>1.1200000000000001</v>
      </c>
      <c r="C947" s="48">
        <f>'P15-Portfolio'!$F$6</f>
        <v>93252435</v>
      </c>
      <c r="D947" t="str">
        <f>'P15-Portfolio'!$A$6</f>
        <v>WT-2001</v>
      </c>
      <c r="E947" t="str">
        <f>'P15-Portfolio'!$E$6</f>
        <v>Completed</v>
      </c>
      <c r="F947" t="str">
        <f>'P15-Portfolio'!$K$6</f>
        <v>High</v>
      </c>
    </row>
    <row r="948" spans="1:6">
      <c r="A948" s="22">
        <f>'P15-Portfolio'!$I$7</f>
        <v>1.06</v>
      </c>
      <c r="B948" s="22">
        <f>'P15-Portfolio'!$J$7</f>
        <v>0.99</v>
      </c>
      <c r="C948" s="48">
        <f>'P15-Portfolio'!$F$7</f>
        <v>60343779</v>
      </c>
      <c r="D948" t="str">
        <f>'P15-Portfolio'!$A$7</f>
        <v>WT-2002</v>
      </c>
      <c r="E948" t="str">
        <f>'P15-Portfolio'!$E$7</f>
        <v>Completed</v>
      </c>
      <c r="F948" t="str">
        <f>'P15-Portfolio'!$K$7</f>
        <v>Medium</v>
      </c>
    </row>
    <row r="949" spans="1:6">
      <c r="A949" s="22">
        <f>'P15-Portfolio'!$I$8</f>
        <v>0.9</v>
      </c>
      <c r="B949" s="22">
        <f>'P15-Portfolio'!$J$8</f>
        <v>1.04</v>
      </c>
      <c r="C949" s="48">
        <f>'P15-Portfolio'!$F$8</f>
        <v>53319528</v>
      </c>
      <c r="D949" t="str">
        <f>'P15-Portfolio'!$A$8</f>
        <v>WT-2003</v>
      </c>
      <c r="E949" t="str">
        <f>'P15-Portfolio'!$E$8</f>
        <v>Completed</v>
      </c>
      <c r="F949" t="str">
        <f>'P15-Portfolio'!$K$8</f>
        <v>High</v>
      </c>
    </row>
    <row r="950" spans="1:6">
      <c r="A950" s="22">
        <f>'P15-Portfolio'!$I$9</f>
        <v>0.81</v>
      </c>
      <c r="B950" s="22">
        <f>'P15-Portfolio'!$J$9</f>
        <v>1.0900000000000001</v>
      </c>
      <c r="C950" s="48">
        <f>'P15-Portfolio'!$F$9</f>
        <v>45512501</v>
      </c>
      <c r="D950" t="str">
        <f>'P15-Portfolio'!$A$9</f>
        <v>WT-2004</v>
      </c>
      <c r="E950" t="str">
        <f>'P15-Portfolio'!$E$9</f>
        <v>On Hold</v>
      </c>
      <c r="F950" t="str">
        <f>'P15-Portfolio'!$K$9</f>
        <v>Low</v>
      </c>
    </row>
    <row r="951" spans="1:6">
      <c r="A951" s="22">
        <f>'P15-Portfolio'!$I$10</f>
        <v>0.78</v>
      </c>
      <c r="B951" s="22">
        <f>'P15-Portfolio'!$J$10</f>
        <v>0.86</v>
      </c>
      <c r="C951" s="48">
        <f>'P15-Portfolio'!$F$10</f>
        <v>17655004</v>
      </c>
      <c r="D951" t="str">
        <f>'P15-Portfolio'!$A$10</f>
        <v>WT-2005</v>
      </c>
      <c r="E951" t="str">
        <f>'P15-Portfolio'!$E$10</f>
        <v>On Hold</v>
      </c>
      <c r="F951" t="str">
        <f>'P15-Portfolio'!$K$10</f>
        <v>Medium</v>
      </c>
    </row>
    <row r="952" spans="1:6">
      <c r="A952" s="22">
        <f>'P15-Portfolio'!$I$11</f>
        <v>1.1599999999999999</v>
      </c>
      <c r="B952" s="22">
        <f>'P15-Portfolio'!$J$11</f>
        <v>1.04</v>
      </c>
      <c r="C952" s="48">
        <f>'P15-Portfolio'!$F$11</f>
        <v>17335296</v>
      </c>
      <c r="D952" t="str">
        <f>'P15-Portfolio'!$A$11</f>
        <v>WT-2006</v>
      </c>
      <c r="E952" t="str">
        <f>'P15-Portfolio'!$E$11</f>
        <v>Completed</v>
      </c>
      <c r="F952" t="str">
        <f>'P15-Portfolio'!$K$11</f>
        <v>High</v>
      </c>
    </row>
    <row r="953" spans="1:6">
      <c r="A953" s="22">
        <f>'P15-Portfolio'!$I$12</f>
        <v>1.1100000000000001</v>
      </c>
      <c r="B953" s="22">
        <f>'P15-Portfolio'!$J$12</f>
        <v>0.79</v>
      </c>
      <c r="C953" s="48">
        <f>'P15-Portfolio'!$F$12</f>
        <v>97555887</v>
      </c>
      <c r="D953" t="str">
        <f>'P15-Portfolio'!$A$12</f>
        <v>WT-2007</v>
      </c>
      <c r="E953" t="str">
        <f>'P15-Portfolio'!$E$12</f>
        <v>Planning</v>
      </c>
      <c r="F953" t="str">
        <f>'P15-Portfolio'!$K$12</f>
        <v>High</v>
      </c>
    </row>
    <row r="954" spans="1:6">
      <c r="A954" s="22">
        <f>'P15-Portfolio'!$I$13</f>
        <v>1.1599999999999999</v>
      </c>
      <c r="B954" s="22">
        <f>'P15-Portfolio'!$J$13</f>
        <v>0.88</v>
      </c>
      <c r="C954" s="48">
        <f>'P15-Portfolio'!$F$13</f>
        <v>15533057</v>
      </c>
      <c r="D954" t="str">
        <f>'P15-Portfolio'!$A$13</f>
        <v>WT-2008</v>
      </c>
      <c r="E954" t="str">
        <f>'P15-Portfolio'!$E$13</f>
        <v>Planning</v>
      </c>
      <c r="F954" t="str">
        <f>'P15-Portfolio'!$K$13</f>
        <v>Critical</v>
      </c>
    </row>
    <row r="955" spans="1:6">
      <c r="A955" s="22">
        <f>'P15-Portfolio'!$I$14</f>
        <v>1.02</v>
      </c>
      <c r="B955" s="22">
        <f>'P15-Portfolio'!$J$14</f>
        <v>1</v>
      </c>
      <c r="C955" s="48">
        <f>'P15-Portfolio'!$F$14</f>
        <v>92614538</v>
      </c>
      <c r="D955" t="str">
        <f>'P15-Portfolio'!$A$14</f>
        <v>WT-2009</v>
      </c>
      <c r="E955" t="str">
        <f>'P15-Portfolio'!$E$14</f>
        <v>On Hold</v>
      </c>
      <c r="F955" t="str">
        <f>'P15-Portfolio'!$K$14</f>
        <v>Low</v>
      </c>
    </row>
    <row r="956" spans="1:6">
      <c r="A956" s="22">
        <f>'P15-Portfolio'!$I$15</f>
        <v>0.86</v>
      </c>
      <c r="B956" s="22">
        <f>'P15-Portfolio'!$J$15</f>
        <v>1.03</v>
      </c>
      <c r="C956" s="48">
        <f>'P15-Portfolio'!$F$15</f>
        <v>47857940</v>
      </c>
      <c r="D956" t="str">
        <f>'P15-Portfolio'!$A$15</f>
        <v>WT-2010</v>
      </c>
      <c r="E956" t="str">
        <f>'P15-Portfolio'!$E$15</f>
        <v>In Progress</v>
      </c>
      <c r="F956" t="str">
        <f>'P15-Portfolio'!$K$15</f>
        <v>Medium</v>
      </c>
    </row>
    <row r="957" spans="1:6">
      <c r="A957" s="22">
        <f>'P15-Portfolio'!$I$16</f>
        <v>0.75</v>
      </c>
      <c r="B957" s="22">
        <f>'P15-Portfolio'!$J$16</f>
        <v>0.92</v>
      </c>
      <c r="C957" s="48">
        <f>'P15-Portfolio'!$F$16</f>
        <v>84877290</v>
      </c>
      <c r="D957" t="str">
        <f>'P15-Portfolio'!$A$16</f>
        <v>WT-2011</v>
      </c>
      <c r="E957" t="str">
        <f>'P15-Portfolio'!$E$16</f>
        <v>Planning</v>
      </c>
      <c r="F957" t="str">
        <f>'P15-Portfolio'!$K$16</f>
        <v>Critical</v>
      </c>
    </row>
    <row r="958" spans="1:6">
      <c r="A958" s="22">
        <f>'P15-Portfolio'!$I$17</f>
        <v>0.72</v>
      </c>
      <c r="B958" s="22">
        <f>'P15-Portfolio'!$J$17</f>
        <v>0.91</v>
      </c>
      <c r="C958" s="48">
        <f>'P15-Portfolio'!$F$17</f>
        <v>16079017</v>
      </c>
      <c r="D958" t="str">
        <f>'P15-Portfolio'!$A$17</f>
        <v>WT-2012</v>
      </c>
      <c r="E958" t="str">
        <f>'P15-Portfolio'!$E$17</f>
        <v>Completed</v>
      </c>
      <c r="F958" t="str">
        <f>'P15-Portfolio'!$K$17</f>
        <v>Low</v>
      </c>
    </row>
    <row r="959" spans="1:6">
      <c r="A959" s="22">
        <f>'P15-Portfolio'!$I$18</f>
        <v>0.77</v>
      </c>
      <c r="B959" s="22">
        <f>'P15-Portfolio'!$J$18</f>
        <v>0.97</v>
      </c>
      <c r="C959" s="48">
        <f>'P15-Portfolio'!$F$18</f>
        <v>98666595</v>
      </c>
      <c r="D959" t="str">
        <f>'P15-Portfolio'!$A$18</f>
        <v>WT-2013</v>
      </c>
      <c r="E959" t="str">
        <f>'P15-Portfolio'!$E$18</f>
        <v>Planning</v>
      </c>
      <c r="F959" t="str">
        <f>'P15-Portfolio'!$K$18</f>
        <v>Critical</v>
      </c>
    </row>
    <row r="960" spans="1:6">
      <c r="A960" s="22">
        <f>'P15-Portfolio'!$I$19</f>
        <v>0.96</v>
      </c>
      <c r="B960" s="22">
        <f>'P15-Portfolio'!$J$19</f>
        <v>0.85</v>
      </c>
      <c r="C960" s="48">
        <f>'P15-Portfolio'!$F$19</f>
        <v>80318641</v>
      </c>
      <c r="D960" t="str">
        <f>'P15-Portfolio'!$A$19</f>
        <v>WT-2014</v>
      </c>
      <c r="E960" t="str">
        <f>'P15-Portfolio'!$E$19</f>
        <v>On Hold</v>
      </c>
      <c r="F960" t="str">
        <f>'P15-Portfolio'!$K$19</f>
        <v>High</v>
      </c>
    </row>
    <row r="961" spans="1:6">
      <c r="A961" s="22">
        <f>'P15-Portfolio'!$I$20</f>
        <v>0.88</v>
      </c>
      <c r="B961" s="22">
        <f>'P15-Portfolio'!$J$20</f>
        <v>0.83</v>
      </c>
      <c r="C961" s="48">
        <f>'P15-Portfolio'!$F$20</f>
        <v>20103503</v>
      </c>
      <c r="D961" t="str">
        <f>'P15-Portfolio'!$A$20</f>
        <v>WT-2015</v>
      </c>
      <c r="E961" t="str">
        <f>'P15-Portfolio'!$E$20</f>
        <v>In Progress</v>
      </c>
      <c r="F961" t="str">
        <f>'P15-Portfolio'!$K$20</f>
        <v>High</v>
      </c>
    </row>
    <row r="962" spans="1:6">
      <c r="A962" s="22">
        <f>'P15-Portfolio'!$I$21</f>
        <v>1.1000000000000001</v>
      </c>
      <c r="B962" s="22">
        <f>'P15-Portfolio'!$J$21</f>
        <v>1</v>
      </c>
      <c r="C962" s="48">
        <f>'P15-Portfolio'!$F$21</f>
        <v>51938140</v>
      </c>
      <c r="D962" t="str">
        <f>'P15-Portfolio'!$A$21</f>
        <v>WT-2016</v>
      </c>
      <c r="E962" t="str">
        <f>'P15-Portfolio'!$E$21</f>
        <v>On Hold</v>
      </c>
      <c r="F962" t="str">
        <f>'P15-Portfolio'!$K$21</f>
        <v>Critical</v>
      </c>
    </row>
    <row r="963" spans="1:6">
      <c r="A963" s="22">
        <f>'P15-Portfolio'!$I$22</f>
        <v>1.06</v>
      </c>
      <c r="B963" s="22">
        <f>'P15-Portfolio'!$J$22</f>
        <v>0.78</v>
      </c>
      <c r="C963" s="48">
        <f>'P15-Portfolio'!$F$22</f>
        <v>96987358</v>
      </c>
      <c r="D963" t="str">
        <f>'P15-Portfolio'!$A$22</f>
        <v>WT-2017</v>
      </c>
      <c r="E963" t="str">
        <f>'P15-Portfolio'!$E$22</f>
        <v>On Hold</v>
      </c>
      <c r="F963" t="str">
        <f>'P15-Portfolio'!$K$22</f>
        <v>Low</v>
      </c>
    </row>
    <row r="964" spans="1:6">
      <c r="A964" s="22">
        <f>'P15-Portfolio'!$I$23</f>
        <v>1.1000000000000001</v>
      </c>
      <c r="B964" s="22">
        <f>'P15-Portfolio'!$J$23</f>
        <v>0.87</v>
      </c>
      <c r="C964" s="48">
        <f>'P15-Portfolio'!$F$23</f>
        <v>43612439</v>
      </c>
      <c r="D964" t="str">
        <f>'P15-Portfolio'!$A$23</f>
        <v>WT-2018</v>
      </c>
      <c r="E964" t="str">
        <f>'P15-Portfolio'!$E$23</f>
        <v>On Hold</v>
      </c>
      <c r="F964" t="str">
        <f>'P15-Portfolio'!$K$23</f>
        <v>Critical</v>
      </c>
    </row>
    <row r="965" spans="1:6">
      <c r="A965" s="22">
        <f>'P15-Portfolio'!$I$24</f>
        <v>0.96</v>
      </c>
      <c r="B965" s="22">
        <f>'P15-Portfolio'!$J$24</f>
        <v>0.85</v>
      </c>
      <c r="C965" s="48">
        <f>'P15-Portfolio'!$F$24</f>
        <v>77209870</v>
      </c>
      <c r="D965" t="str">
        <f>'P15-Portfolio'!$A$24</f>
        <v>WT-2019</v>
      </c>
      <c r="E965" t="str">
        <f>'P15-Portfolio'!$E$24</f>
        <v>On Hold</v>
      </c>
      <c r="F965" t="str">
        <f>'P15-Portfolio'!$K$24</f>
        <v>Critical</v>
      </c>
    </row>
    <row r="966" spans="1:6">
      <c r="A966" s="22">
        <f>'P15-Portfolio'!$I$25</f>
        <v>0.96</v>
      </c>
      <c r="B966" s="22">
        <f>'P15-Portfolio'!$J$25</f>
        <v>0.85</v>
      </c>
      <c r="C966" s="48">
        <f>'P15-Portfolio'!$F$25</f>
        <v>83249598</v>
      </c>
      <c r="D966" t="str">
        <f>'P15-Portfolio'!$A$25</f>
        <v>WT-2020</v>
      </c>
      <c r="E966" t="str">
        <f>'P15-Portfolio'!$E$25</f>
        <v>Planning</v>
      </c>
      <c r="F966" t="str">
        <f>'P15-Portfolio'!$K$25</f>
        <v>Low</v>
      </c>
    </row>
    <row r="967" spans="1:6">
      <c r="A967" s="22">
        <f>'P15-Portfolio'!$I$26</f>
        <v>0.7</v>
      </c>
      <c r="B967" s="22">
        <f>'P15-Portfolio'!$J$26</f>
        <v>0.91</v>
      </c>
      <c r="C967" s="48">
        <f>'P15-Portfolio'!$F$26</f>
        <v>12124981</v>
      </c>
      <c r="D967" t="str">
        <f>'P15-Portfolio'!$A$26</f>
        <v>WT-2021</v>
      </c>
      <c r="E967" t="str">
        <f>'P15-Portfolio'!$E$26</f>
        <v>Completed</v>
      </c>
      <c r="F967" t="str">
        <f>'P15-Portfolio'!$K$26</f>
        <v>High</v>
      </c>
    </row>
    <row r="968" spans="1:6">
      <c r="A968" s="22">
        <f>'P15-Portfolio'!$I$27</f>
        <v>1.19</v>
      </c>
      <c r="B968" s="22">
        <f>'P15-Portfolio'!$J$27</f>
        <v>0.95</v>
      </c>
      <c r="C968" s="48">
        <f>'P15-Portfolio'!$F$27</f>
        <v>44258091</v>
      </c>
      <c r="D968" t="str">
        <f>'P15-Portfolio'!$A$27</f>
        <v>WT-2022</v>
      </c>
      <c r="E968" t="str">
        <f>'P15-Portfolio'!$E$27</f>
        <v>In Progress</v>
      </c>
      <c r="F968" t="str">
        <f>'P15-Portfolio'!$K$27</f>
        <v>Low</v>
      </c>
    </row>
    <row r="969" spans="1:6">
      <c r="A969" s="22">
        <f>'P15-Portfolio'!$I$28</f>
        <v>0.93</v>
      </c>
      <c r="B969" s="22">
        <f>'P15-Portfolio'!$J$28</f>
        <v>1.1200000000000001</v>
      </c>
      <c r="C969" s="48">
        <f>'P15-Portfolio'!$F$28</f>
        <v>30020518</v>
      </c>
      <c r="D969" t="str">
        <f>'P15-Portfolio'!$A$28</f>
        <v>WT-2023</v>
      </c>
      <c r="E969" t="str">
        <f>'P15-Portfolio'!$E$28</f>
        <v>In Progress</v>
      </c>
      <c r="F969" t="str">
        <f>'P15-Portfolio'!$K$28</f>
        <v>Low</v>
      </c>
    </row>
    <row r="970" spans="1:6">
      <c r="A970" s="22">
        <f>'P15-Portfolio'!$I$29</f>
        <v>0.78</v>
      </c>
      <c r="B970" s="22">
        <f>'P15-Portfolio'!$J$29</f>
        <v>0.89</v>
      </c>
      <c r="C970" s="48">
        <f>'P15-Portfolio'!$F$29</f>
        <v>49770958</v>
      </c>
      <c r="D970" t="str">
        <f>'P15-Portfolio'!$A$29</f>
        <v>WT-2024</v>
      </c>
      <c r="E970" t="str">
        <f>'P15-Portfolio'!$E$29</f>
        <v>Completed</v>
      </c>
      <c r="F970" t="str">
        <f>'P15-Portfolio'!$K$29</f>
        <v>High</v>
      </c>
    </row>
    <row r="971" spans="1:6">
      <c r="A971" s="43" t="s">
        <v>1756</v>
      </c>
      <c r="B971" s="43" t="s">
        <v>1757</v>
      </c>
      <c r="C971" s="43" t="s">
        <v>1316</v>
      </c>
      <c r="D971" s="43" t="s">
        <v>1318</v>
      </c>
      <c r="E971" s="43" t="s">
        <v>1741</v>
      </c>
    </row>
    <row r="972" spans="1:6">
      <c r="A972" t="s">
        <v>1758</v>
      </c>
      <c r="B972" t="s">
        <v>1759</v>
      </c>
      <c r="C972" cm="1">
        <f t="array" ref="C972">SUMPRODUCT(('P15-Portfolio'!$I$5:$I$29&gt;=1)*('P15-Portfolio'!$J$5:$J$29&gt;=1)*1)</f>
        <v>4</v>
      </c>
      <c r="D972" s="39">
        <f>C972/$C$976</f>
        <v>0.16</v>
      </c>
      <c r="E972" s="48" cm="1">
        <f t="array" ref="E972">SUMPRODUCT(('P15-Portfolio'!$I$5:$I$29&gt;=1)*('P15-Portfolio'!$J$5:$J$29&gt;=1)*'P15-Portfolio'!$F$5:$F$29)</f>
        <v>255140409</v>
      </c>
    </row>
    <row r="973" spans="1:6">
      <c r="A973" t="s">
        <v>1760</v>
      </c>
      <c r="B973" t="s">
        <v>1761</v>
      </c>
      <c r="C973" cm="1">
        <f t="array" ref="C973">SUMPRODUCT(('P15-Portfolio'!$I$5:$I$29&gt;=1)*('P15-Portfolio'!$J$5:$J$29&lt;1)*1)</f>
        <v>6</v>
      </c>
      <c r="D973" s="39">
        <f>C973/$C$976</f>
        <v>0.24</v>
      </c>
      <c r="E973" s="48" cm="1">
        <f t="array" ref="E973">SUMPRODUCT(('P15-Portfolio'!$I$5:$I$29&gt;=1)*('P15-Portfolio'!$J$5:$J$29&lt;1)*'P15-Portfolio'!$F$5:$F$29)</f>
        <v>358290611</v>
      </c>
    </row>
    <row r="974" spans="1:6">
      <c r="A974" t="s">
        <v>1762</v>
      </c>
      <c r="B974" t="s">
        <v>1763</v>
      </c>
      <c r="C974" cm="1">
        <f t="array" ref="C974">SUMPRODUCT(('P15-Portfolio'!$I$5:$I$29&lt;1)*('P15-Portfolio'!$J$5:$J$29&gt;=1)*1)</f>
        <v>4</v>
      </c>
      <c r="D974" s="39">
        <f>C974/$C$976</f>
        <v>0.16</v>
      </c>
      <c r="E974" s="48" cm="1">
        <f t="array" ref="E974">SUMPRODUCT(('P15-Portfolio'!$I$5:$I$29&lt;1)*('P15-Portfolio'!$J$5:$J$29&gt;=1)*'P15-Portfolio'!$F$5:$F$29)</f>
        <v>176710487</v>
      </c>
    </row>
    <row r="975" spans="1:6">
      <c r="A975" t="s">
        <v>1764</v>
      </c>
      <c r="B975" t="s">
        <v>1765</v>
      </c>
      <c r="C975" cm="1">
        <f t="array" ref="C975">SUMPRODUCT(('P15-Portfolio'!$I$5:$I$29&lt;1)*('P15-Portfolio'!$J$5:$J$29&lt;1)*1)</f>
        <v>11</v>
      </c>
      <c r="D975" s="39">
        <f>C975/$C$976</f>
        <v>0.44</v>
      </c>
      <c r="E975" s="48" cm="1">
        <f t="array" ref="E975">SUMPRODUCT(('P15-Portfolio'!$I$5:$I$29&lt;1)*('P15-Portfolio'!$J$5:$J$29&lt;1)*'P15-Portfolio'!$F$5:$F$29)</f>
        <v>635584316</v>
      </c>
    </row>
    <row r="976" spans="1:6">
      <c r="A976" s="36" t="s">
        <v>1307</v>
      </c>
      <c r="B976" s="36"/>
      <c r="C976" s="36">
        <f>SUM(C972:C975)</f>
        <v>25</v>
      </c>
      <c r="D976" s="45">
        <f>SUM(D972:D975)</f>
        <v>1</v>
      </c>
      <c r="E976" s="49">
        <f>SUM(E972:E975)</f>
        <v>1425725823</v>
      </c>
      <c r="F976" s="36"/>
    </row>
    <row r="977" spans="1:6">
      <c r="A977" s="44" t="str">
        <f>"ANSWER: The busiest quadrant is """&amp;INDEX($A$972:$A$975,MATCH(MAX($C$972:$C$975),$C$972:$C$975,0))&amp;""" with "&amp;MAX($C$972:$C$975)&amp;" of 25 projects ("&amp;TEXT(MAX($C$972:$C$975)/$C$976,"0.0%")&amp;") and "&amp;TEXT(INDEX($E$972:$E$975,MATCH(MAX($C$972:$C$975),$C$972:$C$975,0)),"""$""#,##0")&amp;" of budget. Only "&amp;$C$972&amp;" projects are true stars (both indices at or above 1.00)."</f>
        <v>ANSWER: The busiest quadrant is "Late and over cost" with 11 of 25 projects (44.0%) and $63,55,84,316 of budget. Only 4 projects are true stars (both indices at or above 1.00).</v>
      </c>
    </row>
    <row r="979" spans="1:6">
      <c r="A979" s="42" t="s">
        <v>1766</v>
      </c>
    </row>
    <row r="980" spans="1:6">
      <c r="A980" s="43" t="s">
        <v>71</v>
      </c>
      <c r="B980" s="43" t="s">
        <v>1316</v>
      </c>
      <c r="C980" s="43" t="s">
        <v>1743</v>
      </c>
      <c r="D980" s="43" t="s">
        <v>1302</v>
      </c>
      <c r="E980" s="43" t="s">
        <v>1767</v>
      </c>
      <c r="F980" s="43" t="s">
        <v>1768</v>
      </c>
    </row>
    <row r="981" spans="1:6">
      <c r="A981" t="s">
        <v>81</v>
      </c>
      <c r="B981">
        <f>COUNTIF('P15-Portfolio'!$C$5:$C$29,$A981)</f>
        <v>12</v>
      </c>
      <c r="C981" s="39">
        <f>AVERAGEIF('P15-Portfolio'!$C$5:$C$29,$A981,'P15-Portfolio'!$H$5:$H$29)/100</f>
        <v>0.41333333333333333</v>
      </c>
      <c r="D981" s="48">
        <f>SUMIF('P15-Portfolio'!$C$5:$C$29,$A981,'P15-Portfolio'!$F$5:$F$29)</f>
        <v>677634383</v>
      </c>
      <c r="E981" s="48">
        <f>SUMIF('P15-Portfolio'!$C$5:$C$29,$A981,'P15-Portfolio'!$G$5:$G$29)</f>
        <v>269966826</v>
      </c>
      <c r="F981" s="22">
        <f>AVERAGEIF('P15-Portfolio'!$C$5:$C$29,$A981,'P15-Portfolio'!$J$5:$J$29)</f>
        <v>0.90583333333333327</v>
      </c>
    </row>
    <row r="982" spans="1:6">
      <c r="A982" t="s">
        <v>95</v>
      </c>
      <c r="B982">
        <f>COUNTIF('P15-Portfolio'!$C$5:$C$29,$A982)</f>
        <v>10</v>
      </c>
      <c r="C982" s="39">
        <f>AVERAGEIF('P15-Portfolio'!$C$5:$C$29,$A982,'P15-Portfolio'!$H$5:$H$29)/100</f>
        <v>0.627</v>
      </c>
      <c r="D982" s="48">
        <f>SUMIF('P15-Portfolio'!$C$5:$C$29,$A982,'P15-Portfolio'!$F$5:$F$29)</f>
        <v>496939339</v>
      </c>
      <c r="E982" s="48">
        <f>SUMIF('P15-Portfolio'!$C$5:$C$29,$A982,'P15-Portfolio'!$G$5:$G$29)</f>
        <v>336846853</v>
      </c>
      <c r="F982" s="22">
        <f>AVERAGEIF('P15-Portfolio'!$C$5:$C$29,$A982,'P15-Portfolio'!$J$5:$J$29)</f>
        <v>0.95599999999999985</v>
      </c>
    </row>
    <row r="983" spans="1:6">
      <c r="A983" t="s">
        <v>111</v>
      </c>
      <c r="B983">
        <f>COUNTIF('P15-Portfolio'!$C$5:$C$29,$A983)</f>
        <v>3</v>
      </c>
      <c r="C983" s="39">
        <f>AVERAGEIF('P15-Portfolio'!$C$5:$C$29,$A983,'P15-Portfolio'!$H$5:$H$29)/100</f>
        <v>0.40333333333333338</v>
      </c>
      <c r="D983" s="48">
        <f>SUMIF('P15-Portfolio'!$C$5:$C$29,$A983,'P15-Portfolio'!$F$5:$F$29)</f>
        <v>251152101</v>
      </c>
      <c r="E983" s="48">
        <f>SUMIF('P15-Portfolio'!$C$5:$C$29,$A983,'P15-Portfolio'!$G$5:$G$29)</f>
        <v>83958657</v>
      </c>
      <c r="F983" s="22">
        <f>AVERAGEIF('P15-Portfolio'!$C$5:$C$29,$A983,'P15-Portfolio'!$J$5:$J$29)</f>
        <v>0.96666666666666679</v>
      </c>
    </row>
    <row r="984" spans="1:6">
      <c r="A984" s="36" t="s">
        <v>1536</v>
      </c>
      <c r="B984" s="36">
        <f>COUNTA('P15-Portfolio'!$A$5:$A$29)</f>
        <v>25</v>
      </c>
      <c r="C984" s="45">
        <f>AVERAGE('P15-Portfolio'!$H$5:$H$29)/100</f>
        <v>0.49759999999999999</v>
      </c>
      <c r="D984" s="49">
        <f>SUM('P15-Portfolio'!$F$5:$F$29)</f>
        <v>1425725823</v>
      </c>
      <c r="E984" s="49">
        <f>SUM('P15-Portfolio'!$G$5:$G$29)</f>
        <v>690772336</v>
      </c>
      <c r="F984" s="62">
        <f>AVERAGE('P15-Portfolio'!$J$5:$J$29)</f>
        <v>0.93320000000000025</v>
      </c>
    </row>
    <row r="985" spans="1:6">
      <c r="A985" s="44" t="str">
        <f>"ANSWER: "&amp;INDEX($A$981:$A$983,MATCH(MAX($C$981:$C$983),$C$981:$C$983,0))&amp;" is furthest advanced at "&amp;TEXT(MAX($C$981:$C$983),"0.0%")&amp;" average completion, while "&amp;INDEX($A$981:$A$983,MATCH(MIN($C$981:$C$983),$C$981:$C$983,0))&amp;" trails at "&amp;TEXT(MIN($C$981:$C$983),"0.0%")&amp;". Portfolio average completion is "&amp;TEXT($C$984,"0.0%")&amp;"."</f>
        <v>ANSWER: Australia is furthest advanced at 62.7% average completion, while New Zealand trails at 40.3%. Portfolio average completion is 49.8%.</v>
      </c>
    </row>
    <row r="987" spans="1:6">
      <c r="A987" s="42" t="s">
        <v>1769</v>
      </c>
    </row>
    <row r="988" spans="1:6">
      <c r="A988" s="43" t="s">
        <v>1292</v>
      </c>
      <c r="B988" s="43" t="s">
        <v>1757</v>
      </c>
      <c r="C988" s="43" t="s">
        <v>1316</v>
      </c>
      <c r="D988" s="43" t="s">
        <v>1318</v>
      </c>
      <c r="E988" s="43" t="s">
        <v>1741</v>
      </c>
      <c r="F988" s="43" t="s">
        <v>1743</v>
      </c>
    </row>
    <row r="989" spans="1:6">
      <c r="A989" s="73" t="s">
        <v>1770</v>
      </c>
      <c r="B989" t="s">
        <v>1771</v>
      </c>
      <c r="C989" cm="1">
        <f t="array" ref="C989">SUMPRODUCT(('P15-Portfolio'!$J$5:$J$29&gt;=1)*('P15-Portfolio'!$I$5:$I$29&gt;=1)*1)</f>
        <v>4</v>
      </c>
      <c r="D989" s="39">
        <f>C989/$C$992</f>
        <v>0.16</v>
      </c>
      <c r="E989" s="48" cm="1">
        <f t="array" ref="E989">SUMPRODUCT(('P15-Portfolio'!$J$5:$J$29&gt;=1)*('P15-Portfolio'!$I$5:$I$29&gt;=1)*'P15-Portfolio'!$F$5:$F$29)</f>
        <v>255140409</v>
      </c>
      <c r="F989" s="39" cm="1">
        <f t="array" ref="F989">SUMPRODUCT(('P15-Portfolio'!$J$5:$J$29&gt;=1)*('P15-Portfolio'!$I$5:$I$29&gt;=1)*'P15-Portfolio'!$H$5:$H$29)/C989/100</f>
        <v>0.72</v>
      </c>
    </row>
    <row r="990" spans="1:6">
      <c r="A990" s="74" t="s">
        <v>1772</v>
      </c>
      <c r="B990" t="s">
        <v>1773</v>
      </c>
      <c r="C990" cm="1">
        <f t="array" ref="C990">SUMPRODUCT(('P15-Portfolio'!$J$5:$J$29&lt;0.9)*('P15-Portfolio'!$I$5:$I$29&lt;0.9)*1)</f>
        <v>3</v>
      </c>
      <c r="D990" s="39">
        <f>C990/$C$992</f>
        <v>0.12</v>
      </c>
      <c r="E990" s="48" cm="1">
        <f t="array" ref="E990">SUMPRODUCT(('P15-Portfolio'!$J$5:$J$29&lt;0.9)*('P15-Portfolio'!$I$5:$I$29&lt;0.9)*'P15-Portfolio'!$F$5:$F$29)</f>
        <v>87529465</v>
      </c>
      <c r="F990" s="39" cm="1">
        <f t="array" ref="F990">IFERROR(SUMPRODUCT(('P15-Portfolio'!$J$5:$J$29&lt;0.9)*('P15-Portfolio'!$I$5:$I$29&lt;0.9)*'P15-Portfolio'!$H$5:$H$29)/C990/100,"-")</f>
        <v>0.60333333333333339</v>
      </c>
    </row>
    <row r="991" spans="1:6">
      <c r="A991" s="75" t="s">
        <v>1774</v>
      </c>
      <c r="B991" t="s">
        <v>1775</v>
      </c>
      <c r="C991">
        <f>C992-C989-C990</f>
        <v>18</v>
      </c>
      <c r="D991" s="39">
        <f>C991/$C$992</f>
        <v>0.72</v>
      </c>
      <c r="E991" s="48">
        <f>E992-E989-E990</f>
        <v>1083055949</v>
      </c>
    </row>
    <row r="992" spans="1:6">
      <c r="A992" s="36" t="s">
        <v>1307</v>
      </c>
      <c r="B992" s="36"/>
      <c r="C992" s="36">
        <f>COUNTA('P15-Portfolio'!$A$5:$A$29)</f>
        <v>25</v>
      </c>
      <c r="D992" s="45">
        <f>C992/$C$992</f>
        <v>1</v>
      </c>
      <c r="E992" s="49">
        <f>SUM('P15-Portfolio'!$F$5:$F$29)</f>
        <v>1425725823</v>
      </c>
      <c r="F992" s="45">
        <f>AVERAGE('P15-Portfolio'!$H$5:$H$29)/100</f>
        <v>0.49759999999999999</v>
      </c>
    </row>
    <row r="993" spans="1:6">
      <c r="A993" s="44" t="str">
        <f>"ANSWER: "&amp;$C$989&amp;" projects are GREEN ("&amp;TEXT($D$989,"0.0%")&amp;"), "&amp;$C$991&amp;" AMBER ("&amp;TEXT($D$991,"0.0%")&amp;") and "&amp;$C$990&amp;" RED ("&amp;TEXT($D$990,"0.0%")&amp;"). Red projects carry "&amp;TEXT($E$990,"""$""#,##0")&amp;" of budget — that is the portion of the portfolio needing intervention now."</f>
        <v>ANSWER: 4 projects are GREEN (16.0%), 18 AMBER (72.0%) and 3 RED (12.0%). Red projects carry $8,75,29,465 of budget — that is the portion of the portfolio needing intervention now.</v>
      </c>
    </row>
    <row r="995" spans="1:6">
      <c r="A995" s="42" t="s">
        <v>1776</v>
      </c>
    </row>
    <row r="996" spans="1:6">
      <c r="A996" s="36" t="str">
        <f>"1. Scale — WT is running "&amp;$B$923&amp;" projects worth "&amp;TEXT($B$927,"""$""#,##0")&amp;" across India, Australia and New Zealand, "&amp;TEXT($C$984,"0.0%")&amp;" complete on average, with "&amp;TEXT($D$928,"""$""#,##0")&amp;" still to spend."</f>
        <v>1. Scale — WT is running 25 projects worth $1,42,57,25,823 across India, Australia and New Zealand, 49.8% complete on average, with $73,49,53,487 still to spend.</v>
      </c>
      <c r="B996" s="36"/>
      <c r="C996" s="36"/>
      <c r="D996" s="36"/>
      <c r="E996" s="36"/>
      <c r="F996" s="36"/>
    </row>
    <row r="997" spans="1:6">
      <c r="A997" s="36" t="str">
        <f>"2. Performance — average CPI is "&amp;TEXT($F$984,"0.00")&amp;" and average SPI "&amp;TEXT(AVERAGE('P15-Portfolio'!$I$5:$I$29),"0.00")&amp;"; "&amp;$C$989&amp;" projects are green, "&amp;$C$991&amp;" amber and "&amp;$C$990&amp;" red, with "&amp;TEXT($D$927/$B$927,"0.0%")&amp;" of budget drawn against "&amp;TEXT($F$928,"0.0%")&amp;" completion."</f>
        <v>2. Performance — average CPI is 0.93 and average SPI 0.95; 4 projects are green, 18 amber and 3 red, with 48.5% of budget drawn against 49.8% completion.</v>
      </c>
      <c r="B997" s="36"/>
      <c r="C997" s="36"/>
      <c r="D997" s="36"/>
      <c r="E997" s="36"/>
      <c r="F997" s="36"/>
    </row>
    <row r="998" spans="1:6">
      <c r="A998" s="36" t="str">
        <f>"3. Action — the "&amp;$C$990&amp;" red-zone projects ("&amp;TEXT($E$990,"""$""#,##0")&amp;" of budget) plus "&amp;$B$920&amp;" on-hold projects ("&amp;TEXT($D$920,"""$""#,##0")&amp;") are where recovery plans and cash are needed; everything else is tracking within tolerance."</f>
        <v>3. Action — the 3 red-zone projects ($8,75,29,465 of budget) plus 8 on-hold projects ($50,58,48,491) are where recovery plans and cash are needed; everything else is tracking within tolerance.</v>
      </c>
      <c r="B998" s="36"/>
      <c r="C998" s="36"/>
      <c r="D998" s="36"/>
      <c r="E998" s="36"/>
      <c r="F998" s="36"/>
    </row>
    <row r="999" spans="1:6">
      <c r="A999" s="44" t="str">
        <f>"ANSWER: The three lines above are the board summary — scale, performance and the action required."</f>
        <v>ANSWER: The three lines above are the board summary — scale, performance and the action required.</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BE57-B28E-4A66-91D6-5B00B24CA953}">
  <dimension ref="B1:BD760"/>
  <sheetViews>
    <sheetView showGridLines="0" topLeftCell="B134" zoomScale="87" zoomScaleNormal="80" workbookViewId="0">
      <selection activeCell="E172" sqref="E172"/>
    </sheetView>
  </sheetViews>
  <sheetFormatPr defaultRowHeight="14.4"/>
  <cols>
    <col min="1" max="1" width="2.77734375" customWidth="1"/>
    <col min="2" max="7" width="10.5546875" customWidth="1"/>
    <col min="8" max="8" width="3.33203125" customWidth="1"/>
    <col min="9" max="14" width="10.5546875" customWidth="1"/>
    <col min="15" max="15" width="3.33203125" customWidth="1"/>
    <col min="16" max="21" width="10.5546875" customWidth="1"/>
    <col min="53" max="57" width="17.5546875" customWidth="1"/>
  </cols>
  <sheetData>
    <row r="1" spans="2:54" ht="30" customHeight="1">
      <c r="B1" s="91" t="s">
        <v>1971</v>
      </c>
      <c r="C1" s="90"/>
      <c r="D1" s="90"/>
      <c r="E1" s="90"/>
      <c r="F1" s="90"/>
      <c r="G1" s="90"/>
      <c r="H1" s="90"/>
      <c r="I1" s="90"/>
      <c r="J1" s="90"/>
      <c r="K1" s="90"/>
      <c r="L1" s="90"/>
      <c r="M1" s="90"/>
      <c r="N1" s="90"/>
      <c r="O1" s="90"/>
      <c r="P1" s="90"/>
      <c r="Q1" s="90"/>
      <c r="R1" s="90"/>
      <c r="S1" s="90"/>
      <c r="T1" s="90"/>
      <c r="U1" s="90"/>
      <c r="BA1" s="85" t="s">
        <v>1851</v>
      </c>
    </row>
    <row r="2" spans="2:54" ht="13.95" customHeight="1">
      <c r="BA2" s="86" t="s">
        <v>1852</v>
      </c>
    </row>
    <row r="3" spans="2:54" ht="25.95" customHeight="1">
      <c r="B3" s="92" t="s">
        <v>1972</v>
      </c>
      <c r="C3" s="90"/>
      <c r="D3" s="90"/>
      <c r="E3" s="90"/>
      <c r="F3" s="90"/>
      <c r="G3" s="90"/>
      <c r="H3" s="90"/>
      <c r="I3" s="90"/>
      <c r="J3" s="90"/>
      <c r="K3" s="90"/>
      <c r="L3" s="90"/>
      <c r="M3" s="90"/>
      <c r="N3" s="90"/>
      <c r="O3" s="90"/>
      <c r="P3" s="90"/>
      <c r="Q3" s="90"/>
      <c r="R3" s="90"/>
      <c r="S3" s="90"/>
      <c r="T3" s="90"/>
      <c r="U3" s="90"/>
      <c r="BA3" s="36" t="s">
        <v>1698</v>
      </c>
      <c r="BB3" s="36" t="s">
        <v>1853</v>
      </c>
    </row>
    <row r="4" spans="2:54" ht="13.95" customHeight="1">
      <c r="BA4" t="str">
        <f>'Analysis report'!C30</f>
        <v>Residential Tower Per-29</v>
      </c>
      <c r="BB4" s="48">
        <f>'Analysis report'!E30</f>
        <v>24654239</v>
      </c>
    </row>
    <row r="5" spans="2:54" ht="13.95" customHeight="1">
      <c r="B5" s="86" t="s">
        <v>1777</v>
      </c>
      <c r="BA5" t="str">
        <f>'Analysis report'!C31</f>
        <v>Residential Tower Hyd-33</v>
      </c>
      <c r="BB5" s="48">
        <f>'Analysis report'!E31</f>
        <v>21628203</v>
      </c>
    </row>
    <row r="6" spans="2:54" ht="13.95" customHeight="1">
      <c r="B6" s="87" t="str">
        <f>"P01  —  row 13"</f>
        <v>P01  —  row 13</v>
      </c>
      <c r="E6" s="87" t="str">
        <f>"P02  —  row 82"</f>
        <v>P02  —  row 82</v>
      </c>
      <c r="H6" s="87" t="str">
        <f>"P03  —  row 129"</f>
        <v>P03  —  row 129</v>
      </c>
      <c r="K6" s="87" t="str">
        <f>"P04  —  row 176"</f>
        <v>P04  —  row 176</v>
      </c>
      <c r="N6" s="87" t="str">
        <f>"P05  —  row 223"</f>
        <v>P05  —  row 223</v>
      </c>
      <c r="Q6" s="87" t="str">
        <f>"P06  —  row 270"</f>
        <v>P06  —  row 270</v>
      </c>
      <c r="T6" s="87" t="str">
        <f>"P07  —  row 317"</f>
        <v>P07  —  row 317</v>
      </c>
      <c r="BA6" t="str">
        <f>'Analysis report'!C32</f>
        <v>IT Park Syd-34</v>
      </c>
      <c r="BB6" s="48">
        <f>'Analysis report'!E32</f>
        <v>19739335</v>
      </c>
    </row>
    <row r="7" spans="2:54" ht="13.95" customHeight="1">
      <c r="B7" s="87" t="str">
        <f>"P08  —  row 364"</f>
        <v>P08  —  row 364</v>
      </c>
      <c r="E7" s="87" t="str">
        <f>"P09  —  row 411"</f>
        <v>P09  —  row 411</v>
      </c>
      <c r="H7" s="87" t="str">
        <f>"P10  —  row 458"</f>
        <v>P10  —  row 458</v>
      </c>
      <c r="K7" s="87" t="str">
        <f>"P12  —  row 505"</f>
        <v>P12  —  row 505</v>
      </c>
      <c r="N7" s="87" t="str">
        <f>"P13  —  row 552"</f>
        <v>P13  —  row 552</v>
      </c>
      <c r="Q7" s="87" t="str">
        <f>"P14  —  row 599"</f>
        <v>P14  —  row 599</v>
      </c>
      <c r="T7" s="87" t="str">
        <f>"P15  —  row 646"</f>
        <v>P15  —  row 646</v>
      </c>
      <c r="BA7" t="str">
        <f>'Analysis report'!C33</f>
        <v>University Campus Kol-35</v>
      </c>
      <c r="BB7" s="48">
        <f>'Analysis report'!E33</f>
        <v>19335358</v>
      </c>
    </row>
    <row r="8" spans="2:54" ht="13.95" customHeight="1">
      <c r="BA8" t="str">
        <f>'Analysis report'!C34</f>
        <v>Industrial Warehouse Can-44</v>
      </c>
      <c r="BB8" s="48">
        <f>'Analysis report'!E34</f>
        <v>19116067</v>
      </c>
    </row>
    <row r="9" spans="2:54" ht="13.95" customHeight="1"/>
    <row r="10" spans="2:54" ht="13.95" customHeight="1">
      <c r="BA10" s="86" t="s">
        <v>1854</v>
      </c>
    </row>
    <row r="11" spans="2:54" ht="13.95" customHeight="1">
      <c r="BA11" s="36" t="s">
        <v>1855</v>
      </c>
      <c r="BB11" s="36" t="s">
        <v>1856</v>
      </c>
    </row>
    <row r="12" spans="2:54" ht="13.95" customHeight="1">
      <c r="BA12" s="60">
        <f>'P01-CostOverrun'!H5</f>
        <v>39</v>
      </c>
      <c r="BB12" s="39">
        <f>'P01-CostOverrun'!J5</f>
        <v>0.33139989477946991</v>
      </c>
    </row>
    <row r="13" spans="2:54" ht="22.05" customHeight="1">
      <c r="B13" s="93" t="str">
        <f>'Analysis report'!A5</f>
        <v>PROBLEM 01 — Project Cost Overrun Analysis    |    Source sheet: P01-CostOverrun (50 projects)</v>
      </c>
      <c r="C13" s="90"/>
      <c r="D13" s="90"/>
      <c r="E13" s="90"/>
      <c r="F13" s="90"/>
      <c r="G13" s="90"/>
      <c r="H13" s="90"/>
      <c r="I13" s="90"/>
      <c r="J13" s="90"/>
      <c r="K13" s="90"/>
      <c r="L13" s="90"/>
      <c r="M13" s="90"/>
      <c r="N13" s="90"/>
      <c r="O13" s="90"/>
      <c r="P13" s="90"/>
      <c r="Q13" s="90"/>
      <c r="R13" s="90"/>
      <c r="S13" s="90"/>
      <c r="T13" s="90"/>
      <c r="U13" s="90"/>
      <c r="BA13" s="60">
        <f>'P01-CostOverrun'!H6</f>
        <v>16</v>
      </c>
      <c r="BB13" s="39">
        <f>'P01-CostOverrun'!J6</f>
        <v>0.32873945985579861</v>
      </c>
    </row>
    <row r="14" spans="2:54" ht="13.95" customHeight="1">
      <c r="BA14" s="60">
        <f>'P01-CostOverrun'!H7</f>
        <v>40</v>
      </c>
      <c r="BB14" s="39">
        <f>'P01-CostOverrun'!J7</f>
        <v>0.33574516131380588</v>
      </c>
    </row>
    <row r="15" spans="2:54" ht="13.95" customHeight="1">
      <c r="B15" s="88" t="str">
        <f>'Analysis report'!A6</f>
        <v>Q1. Which country has the highest average cost overrun percentage?</v>
      </c>
      <c r="C15" s="88"/>
      <c r="D15" s="88"/>
      <c r="E15" s="88"/>
      <c r="F15" s="88"/>
      <c r="G15" s="88"/>
      <c r="I15" s="88" t="str">
        <f>'Analysis report'!A13</f>
        <v>Q2. What is the total budget vs actual cost for each project type? Which type has the worst variance?</v>
      </c>
      <c r="J15" s="88"/>
      <c r="K15" s="88"/>
      <c r="L15" s="88"/>
      <c r="M15" s="88"/>
      <c r="N15" s="88"/>
      <c r="P15" s="88" t="str">
        <f>'Analysis report'!A28</f>
        <v>Q3. Top 5 projects with the highest absolute cost overrun (USD)</v>
      </c>
      <c r="Q15" s="88"/>
      <c r="R15" s="88"/>
      <c r="S15" s="88"/>
      <c r="T15" s="88"/>
      <c r="U15" s="88"/>
      <c r="BA15" s="60">
        <f>'P01-CostOverrun'!H8</f>
        <v>47</v>
      </c>
      <c r="BB15" s="39">
        <f>'P01-CostOverrun'!J8</f>
        <v>0.34805972849971717</v>
      </c>
    </row>
    <row r="16" spans="2:54" ht="13.95" customHeight="1">
      <c r="B16" s="88"/>
      <c r="C16" s="88"/>
      <c r="D16" s="88"/>
      <c r="E16" s="88"/>
      <c r="F16" s="88"/>
      <c r="G16" s="88"/>
      <c r="I16" s="88"/>
      <c r="J16" s="88"/>
      <c r="K16" s="88"/>
      <c r="L16" s="88"/>
      <c r="M16" s="88"/>
      <c r="N16" s="88"/>
      <c r="P16" s="88"/>
      <c r="Q16" s="88"/>
      <c r="R16" s="88"/>
      <c r="S16" s="88"/>
      <c r="T16" s="88"/>
      <c r="U16" s="88"/>
      <c r="BA16" s="60">
        <f>'P01-CostOverrun'!H9</f>
        <v>9</v>
      </c>
      <c r="BB16" s="39">
        <f>'P01-CostOverrun'!J9</f>
        <v>0.29553468841707359</v>
      </c>
    </row>
    <row r="17" spans="2:54" ht="13.95" customHeight="1">
      <c r="B17" s="89" t="str">
        <f>'Analysis report'!A11</f>
        <v>ANSWER: New Zealand has the highest average cost overrun at 19.7%, vs India the lowest at 15.8%.</v>
      </c>
      <c r="C17" s="90"/>
      <c r="D17" s="90"/>
      <c r="E17" s="90"/>
      <c r="F17" s="90"/>
      <c r="G17" s="90"/>
      <c r="I17" s="89" t="str">
        <f>'Analysis report'!A26</f>
        <v>ANSWER: Worst variance = Residential Tower at 26.3% ($6,26,62,924 over budget). Best = Shopping Mall at 3.4%. Portfolio total: $2,15,23,99,053 budget vs $2,53,19,47,246 actual (17.6%).</v>
      </c>
      <c r="J17" s="90"/>
      <c r="K17" s="90"/>
      <c r="L17" s="90"/>
      <c r="M17" s="90"/>
      <c r="N17" s="90"/>
      <c r="P17" s="89" t="str">
        <f>'Analysis report'!A35</f>
        <v>ANSWER: Largest single overrun is Residential Tower Per-29 (WT-1028) at $2,46,54,239 (33.1%). The top 5 together account for $10,44,73,202 of overrun.</v>
      </c>
      <c r="Q17" s="90"/>
      <c r="R17" s="90"/>
      <c r="S17" s="90"/>
      <c r="T17" s="90"/>
      <c r="U17" s="90"/>
      <c r="BA17" s="60">
        <f>'P01-CostOverrun'!H10</f>
        <v>40</v>
      </c>
      <c r="BB17" s="39">
        <f>'P01-CostOverrun'!J10</f>
        <v>0.27640929554689836</v>
      </c>
    </row>
    <row r="18" spans="2:54" ht="13.95" customHeight="1">
      <c r="B18" s="90"/>
      <c r="C18" s="90"/>
      <c r="D18" s="90"/>
      <c r="E18" s="90"/>
      <c r="F18" s="90"/>
      <c r="G18" s="90"/>
      <c r="I18" s="90"/>
      <c r="J18" s="90"/>
      <c r="K18" s="90"/>
      <c r="L18" s="90"/>
      <c r="M18" s="90"/>
      <c r="N18" s="90"/>
      <c r="P18" s="90"/>
      <c r="Q18" s="90"/>
      <c r="R18" s="90"/>
      <c r="S18" s="90"/>
      <c r="T18" s="90"/>
      <c r="U18" s="90"/>
      <c r="BA18" s="60">
        <f>'P01-CostOverrun'!H11</f>
        <v>47</v>
      </c>
      <c r="BB18" s="39">
        <f>'P01-CostOverrun'!J11</f>
        <v>0.25035111949508615</v>
      </c>
    </row>
    <row r="19" spans="2:54" ht="13.95" customHeight="1">
      <c r="B19" s="90"/>
      <c r="C19" s="90"/>
      <c r="D19" s="90"/>
      <c r="E19" s="90"/>
      <c r="F19" s="90"/>
      <c r="G19" s="90"/>
      <c r="I19" s="90"/>
      <c r="J19" s="90"/>
      <c r="K19" s="90"/>
      <c r="L19" s="90"/>
      <c r="M19" s="90"/>
      <c r="N19" s="90"/>
      <c r="P19" s="90"/>
      <c r="Q19" s="90"/>
      <c r="R19" s="90"/>
      <c r="S19" s="90"/>
      <c r="T19" s="90"/>
      <c r="U19" s="90"/>
      <c r="BA19" s="60">
        <f>'P01-CostOverrun'!H12</f>
        <v>38</v>
      </c>
      <c r="BB19" s="39">
        <f>'P01-CostOverrun'!J12</f>
        <v>0.2547848723606696</v>
      </c>
    </row>
    <row r="20" spans="2:54" ht="13.95" customHeight="1">
      <c r="B20" s="90"/>
      <c r="C20" s="90"/>
      <c r="D20" s="90"/>
      <c r="E20" s="90"/>
      <c r="F20" s="90"/>
      <c r="G20" s="90"/>
      <c r="I20" s="90"/>
      <c r="J20" s="90"/>
      <c r="K20" s="90"/>
      <c r="L20" s="90"/>
      <c r="M20" s="90"/>
      <c r="N20" s="90"/>
      <c r="P20" s="90"/>
      <c r="Q20" s="90"/>
      <c r="R20" s="90"/>
      <c r="S20" s="90"/>
      <c r="T20" s="90"/>
      <c r="U20" s="90"/>
      <c r="BA20" s="60">
        <f>'P01-CostOverrun'!H13</f>
        <v>16</v>
      </c>
      <c r="BB20" s="39">
        <f>'P01-CostOverrun'!J13</f>
        <v>0.31097713145082723</v>
      </c>
    </row>
    <row r="21" spans="2:54" ht="13.95" customHeight="1">
      <c r="BA21" s="60">
        <f>'P01-CostOverrun'!H14</f>
        <v>15</v>
      </c>
      <c r="BB21" s="39">
        <f>'P01-CostOverrun'!J14</f>
        <v>0.19358807327758196</v>
      </c>
    </row>
    <row r="22" spans="2:54" ht="13.95" customHeight="1">
      <c r="BA22" s="60">
        <f>'P01-CostOverrun'!H15</f>
        <v>12</v>
      </c>
      <c r="BB22" s="39">
        <f>'P01-CostOverrun'!J15</f>
        <v>0.24128542607527023</v>
      </c>
    </row>
    <row r="23" spans="2:54" ht="13.95" customHeight="1">
      <c r="BA23" s="60">
        <f>'P01-CostOverrun'!H16</f>
        <v>9</v>
      </c>
      <c r="BB23" s="39">
        <f>'P01-CostOverrun'!J16</f>
        <v>0.28714076122234955</v>
      </c>
    </row>
    <row r="24" spans="2:54" ht="13.95" customHeight="1">
      <c r="BA24" s="60">
        <f>'P01-CostOverrun'!H17</f>
        <v>29</v>
      </c>
      <c r="BB24" s="39">
        <f>'P01-CostOverrun'!J17</f>
        <v>0.20427377310251896</v>
      </c>
    </row>
    <row r="25" spans="2:54" ht="13.95" customHeight="1">
      <c r="BA25" s="60">
        <f>'P01-CostOverrun'!H18</f>
        <v>6</v>
      </c>
      <c r="BB25" s="39">
        <f>'P01-CostOverrun'!J18</f>
        <v>0.1857062702152355</v>
      </c>
    </row>
    <row r="26" spans="2:54" ht="13.95" customHeight="1">
      <c r="BA26" s="60">
        <f>'P01-CostOverrun'!H19</f>
        <v>30</v>
      </c>
      <c r="BB26" s="39">
        <f>'P01-CostOverrun'!J19</f>
        <v>0.18856360809010347</v>
      </c>
    </row>
    <row r="27" spans="2:54" ht="13.95" customHeight="1">
      <c r="BA27" s="60">
        <f>'P01-CostOverrun'!H20</f>
        <v>41</v>
      </c>
      <c r="BB27" s="39">
        <f>'P01-CostOverrun'!J20</f>
        <v>0.16164573134413829</v>
      </c>
    </row>
    <row r="28" spans="2:54" ht="13.95" customHeight="1">
      <c r="BA28" s="60">
        <f>'P01-CostOverrun'!H21</f>
        <v>35</v>
      </c>
      <c r="BB28" s="39">
        <f>'P01-CostOverrun'!J21</f>
        <v>0.27285128818624899</v>
      </c>
    </row>
    <row r="29" spans="2:54" ht="13.95" customHeight="1">
      <c r="BA29" s="60">
        <f>'P01-CostOverrun'!H22</f>
        <v>21</v>
      </c>
      <c r="BB29" s="39">
        <f>'P01-CostOverrun'!J22</f>
        <v>0.1305944506266335</v>
      </c>
    </row>
    <row r="30" spans="2:54" ht="13.95" customHeight="1">
      <c r="BA30" s="60">
        <f>'P01-CostOverrun'!H23</f>
        <v>33</v>
      </c>
      <c r="BB30" s="39">
        <f>'P01-CostOverrun'!J23</f>
        <v>0.24880550783597968</v>
      </c>
    </row>
    <row r="31" spans="2:54" ht="13.95" customHeight="1">
      <c r="BA31" s="60">
        <f>'P01-CostOverrun'!H24</f>
        <v>32</v>
      </c>
      <c r="BB31" s="39">
        <f>'P01-CostOverrun'!J24</f>
        <v>0.26384775852989167</v>
      </c>
    </row>
    <row r="32" spans="2:54" ht="13.95" customHeight="1">
      <c r="BA32" s="60">
        <f>'P01-CostOverrun'!H25</f>
        <v>40</v>
      </c>
      <c r="BB32" s="39">
        <f>'P01-CostOverrun'!J25</f>
        <v>0.23640781709492872</v>
      </c>
    </row>
    <row r="33" spans="2:54" ht="13.95" customHeight="1">
      <c r="BA33" s="60">
        <f>'P01-CostOverrun'!H26</f>
        <v>13</v>
      </c>
      <c r="BB33" s="39">
        <f>'P01-CostOverrun'!J26</f>
        <v>0.14544228093973718</v>
      </c>
    </row>
    <row r="34" spans="2:54" ht="13.95" customHeight="1">
      <c r="BA34" s="60">
        <f>'P01-CostOverrun'!H27</f>
        <v>8</v>
      </c>
      <c r="BB34" s="39">
        <f>'P01-CostOverrun'!J27</f>
        <v>0.2318287006612394</v>
      </c>
    </row>
    <row r="35" spans="2:54" ht="13.95" customHeight="1">
      <c r="BA35" s="60">
        <f>'P01-CostOverrun'!H28</f>
        <v>10</v>
      </c>
      <c r="BB35" s="39">
        <f>'P01-CostOverrun'!J28</f>
        <v>0.13505121250110699</v>
      </c>
    </row>
    <row r="36" spans="2:54" ht="13.95" customHeight="1">
      <c r="BA36" s="60">
        <f>'P01-CostOverrun'!H29</f>
        <v>35</v>
      </c>
      <c r="BB36" s="39">
        <f>'P01-CostOverrun'!J29</f>
        <v>0.12390609311930639</v>
      </c>
    </row>
    <row r="37" spans="2:54" ht="13.95" customHeight="1">
      <c r="B37" s="88" t="str">
        <f>'Analysis report'!A37</f>
        <v>Q4. Is there a correlation between project duration and cost overrun percentage?</v>
      </c>
      <c r="C37" s="88"/>
      <c r="D37" s="88"/>
      <c r="E37" s="88"/>
      <c r="F37" s="88"/>
      <c r="G37" s="88"/>
      <c r="I37" s="88" t="str">
        <f>'Analysis report'!A41</f>
        <v>Q5. Pivot — average overrun % by Country × Project Type</v>
      </c>
      <c r="J37" s="88"/>
      <c r="K37" s="88"/>
      <c r="L37" s="88"/>
      <c r="M37" s="88"/>
      <c r="N37" s="88"/>
      <c r="P37" s="88" t="str">
        <f>'Analysis report'!A57</f>
        <v>Q6. What percentage of projects came in under budget vs over budget?</v>
      </c>
      <c r="Q37" s="88"/>
      <c r="R37" s="88"/>
      <c r="S37" s="88"/>
      <c r="T37" s="88"/>
      <c r="U37" s="88"/>
      <c r="BA37" s="60">
        <f>'P01-CostOverrun'!H30</f>
        <v>10</v>
      </c>
      <c r="BB37" s="39">
        <f>'P01-CostOverrun'!J30</f>
        <v>0.11046590603826742</v>
      </c>
    </row>
    <row r="38" spans="2:54" ht="13.95" customHeight="1">
      <c r="B38" s="88"/>
      <c r="C38" s="88"/>
      <c r="D38" s="88"/>
      <c r="E38" s="88"/>
      <c r="F38" s="88"/>
      <c r="G38" s="88"/>
      <c r="I38" s="88"/>
      <c r="J38" s="88"/>
      <c r="K38" s="88"/>
      <c r="L38" s="88"/>
      <c r="M38" s="88"/>
      <c r="N38" s="88"/>
      <c r="P38" s="88"/>
      <c r="Q38" s="88"/>
      <c r="R38" s="88"/>
      <c r="S38" s="88"/>
      <c r="T38" s="88"/>
      <c r="U38" s="88"/>
      <c r="BA38" s="60">
        <f>'P01-CostOverrun'!H31</f>
        <v>42</v>
      </c>
      <c r="BB38" s="39">
        <f>'P01-CostOverrun'!J31</f>
        <v>0.23934100577495515</v>
      </c>
    </row>
    <row r="39" spans="2:54" ht="13.95" customHeight="1">
      <c r="B39" s="89" t="str">
        <f>'Analysis report'!A39</f>
        <v>ANSWER: r = -0.156 — effectively no linear relationship; duration does not explain cost overrun in this portfolio.</v>
      </c>
      <c r="C39" s="90"/>
      <c r="D39" s="90"/>
      <c r="E39" s="90"/>
      <c r="F39" s="90"/>
      <c r="G39" s="90"/>
      <c r="I39" s="89" t="str">
        <f>'Analysis report'!A55</f>
        <v>ANSWER: Highest average overrun combination is Hospital in New Zealand at 29.9%. Portfolio average overrun is 16.6%.</v>
      </c>
      <c r="J39" s="90"/>
      <c r="K39" s="90"/>
      <c r="L39" s="90"/>
      <c r="M39" s="90"/>
      <c r="N39" s="90"/>
      <c r="P39" s="89" t="str">
        <f>'Analysis report'!A62</f>
        <v>ANSWER: 90.0% of projects (45 of 50) came in over budget and 10.0% (5) under budget.</v>
      </c>
      <c r="Q39" s="90"/>
      <c r="R39" s="90"/>
      <c r="S39" s="90"/>
      <c r="T39" s="90"/>
      <c r="U39" s="90"/>
      <c r="BA39" s="60">
        <f>'P01-CostOverrun'!H32</f>
        <v>14</v>
      </c>
      <c r="BB39" s="39">
        <f>'P01-CostOverrun'!J32</f>
        <v>0.16451429556764519</v>
      </c>
    </row>
    <row r="40" spans="2:54" ht="13.95" customHeight="1">
      <c r="B40" s="90"/>
      <c r="C40" s="90"/>
      <c r="D40" s="90"/>
      <c r="E40" s="90"/>
      <c r="F40" s="90"/>
      <c r="G40" s="90"/>
      <c r="I40" s="90"/>
      <c r="J40" s="90"/>
      <c r="K40" s="90"/>
      <c r="L40" s="90"/>
      <c r="M40" s="90"/>
      <c r="N40" s="90"/>
      <c r="P40" s="90"/>
      <c r="Q40" s="90"/>
      <c r="R40" s="90"/>
      <c r="S40" s="90"/>
      <c r="T40" s="90"/>
      <c r="U40" s="90"/>
      <c r="BA40" s="60">
        <f>'P01-CostOverrun'!H33</f>
        <v>21</v>
      </c>
      <c r="BB40" s="39">
        <f>'P01-CostOverrun'!J33</f>
        <v>0.16365591449524708</v>
      </c>
    </row>
    <row r="41" spans="2:54" ht="13.95" customHeight="1">
      <c r="B41" s="90"/>
      <c r="C41" s="90"/>
      <c r="D41" s="90"/>
      <c r="E41" s="90"/>
      <c r="F41" s="90"/>
      <c r="G41" s="90"/>
      <c r="I41" s="90"/>
      <c r="J41" s="90"/>
      <c r="K41" s="90"/>
      <c r="L41" s="90"/>
      <c r="M41" s="90"/>
      <c r="N41" s="90"/>
      <c r="P41" s="90"/>
      <c r="Q41" s="90"/>
      <c r="R41" s="90"/>
      <c r="S41" s="90"/>
      <c r="T41" s="90"/>
      <c r="U41" s="90"/>
      <c r="BA41" s="60">
        <f>'P01-CostOverrun'!H34</f>
        <v>12</v>
      </c>
      <c r="BB41" s="39">
        <f>'P01-CostOverrun'!J34</f>
        <v>0.29212706057525328</v>
      </c>
    </row>
    <row r="42" spans="2:54" ht="13.95" customHeight="1">
      <c r="B42" s="90"/>
      <c r="C42" s="90"/>
      <c r="D42" s="90"/>
      <c r="E42" s="90"/>
      <c r="F42" s="90"/>
      <c r="G42" s="90"/>
      <c r="I42" s="90"/>
      <c r="J42" s="90"/>
      <c r="K42" s="90"/>
      <c r="L42" s="90"/>
      <c r="M42" s="90"/>
      <c r="N42" s="90"/>
      <c r="P42" s="90"/>
      <c r="Q42" s="90"/>
      <c r="R42" s="90"/>
      <c r="S42" s="90"/>
      <c r="T42" s="90"/>
      <c r="U42" s="90"/>
      <c r="BA42" s="60">
        <f>'P01-CostOverrun'!H35</f>
        <v>13</v>
      </c>
      <c r="BB42" s="39">
        <f>'P01-CostOverrun'!J35</f>
        <v>0.25231279398864387</v>
      </c>
    </row>
    <row r="43" spans="2:54" ht="13.95" customHeight="1">
      <c r="BA43" s="60">
        <f>'P01-CostOverrun'!H36</f>
        <v>27</v>
      </c>
      <c r="BB43" s="39">
        <f>'P01-CostOverrun'!J36</f>
        <v>0.31216800023319985</v>
      </c>
    </row>
    <row r="44" spans="2:54" ht="13.95" customHeight="1">
      <c r="BA44" s="60">
        <f>'P01-CostOverrun'!H37</f>
        <v>28</v>
      </c>
      <c r="BB44" s="39">
        <f>'P01-CostOverrun'!J37</f>
        <v>0.21359304930308018</v>
      </c>
    </row>
    <row r="45" spans="2:54" ht="13.95" customHeight="1">
      <c r="BA45" s="60">
        <f>'P01-CostOverrun'!H38</f>
        <v>46</v>
      </c>
      <c r="BB45" s="39">
        <f>'P01-CostOverrun'!J38</f>
        <v>5.7979113293538498E-2</v>
      </c>
    </row>
    <row r="46" spans="2:54" ht="13.95" customHeight="1">
      <c r="BA46" s="60">
        <f>'P01-CostOverrun'!H39</f>
        <v>19</v>
      </c>
      <c r="BB46" s="39">
        <f>'P01-CostOverrun'!J39</f>
        <v>6.1148534464179914E-2</v>
      </c>
    </row>
    <row r="47" spans="2:54" ht="13.95" customHeight="1">
      <c r="BA47" s="60">
        <f>'P01-CostOverrun'!H40</f>
        <v>8</v>
      </c>
      <c r="BB47" s="39">
        <f>'P01-CostOverrun'!J40</f>
        <v>0.18619693472664472</v>
      </c>
    </row>
    <row r="48" spans="2:54" ht="13.95" customHeight="1">
      <c r="BA48" s="60">
        <f>'P01-CostOverrun'!H41</f>
        <v>37</v>
      </c>
      <c r="BB48" s="39">
        <f>'P01-CostOverrun'!J41</f>
        <v>6.1390876933280478E-2</v>
      </c>
    </row>
    <row r="49" spans="2:54" ht="13.95" customHeight="1">
      <c r="BA49" s="60">
        <f>'P01-CostOverrun'!H42</f>
        <v>41</v>
      </c>
      <c r="BB49" s="39">
        <f>'P01-CostOverrun'!J42</f>
        <v>-4.1586314866708954E-2</v>
      </c>
    </row>
    <row r="50" spans="2:54" ht="13.95" customHeight="1">
      <c r="BA50" s="60">
        <f>'P01-CostOverrun'!H43</f>
        <v>14</v>
      </c>
      <c r="BB50" s="39">
        <f>'P01-CostOverrun'!J43</f>
        <v>3.7728287913298332E-2</v>
      </c>
    </row>
    <row r="51" spans="2:54" ht="13.95" customHeight="1">
      <c r="BA51" s="60">
        <f>'P01-CostOverrun'!H44</f>
        <v>14</v>
      </c>
      <c r="BB51" s="39">
        <f>'P01-CostOverrun'!J44</f>
        <v>4.7956727958531946E-2</v>
      </c>
    </row>
    <row r="52" spans="2:54" ht="13.95" customHeight="1">
      <c r="BA52" s="60">
        <f>'P01-CostOverrun'!H45</f>
        <v>23</v>
      </c>
      <c r="BB52" s="39">
        <f>'P01-CostOverrun'!J45</f>
        <v>3.3802806582595241E-2</v>
      </c>
    </row>
    <row r="53" spans="2:54" ht="13.95" customHeight="1">
      <c r="BA53" s="60">
        <f>'P01-CostOverrun'!H46</f>
        <v>37</v>
      </c>
      <c r="BB53" s="39">
        <f>'P01-CostOverrun'!J46</f>
        <v>3.5050609975958144E-2</v>
      </c>
    </row>
    <row r="54" spans="2:54" ht="13.95" customHeight="1">
      <c r="BA54" s="60">
        <f>'P01-CostOverrun'!H47</f>
        <v>46</v>
      </c>
      <c r="BB54" s="39">
        <f>'P01-CostOverrun'!J47</f>
        <v>-4.7123692729843132E-2</v>
      </c>
    </row>
    <row r="55" spans="2:54" ht="13.95" customHeight="1">
      <c r="BA55" s="60">
        <f>'P01-CostOverrun'!H48</f>
        <v>28</v>
      </c>
      <c r="BB55" s="39">
        <f>'P01-CostOverrun'!J48</f>
        <v>0.10197087015238505</v>
      </c>
    </row>
    <row r="56" spans="2:54" ht="13.95" customHeight="1">
      <c r="BA56" s="60">
        <f>'P01-CostOverrun'!H49</f>
        <v>44</v>
      </c>
      <c r="BB56" s="39">
        <f>'P01-CostOverrun'!J49</f>
        <v>4.3064349595783605E-2</v>
      </c>
    </row>
    <row r="57" spans="2:54" ht="13.95" customHeight="1">
      <c r="BA57" s="60">
        <f>'P01-CostOverrun'!H50</f>
        <v>21</v>
      </c>
      <c r="BB57" s="39">
        <f>'P01-CostOverrun'!J50</f>
        <v>5.5952049263549603E-2</v>
      </c>
    </row>
    <row r="58" spans="2:54" ht="13.95" customHeight="1">
      <c r="BA58" s="60">
        <f>'P01-CostOverrun'!H51</f>
        <v>24</v>
      </c>
      <c r="BB58" s="39">
        <f>'P01-CostOverrun'!J51</f>
        <v>-1.847993706172614E-2</v>
      </c>
    </row>
    <row r="59" spans="2:54" ht="13.95" customHeight="1">
      <c r="B59" s="88" t="str">
        <f>'Analysis report'!A64</f>
        <v>Q7. Which city has the most cost-efficient project delivery?</v>
      </c>
      <c r="C59" s="88"/>
      <c r="D59" s="88"/>
      <c r="E59" s="88"/>
      <c r="F59" s="88"/>
      <c r="G59" s="88"/>
      <c r="BA59" s="60">
        <f>'P01-CostOverrun'!H52</f>
        <v>42</v>
      </c>
      <c r="BB59" s="39">
        <f>'P01-CostOverrun'!J52</f>
        <v>-2.6829955231218956E-2</v>
      </c>
    </row>
    <row r="60" spans="2:54" ht="13.95" customHeight="1">
      <c r="B60" s="88"/>
      <c r="C60" s="88"/>
      <c r="D60" s="88"/>
      <c r="E60" s="88"/>
      <c r="F60" s="88"/>
      <c r="G60" s="88"/>
      <c r="BA60" s="60">
        <f>'P01-CostOverrun'!H53</f>
        <v>37</v>
      </c>
      <c r="BB60" s="39">
        <f>'P01-CostOverrun'!J53</f>
        <v>1.6524424634791146E-2</v>
      </c>
    </row>
    <row r="61" spans="2:54" ht="13.95" customHeight="1">
      <c r="B61" s="89" t="str">
        <f>'Analysis report'!A84</f>
        <v>ANSWER: Gold Coast is the most cost-efficient city (avg overrun -3.0%), while Sydney is the least efficient (33.6%). Note: small samples per city.</v>
      </c>
      <c r="C61" s="90"/>
      <c r="D61" s="90"/>
      <c r="E61" s="90"/>
      <c r="F61" s="90"/>
      <c r="G61" s="90"/>
      <c r="BA61" s="60">
        <f>'P01-CostOverrun'!H54</f>
        <v>40</v>
      </c>
      <c r="BB61" s="39">
        <f>'P01-CostOverrun'!J54</f>
        <v>-2.9764705796882351E-2</v>
      </c>
    </row>
    <row r="62" spans="2:54" ht="13.95" customHeight="1">
      <c r="B62" s="90"/>
      <c r="C62" s="90"/>
      <c r="D62" s="90"/>
      <c r="E62" s="90"/>
      <c r="F62" s="90"/>
      <c r="G62" s="90"/>
    </row>
    <row r="63" spans="2:54" ht="13.95" customHeight="1">
      <c r="B63" s="90"/>
      <c r="C63" s="90"/>
      <c r="D63" s="90"/>
      <c r="E63" s="90"/>
      <c r="F63" s="90"/>
      <c r="G63" s="90"/>
      <c r="BA63" s="86" t="s">
        <v>1857</v>
      </c>
    </row>
    <row r="64" spans="2:54" ht="13.95" customHeight="1">
      <c r="B64" s="90"/>
      <c r="C64" s="90"/>
      <c r="D64" s="90"/>
      <c r="E64" s="90"/>
      <c r="F64" s="90"/>
      <c r="G64" s="90"/>
      <c r="BA64" s="36" t="s">
        <v>220</v>
      </c>
      <c r="BB64" s="36" t="s">
        <v>1858</v>
      </c>
    </row>
    <row r="65" spans="53:54" ht="13.95" customHeight="1">
      <c r="BA65" t="str">
        <f>'Analysis report'!A89</f>
        <v>Waterproofing Membrane</v>
      </c>
      <c r="BB65" s="39">
        <f>'Analysis report'!C89</f>
        <v>2.5200000000000007E-2</v>
      </c>
    </row>
    <row r="66" spans="53:54" ht="13.95" customHeight="1">
      <c r="BA66" t="str">
        <f>'Analysis report'!A90</f>
        <v>Cement (OPC 53)</v>
      </c>
      <c r="BB66" s="39">
        <f>'Analysis report'!C90</f>
        <v>0.11856862745098039</v>
      </c>
    </row>
    <row r="67" spans="53:54" ht="13.95" customHeight="1">
      <c r="BA67" t="str">
        <f>'Analysis report'!A91</f>
        <v>Aluminium Facade</v>
      </c>
      <c r="BB67" s="39">
        <f>'Analysis report'!C91</f>
        <v>0.11697916666666666</v>
      </c>
    </row>
    <row r="68" spans="53:54" ht="13.95" customHeight="1">
      <c r="BA68" t="str">
        <f>'Analysis report'!A92</f>
        <v>Bricks (AAC)</v>
      </c>
      <c r="BB68" s="39">
        <f>'Analysis report'!C92</f>
        <v>7.7399122807017537E-2</v>
      </c>
    </row>
    <row r="69" spans="53:54" ht="13.95" customHeight="1">
      <c r="BA69" t="str">
        <f>'Analysis report'!A93</f>
        <v>Tiles (Vitrified)</v>
      </c>
      <c r="BB69" s="39">
        <f>'Analysis report'!C93</f>
        <v>8.3611111111111081E-2</v>
      </c>
    </row>
    <row r="70" spans="53:54" ht="13.95" customHeight="1">
      <c r="BA70" t="str">
        <f>'Analysis report'!A94</f>
        <v>PVC Conduits</v>
      </c>
      <c r="BB70" s="39">
        <f>'Analysis report'!C94</f>
        <v>3.0416666666666654E-2</v>
      </c>
    </row>
    <row r="71" spans="53:54" ht="13.95" customHeight="1">
      <c r="BA71" t="str">
        <f>'Analysis report'!A95</f>
        <v>Sand (River)</v>
      </c>
      <c r="BB71" s="39">
        <f>'Analysis report'!C95</f>
        <v>9.5199999999999993E-2</v>
      </c>
    </row>
    <row r="72" spans="53:54" ht="13.95" customHeight="1">
      <c r="BA72" t="str">
        <f>'Analysis report'!A96</f>
        <v>Structural Steel</v>
      </c>
      <c r="BB72" s="39">
        <f>'Analysis report'!C96</f>
        <v>6.9677192982456157E-2</v>
      </c>
    </row>
    <row r="73" spans="53:54" ht="13.95" customHeight="1">
      <c r="BA73" t="str">
        <f>'Analysis report'!A97</f>
        <v>Aggregate (20mm)</v>
      </c>
      <c r="BB73" s="39">
        <f>'Analysis report'!C97</f>
        <v>0.14609090909090908</v>
      </c>
    </row>
    <row r="74" spans="53:54" ht="13.95" customHeight="1">
      <c r="BA74" t="str">
        <f>'Analysis report'!A98</f>
        <v>MS Pipes</v>
      </c>
      <c r="BB74" s="39">
        <f>'Analysis report'!C98</f>
        <v>9.9374999999999991E-2</v>
      </c>
    </row>
    <row r="75" spans="53:54" ht="13.95" customHeight="1">
      <c r="BA75" t="str">
        <f>'Analysis report'!A99</f>
        <v>RMC M30</v>
      </c>
      <c r="BB75" s="39">
        <f>'Analysis report'!C99</f>
        <v>0.14779999999999999</v>
      </c>
    </row>
    <row r="76" spans="53:54" ht="13.95" customHeight="1">
      <c r="BA76" t="str">
        <f>'Analysis report'!A100</f>
        <v>Glass (DGU)</v>
      </c>
      <c r="BB76" s="39">
        <f>'Analysis report'!C100</f>
        <v>4.3934210526315812E-2</v>
      </c>
    </row>
    <row r="77" spans="53:54" ht="13.95" customHeight="1">
      <c r="BA77" t="str">
        <f>'Analysis report'!A101</f>
        <v>Copper Wiring</v>
      </c>
      <c r="BB77" s="39">
        <f>'Analysis report'!C101</f>
        <v>1.9249999999999989E-2</v>
      </c>
    </row>
    <row r="78" spans="53:54" ht="13.95" customHeight="1">
      <c r="BA78" t="str">
        <f>'Analysis report'!A102</f>
        <v>Plywood (Marine)</v>
      </c>
      <c r="BB78" s="39">
        <f>'Analysis report'!C102</f>
        <v>9.2555555555555558E-2</v>
      </c>
    </row>
    <row r="79" spans="53:54" ht="13.95" customHeight="1">
      <c r="BA79" t="str">
        <f>'Analysis report'!A103</f>
        <v>TMT Steel (Fe500)</v>
      </c>
      <c r="BB79" s="39">
        <f>'Analysis report'!C103</f>
        <v>3.9138461538461539E-2</v>
      </c>
    </row>
    <row r="80" spans="53:54" ht="13.95" customHeight="1"/>
    <row r="81" spans="2:54" ht="13.95" customHeight="1">
      <c r="BA81" s="86" t="s">
        <v>1859</v>
      </c>
    </row>
    <row r="82" spans="2:54" ht="22.05" customHeight="1">
      <c r="B82" s="93" t="str">
        <f>'Analysis report'!A86</f>
        <v>PROBLEM 02 — Material Price Fluctuation Tracker    |    Source sheet: P02-MaterialPrice (90 records, 15 materials, 18 months)</v>
      </c>
      <c r="C82" s="90"/>
      <c r="D82" s="90"/>
      <c r="E82" s="90"/>
      <c r="F82" s="90"/>
      <c r="G82" s="90"/>
      <c r="H82" s="90"/>
      <c r="I82" s="90"/>
      <c r="J82" s="90"/>
      <c r="K82" s="90"/>
      <c r="L82" s="90"/>
      <c r="M82" s="90"/>
      <c r="N82" s="90"/>
      <c r="O82" s="90"/>
      <c r="P82" s="90"/>
      <c r="Q82" s="90"/>
      <c r="R82" s="90"/>
      <c r="S82" s="90"/>
      <c r="T82" s="90"/>
      <c r="U82" s="90"/>
      <c r="BA82" s="36" t="s">
        <v>219</v>
      </c>
      <c r="BB82" s="36" t="s">
        <v>1860</v>
      </c>
    </row>
    <row r="83" spans="2:54" ht="13.95" customHeight="1">
      <c r="BA83" t="str">
        <f>'Analysis report'!B149</f>
        <v>2024-03</v>
      </c>
      <c r="BB83" s="48">
        <f>'Analysis report'!D149</f>
        <v>710.14</v>
      </c>
    </row>
    <row r="84" spans="2:54" ht="13.95" customHeight="1">
      <c r="B84" s="88" t="str">
        <f>'Analysis report'!A87</f>
        <v>Q1. Which material has shown the highest average price increase over 18 months?</v>
      </c>
      <c r="C84" s="88"/>
      <c r="D84" s="88"/>
      <c r="E84" s="88"/>
      <c r="F84" s="88"/>
      <c r="G84" s="88"/>
      <c r="I84" s="88" t="str">
        <f>'Analysis report'!A106</f>
        <v>Q2. Monthly price trend for TMT Steel and Cement (line chart placed to the right)</v>
      </c>
      <c r="J84" s="88"/>
      <c r="K84" s="88"/>
      <c r="L84" s="88"/>
      <c r="M84" s="88"/>
      <c r="N84" s="88"/>
      <c r="P84" s="88" t="str">
        <f>'Analysis report'!A128</f>
        <v>Q3. Which country has the most volatile material pricing? (standard deviation)</v>
      </c>
      <c r="Q84" s="88"/>
      <c r="R84" s="88"/>
      <c r="S84" s="88"/>
      <c r="T84" s="88"/>
      <c r="U84" s="88"/>
      <c r="BA84" t="str">
        <f>'Analysis report'!B150</f>
        <v>2025-01</v>
      </c>
      <c r="BB84" s="48">
        <f>'Analysis report'!D150</f>
        <v>607.52</v>
      </c>
    </row>
    <row r="85" spans="2:54" ht="13.95" customHeight="1">
      <c r="B85" s="88"/>
      <c r="C85" s="88"/>
      <c r="D85" s="88"/>
      <c r="E85" s="88"/>
      <c r="F85" s="88"/>
      <c r="G85" s="88"/>
      <c r="I85" s="88"/>
      <c r="J85" s="88"/>
      <c r="K85" s="88"/>
      <c r="L85" s="88"/>
      <c r="M85" s="88"/>
      <c r="N85" s="88"/>
      <c r="P85" s="88"/>
      <c r="Q85" s="88"/>
      <c r="R85" s="88"/>
      <c r="S85" s="88"/>
      <c r="T85" s="88"/>
      <c r="U85" s="88"/>
      <c r="BA85" t="str">
        <f>'Analysis report'!B151</f>
        <v>2025-02</v>
      </c>
      <c r="BB85" s="48">
        <f>'Analysis report'!D151</f>
        <v>688.19</v>
      </c>
    </row>
    <row r="86" spans="2:54" ht="13.95" customHeight="1">
      <c r="B86" s="89" t="str">
        <f>'Analysis report'!A104</f>
        <v>ANSWER: RMC M30 shows the highest average price increase at 14.8%; the lowest is Copper Wiring at 1.9%.</v>
      </c>
      <c r="C86" s="90"/>
      <c r="D86" s="90"/>
      <c r="E86" s="90"/>
      <c r="F86" s="90"/>
      <c r="G86" s="90"/>
      <c r="I86" s="89" t="str">
        <f>'Analysis report'!A126</f>
        <v>ANSWER: Both series trend upward overall but the dataset is sampled — only 4 of 18 months carry a TMT Steel price and 6 carry a Cement price (#N/A = no data that month). TMT Steel averages $675/MT (avg change 3.9%) and Cement $95/MT (avg change 11.9%). See the line chart to the right.</v>
      </c>
      <c r="J86" s="90"/>
      <c r="K86" s="90"/>
      <c r="L86" s="90"/>
      <c r="M86" s="90"/>
      <c r="N86" s="90"/>
      <c r="P86" s="89" t="str">
        <f>'Analysis report'!A133</f>
        <v>ANSWER: India has the most volatile material pricing (std dev of price change = 9.8% pts), the least volatile is New Zealand at 9.0%.</v>
      </c>
      <c r="Q86" s="90"/>
      <c r="R86" s="90"/>
      <c r="S86" s="90"/>
      <c r="T86" s="90"/>
      <c r="U86" s="90"/>
      <c r="BA86" t="str">
        <f>'Analysis report'!B152</f>
        <v>2025-06</v>
      </c>
      <c r="BB86" s="48">
        <f>'Analysis report'!D152</f>
        <v>695.91</v>
      </c>
    </row>
    <row r="87" spans="2:54" ht="13.95" customHeight="1">
      <c r="B87" s="90"/>
      <c r="C87" s="90"/>
      <c r="D87" s="90"/>
      <c r="E87" s="90"/>
      <c r="F87" s="90"/>
      <c r="G87" s="90"/>
      <c r="I87" s="90"/>
      <c r="J87" s="90"/>
      <c r="K87" s="90"/>
      <c r="L87" s="90"/>
      <c r="M87" s="90"/>
      <c r="N87" s="90"/>
      <c r="P87" s="90"/>
      <c r="Q87" s="90"/>
      <c r="R87" s="90"/>
      <c r="S87" s="90"/>
      <c r="T87" s="90"/>
      <c r="U87" s="90"/>
      <c r="BA87" t="s">
        <v>1861</v>
      </c>
      <c r="BB87" s="48">
        <f>'Analysis report'!B155</f>
        <v>658.33262295081965</v>
      </c>
    </row>
    <row r="88" spans="2:54" ht="13.95" customHeight="1">
      <c r="B88" s="90"/>
      <c r="C88" s="90"/>
      <c r="D88" s="90"/>
      <c r="E88" s="90"/>
      <c r="F88" s="90"/>
      <c r="G88" s="90"/>
      <c r="I88" s="90"/>
      <c r="J88" s="90"/>
      <c r="K88" s="90"/>
      <c r="L88" s="90"/>
      <c r="M88" s="90"/>
      <c r="N88" s="90"/>
      <c r="P88" s="90"/>
      <c r="Q88" s="90"/>
      <c r="R88" s="90"/>
      <c r="S88" s="90"/>
      <c r="T88" s="90"/>
      <c r="U88" s="90"/>
    </row>
    <row r="89" spans="2:54" ht="13.95" customHeight="1">
      <c r="B89" s="90"/>
      <c r="C89" s="90"/>
      <c r="D89" s="90"/>
      <c r="E89" s="90"/>
      <c r="F89" s="90"/>
      <c r="G89" s="90"/>
      <c r="I89" s="90"/>
      <c r="J89" s="90"/>
      <c r="K89" s="90"/>
      <c r="L89" s="90"/>
      <c r="M89" s="90"/>
      <c r="N89" s="90"/>
      <c r="P89" s="90"/>
      <c r="Q89" s="90"/>
      <c r="R89" s="90"/>
      <c r="S89" s="90"/>
      <c r="T89" s="90"/>
      <c r="U89" s="90"/>
      <c r="BA89" s="86" t="s">
        <v>1862</v>
      </c>
    </row>
    <row r="90" spans="2:54" ht="13.95" customHeight="1">
      <c r="BA90" s="36" t="s">
        <v>1698</v>
      </c>
      <c r="BB90" s="36" t="s">
        <v>1365</v>
      </c>
    </row>
    <row r="91" spans="2:54" ht="13.95" customHeight="1">
      <c r="BA91" t="str">
        <f>'Analysis report'!A188</f>
        <v>WT-DC-MUM-01</v>
      </c>
      <c r="BB91" s="48">
        <f>'Analysis report'!C188</f>
        <v>-126377.68000000004</v>
      </c>
    </row>
    <row r="92" spans="2:54" ht="13.95" customHeight="1">
      <c r="BA92" t="str">
        <f>'Analysis report'!A189</f>
        <v>WT-OFF-SYD-02</v>
      </c>
      <c r="BB92" s="48">
        <f>'Analysis report'!C189</f>
        <v>-51637.799999999988</v>
      </c>
    </row>
    <row r="93" spans="2:54" ht="13.95" customHeight="1">
      <c r="BA93" t="str">
        <f>'Analysis report'!A190</f>
        <v>WT-HOS-AKL-03</v>
      </c>
      <c r="BB93" s="48">
        <f>'Analysis report'!C190</f>
        <v>-59886.689999999988</v>
      </c>
    </row>
    <row r="94" spans="2:54" ht="13.95" customHeight="1"/>
    <row r="95" spans="2:54" ht="13.95" customHeight="1">
      <c r="BA95" s="86" t="s">
        <v>1863</v>
      </c>
    </row>
    <row r="96" spans="2:54" ht="13.95" customHeight="1">
      <c r="BA96" s="36" t="s">
        <v>71</v>
      </c>
      <c r="BB96" s="36" t="s">
        <v>1864</v>
      </c>
    </row>
    <row r="97" spans="2:54" ht="13.95" customHeight="1">
      <c r="BA97" t="str">
        <f>'Analysis report'!A225</f>
        <v>India</v>
      </c>
      <c r="BB97" s="22">
        <f>'Analysis report'!D225</f>
        <v>3.2471035296527093</v>
      </c>
    </row>
    <row r="98" spans="2:54" ht="13.95" customHeight="1">
      <c r="BA98" t="str">
        <f>'Analysis report'!A226</f>
        <v>Australia</v>
      </c>
      <c r="BB98" s="22">
        <f>'Analysis report'!D226</f>
        <v>3.0498317018105663</v>
      </c>
    </row>
    <row r="99" spans="2:54" ht="13.95" customHeight="1">
      <c r="BA99" t="str">
        <f>'Analysis report'!A227</f>
        <v>New Zealand</v>
      </c>
      <c r="BB99" s="22">
        <f>'Analysis report'!D227</f>
        <v>2.5591891771520516</v>
      </c>
    </row>
    <row r="100" spans="2:54" ht="13.95" customHeight="1"/>
    <row r="101" spans="2:54" ht="13.95" customHeight="1">
      <c r="BA101" s="86" t="s">
        <v>1865</v>
      </c>
    </row>
    <row r="102" spans="2:54" ht="13.95" customHeight="1">
      <c r="BA102" s="36" t="s">
        <v>1866</v>
      </c>
      <c r="BB102" s="36" t="s">
        <v>1402</v>
      </c>
    </row>
    <row r="103" spans="2:54" ht="13.95" customHeight="1">
      <c r="BA103" t="str">
        <f>TEXT('Analysis report'!B244,"dd-mmm-yy")&amp;" · "&amp;'Analysis report'!C244</f>
        <v>08-Jan-25 · Facade &amp; Cladding</v>
      </c>
      <c r="BB103" s="22">
        <f>'Analysis report'!E244</f>
        <v>0.23240740740740742</v>
      </c>
    </row>
    <row r="104" spans="2:54" ht="13.95" customHeight="1">
      <c r="BA104" t="str">
        <f>TEXT('Analysis report'!B245,"dd-mmm-yy")&amp;" · "&amp;'Analysis report'!C245</f>
        <v>21-Jan-25 · MEP - Plumbing</v>
      </c>
      <c r="BB104" s="22">
        <f>'Analysis report'!E245</f>
        <v>0.27</v>
      </c>
    </row>
    <row r="105" spans="2:54" ht="13.95" customHeight="1">
      <c r="BA105" t="str">
        <f>TEXT('Analysis report'!B246,"dd-mmm-yy")&amp;" · "&amp;'Analysis report'!C246</f>
        <v>09-May-25 · Civil &amp; Structure</v>
      </c>
      <c r="BB105" s="22">
        <f>'Analysis report'!E246</f>
        <v>0.32695035460992911</v>
      </c>
    </row>
    <row r="106" spans="2:54" ht="13.95" customHeight="1">
      <c r="B106" s="88" t="str">
        <f>'Analysis report'!A135</f>
        <v>Q4. Top 3 materials with price increase &gt; 15% — flag as procurement risk</v>
      </c>
      <c r="C106" s="88"/>
      <c r="D106" s="88"/>
      <c r="E106" s="88"/>
      <c r="F106" s="88"/>
      <c r="G106" s="88"/>
      <c r="I106" s="88" t="str">
        <f>'Analysis report'!A142</f>
        <v>Q5. Average price change % by material across all months</v>
      </c>
      <c r="J106" s="88"/>
      <c r="K106" s="88"/>
      <c r="L106" s="88"/>
      <c r="M106" s="88"/>
      <c r="N106" s="88"/>
      <c r="P106" s="88" t="str">
        <f>'Analysis report'!A147</f>
        <v>Q6. Projected cost of 500 MT of TMT Steel next quarter (trend-based)</v>
      </c>
      <c r="Q106" s="88"/>
      <c r="R106" s="88"/>
      <c r="S106" s="88"/>
      <c r="T106" s="88"/>
      <c r="U106" s="88"/>
      <c r="BA106" t="str">
        <f>TEXT('Analysis report'!B247,"dd-mmm-yy")&amp;" · "&amp;'Analysis report'!C247</f>
        <v>01-Apr-25 · MEP - Electrical</v>
      </c>
      <c r="BB106" s="22">
        <f>'Analysis report'!E247</f>
        <v>0.48567119155354455</v>
      </c>
    </row>
    <row r="107" spans="2:54" ht="13.95" customHeight="1">
      <c r="B107" s="88"/>
      <c r="C107" s="88"/>
      <c r="D107" s="88"/>
      <c r="E107" s="88"/>
      <c r="F107" s="88"/>
      <c r="G107" s="88"/>
      <c r="I107" s="88"/>
      <c r="J107" s="88"/>
      <c r="K107" s="88"/>
      <c r="L107" s="88"/>
      <c r="M107" s="88"/>
      <c r="N107" s="88"/>
      <c r="P107" s="88"/>
      <c r="Q107" s="88"/>
      <c r="R107" s="88"/>
      <c r="S107" s="88"/>
      <c r="T107" s="88"/>
      <c r="U107" s="88"/>
      <c r="BA107" t="str">
        <f>TEXT('Analysis report'!B248,"dd-mmm-yy")&amp;" · "&amp;'Analysis report'!C248</f>
        <v>21-Mar-25 · MEP - HVAC</v>
      </c>
      <c r="BB107" s="22">
        <f>'Analysis report'!E248</f>
        <v>0.52113271344040579</v>
      </c>
    </row>
    <row r="108" spans="2:54" ht="13.95" customHeight="1">
      <c r="B108" s="89" t="str">
        <f>'Analysis report'!A140</f>
        <v>ANSWER: No material's AVERAGE increase exceeds 15% (highest is RMC M30 at 14.8%), though 20 of 90 individual monthly records are above 15%. Treat the top 3 — RMC M30 (14.8%), Aggregate (20mm) (14.6%), Cement (OPC 53) (11.9%) — as procurement risk and forward-buy / lock rates.</v>
      </c>
      <c r="C108" s="90"/>
      <c r="D108" s="90"/>
      <c r="E108" s="90"/>
      <c r="F108" s="90"/>
      <c r="G108" s="90"/>
      <c r="I108" s="89" t="str">
        <f>'Analysis report'!A145</f>
        <v>ANSWER: The portfolio-wide average material price change is 7.5% (median 7.2%). 9 of 15 materials sit above that average — see column C of the Q1 table for the material-by-material figures.</v>
      </c>
      <c r="J108" s="90"/>
      <c r="K108" s="90"/>
      <c r="L108" s="90"/>
      <c r="M108" s="90"/>
      <c r="N108" s="90"/>
      <c r="P108" s="89" t="str">
        <f>'Analysis report'!A157</f>
        <v>ANSWER: Fitting a linear trend to the 4 observed TMT Steel price points gives a slope of -$1.90/MT per month. Projected price for next quarter (month index 21) is $658/MT, so 500 MT ≈ $3,29,166 (vs $3,47,955 at the latest observed price). Caveat: only 4 data points — treat as indicative.</v>
      </c>
      <c r="Q108" s="90"/>
      <c r="R108" s="90"/>
      <c r="S108" s="90"/>
      <c r="T108" s="90"/>
      <c r="U108" s="90"/>
      <c r="BA108" t="str">
        <f>TEXT('Analysis report'!B249,"dd-mmm-yy")&amp;" · "&amp;'Analysis report'!C249</f>
        <v>16-May-25 · MEP - Plumbing</v>
      </c>
      <c r="BB108" s="22">
        <f>'Analysis report'!E249</f>
        <v>0.69755469755469757</v>
      </c>
    </row>
    <row r="109" spans="2:54" ht="13.95" customHeight="1">
      <c r="B109" s="90"/>
      <c r="C109" s="90"/>
      <c r="D109" s="90"/>
      <c r="E109" s="90"/>
      <c r="F109" s="90"/>
      <c r="G109" s="90"/>
      <c r="I109" s="90"/>
      <c r="J109" s="90"/>
      <c r="K109" s="90"/>
      <c r="L109" s="90"/>
      <c r="M109" s="90"/>
      <c r="N109" s="90"/>
      <c r="P109" s="90"/>
      <c r="Q109" s="90"/>
      <c r="R109" s="90"/>
      <c r="S109" s="90"/>
      <c r="T109" s="90"/>
      <c r="U109" s="90"/>
      <c r="BA109" t="str">
        <f>TEXT('Analysis report'!B250,"dd-mmm-yy")&amp;" · "&amp;'Analysis report'!C250</f>
        <v>17-Jan-25 · Facade &amp; Cladding</v>
      </c>
      <c r="BB109" s="22">
        <f>'Analysis report'!E250</f>
        <v>0.78100775193798455</v>
      </c>
    </row>
    <row r="110" spans="2:54" ht="13.95" customHeight="1">
      <c r="B110" s="90"/>
      <c r="C110" s="90"/>
      <c r="D110" s="90"/>
      <c r="E110" s="90"/>
      <c r="F110" s="90"/>
      <c r="G110" s="90"/>
      <c r="I110" s="90"/>
      <c r="J110" s="90"/>
      <c r="K110" s="90"/>
      <c r="L110" s="90"/>
      <c r="M110" s="90"/>
      <c r="N110" s="90"/>
      <c r="P110" s="90"/>
      <c r="Q110" s="90"/>
      <c r="R110" s="90"/>
      <c r="S110" s="90"/>
      <c r="T110" s="90"/>
      <c r="U110" s="90"/>
      <c r="BA110" t="str">
        <f>TEXT('Analysis report'!B251,"dd-mmm-yy")&amp;" · "&amp;'Analysis report'!C251</f>
        <v>08-Jan-25 · MEP - Plumbing</v>
      </c>
      <c r="BB110" s="22">
        <f>'Analysis report'!E251</f>
        <v>0.81688311688311688</v>
      </c>
    </row>
    <row r="111" spans="2:54" ht="13.95" customHeight="1">
      <c r="B111" s="90"/>
      <c r="C111" s="90"/>
      <c r="D111" s="90"/>
      <c r="E111" s="90"/>
      <c r="F111" s="90"/>
      <c r="G111" s="90"/>
      <c r="I111" s="90"/>
      <c r="J111" s="90"/>
      <c r="K111" s="90"/>
      <c r="L111" s="90"/>
      <c r="M111" s="90"/>
      <c r="N111" s="90"/>
      <c r="P111" s="90"/>
      <c r="Q111" s="90"/>
      <c r="R111" s="90"/>
      <c r="S111" s="90"/>
      <c r="T111" s="90"/>
      <c r="U111" s="90"/>
      <c r="BA111" t="str">
        <f>TEXT('Analysis report'!B252,"dd-mmm-yy")&amp;" · "&amp;'Analysis report'!C252</f>
        <v>27-Feb-25 · MEP - Plumbing</v>
      </c>
      <c r="BB111" s="22">
        <f>'Analysis report'!E252</f>
        <v>0.99321705426356599</v>
      </c>
    </row>
    <row r="112" spans="2:54" ht="13.95" customHeight="1">
      <c r="BA112" t="str">
        <f>TEXT('Analysis report'!B253,"dd-mmm-yy")&amp;" · "&amp;'Analysis report'!C253</f>
        <v>17-Apr-25 · MEP - Plumbing</v>
      </c>
      <c r="BB112" s="22">
        <f>'Analysis report'!E253</f>
        <v>1.0365384615384614</v>
      </c>
    </row>
    <row r="113" spans="53:55" ht="13.95" customHeight="1"/>
    <row r="114" spans="53:55" ht="13.95" customHeight="1">
      <c r="BA114" s="86" t="s">
        <v>1867</v>
      </c>
    </row>
    <row r="115" spans="53:55" ht="13.95" customHeight="1">
      <c r="BA115" s="36" t="s">
        <v>1405</v>
      </c>
      <c r="BB115" s="36" t="s">
        <v>1864</v>
      </c>
    </row>
    <row r="116" spans="53:55" ht="13.95" customHeight="1">
      <c r="BA116" t="str">
        <f>'Analysis report'!A258</f>
        <v>Small crew (up to 10 workers)</v>
      </c>
      <c r="BB116" s="22" t="str">
        <f>'Analysis report'!C258</f>
        <v>-</v>
      </c>
    </row>
    <row r="117" spans="53:55" ht="13.95" customHeight="1">
      <c r="BA117" t="str">
        <f>'Analysis report'!A259</f>
        <v>Medium crew (11 to 15)</v>
      </c>
      <c r="BB117" s="22">
        <f>'Analysis report'!C259</f>
        <v>4.1639752772018213</v>
      </c>
    </row>
    <row r="118" spans="53:55" ht="13.95" customHeight="1">
      <c r="BA118" t="str">
        <f>'Analysis report'!A260</f>
        <v>Large crew (16 to 20)</v>
      </c>
      <c r="BB118" s="22">
        <f>'Analysis report'!C260</f>
        <v>2.6779220779220778</v>
      </c>
    </row>
    <row r="119" spans="53:55" ht="13.95" customHeight="1">
      <c r="BA119" t="str">
        <f>'Analysis report'!A261</f>
        <v>Very large crew (21+)</v>
      </c>
      <c r="BB119" s="22">
        <f>'Analysis report'!C261</f>
        <v>3.2211080096595071</v>
      </c>
    </row>
    <row r="120" spans="53:55" ht="13.95" customHeight="1"/>
    <row r="121" spans="53:55" ht="13.95" customHeight="1">
      <c r="BA121" s="86" t="s">
        <v>1868</v>
      </c>
    </row>
    <row r="122" spans="53:55" ht="13.95" customHeight="1">
      <c r="BA122" s="36" t="s">
        <v>1869</v>
      </c>
      <c r="BB122" s="36" t="s">
        <v>1870</v>
      </c>
      <c r="BC122" s="36" t="s">
        <v>1871</v>
      </c>
    </row>
    <row r="123" spans="53:55" ht="13.95" customHeight="1">
      <c r="BA123" t="str">
        <f>'Analysis report'!A279</f>
        <v>Structural Works</v>
      </c>
      <c r="BB123" s="48">
        <f>'Analysis report'!C279</f>
        <v>3366658</v>
      </c>
      <c r="BC123" s="48">
        <f>'Analysis report'!F279</f>
        <v>4226208</v>
      </c>
    </row>
    <row r="124" spans="53:55" ht="13.95" customHeight="1">
      <c r="BA124" t="str">
        <f>'Analysis report'!A280</f>
        <v>MEP Package</v>
      </c>
      <c r="BB124" s="48">
        <f>'Analysis report'!C280</f>
        <v>1360585</v>
      </c>
      <c r="BC124" s="48">
        <f>'Analysis report'!F280</f>
        <v>1664277</v>
      </c>
    </row>
    <row r="125" spans="53:55" ht="13.95" customHeight="1">
      <c r="BA125" t="str">
        <f>'Analysis report'!A281</f>
        <v>Facade &amp; Glazing</v>
      </c>
      <c r="BB125" s="48">
        <f>'Analysis report'!C281</f>
        <v>2916771</v>
      </c>
      <c r="BC125" s="48">
        <f>'Analysis report'!F281</f>
        <v>3339940</v>
      </c>
    </row>
    <row r="126" spans="53:55" ht="13.95" customHeight="1">
      <c r="BA126" t="str">
        <f>'Analysis report'!A282</f>
        <v>Interior Fit-out</v>
      </c>
      <c r="BB126" s="48">
        <f>'Analysis report'!C282</f>
        <v>1631225</v>
      </c>
      <c r="BC126" s="48">
        <f>'Analysis report'!F282</f>
        <v>1631225</v>
      </c>
    </row>
    <row r="127" spans="53:55" ht="13.95" customHeight="1">
      <c r="BA127" t="str">
        <f>'Analysis report'!A283</f>
        <v>Landscaping</v>
      </c>
      <c r="BB127" s="48">
        <f>'Analysis report'!C283</f>
        <v>855300</v>
      </c>
      <c r="BC127" s="48">
        <f>'Analysis report'!F283</f>
        <v>855300</v>
      </c>
    </row>
    <row r="128" spans="53:55" ht="13.95" customHeight="1"/>
    <row r="129" spans="2:55" ht="22.05" customHeight="1">
      <c r="B129" s="93" t="str">
        <f>'Analysis report'!A159</f>
        <v>PROBLEM 03 — BOQ Variance Analysis    |    Source sheet: P03-BOQVariance (72 BOQ line items, 3 projects)</v>
      </c>
      <c r="C129" s="90"/>
      <c r="D129" s="90"/>
      <c r="E129" s="90"/>
      <c r="F129" s="90"/>
      <c r="G129" s="90"/>
      <c r="H129" s="90"/>
      <c r="I129" s="90"/>
      <c r="J129" s="90"/>
      <c r="K129" s="90"/>
      <c r="L129" s="90"/>
      <c r="M129" s="90"/>
      <c r="N129" s="90"/>
      <c r="O129" s="90"/>
      <c r="P129" s="90"/>
      <c r="Q129" s="90"/>
      <c r="R129" s="90"/>
      <c r="S129" s="90"/>
      <c r="T129" s="90"/>
      <c r="U129" s="90"/>
      <c r="BA129" s="86" t="s">
        <v>1872</v>
      </c>
    </row>
    <row r="130" spans="2:55" ht="13.95" customHeight="1">
      <c r="BA130" s="36" t="s">
        <v>1869</v>
      </c>
      <c r="BB130" s="36" t="s">
        <v>1873</v>
      </c>
      <c r="BC130" s="36" t="s">
        <v>1874</v>
      </c>
    </row>
    <row r="131" spans="2:55" ht="13.95" customHeight="1">
      <c r="B131" s="88" t="str">
        <f>'Analysis report'!A160</f>
        <v>Q1. Which project has the highest total BOQ variance (in USD)?</v>
      </c>
      <c r="C131" s="88"/>
      <c r="D131" s="88"/>
      <c r="E131" s="88"/>
      <c r="F131" s="88"/>
      <c r="G131" s="88"/>
      <c r="I131" s="88" t="str">
        <f>'Analysis report'!A168</f>
        <v>Q2. Which trade consistently exceeds BOQ quantities across all 3 projects?</v>
      </c>
      <c r="J131" s="88"/>
      <c r="K131" s="88"/>
      <c r="L131" s="88"/>
      <c r="M131" s="88"/>
      <c r="N131" s="88"/>
      <c r="P131" s="88" t="str">
        <f>'Analysis report'!A177</f>
        <v>Q3. Top 5 BOQ items with the highest quantity variance %</v>
      </c>
      <c r="Q131" s="88"/>
      <c r="R131" s="88"/>
      <c r="S131" s="88"/>
      <c r="T131" s="88"/>
      <c r="U131" s="88"/>
      <c r="BA131" t="str">
        <f>'Analysis report'!A279</f>
        <v>Structural Works</v>
      </c>
      <c r="BB131" s="54">
        <f>_xlfn.MAXIFS('Analysis report'!$J$290:$J$329,'Analysis report'!$A$290:$A$329,$BA$131)</f>
        <v>80.427074578440056</v>
      </c>
      <c r="BC131" s="54">
        <f>_xlfn.MINIFS('Analysis report'!$J$290:$J$329,'Analysis report'!$A$290:$A$329,$BA$131)</f>
        <v>45.542166984867876</v>
      </c>
    </row>
    <row r="132" spans="2:55" ht="13.95" customHeight="1">
      <c r="B132" s="88"/>
      <c r="C132" s="88"/>
      <c r="D132" s="88"/>
      <c r="E132" s="88"/>
      <c r="F132" s="88"/>
      <c r="G132" s="88"/>
      <c r="I132" s="88"/>
      <c r="J132" s="88"/>
      <c r="K132" s="88"/>
      <c r="L132" s="88"/>
      <c r="M132" s="88"/>
      <c r="N132" s="88"/>
      <c r="P132" s="88"/>
      <c r="Q132" s="88"/>
      <c r="R132" s="88"/>
      <c r="S132" s="88"/>
      <c r="T132" s="88"/>
      <c r="U132" s="88"/>
      <c r="BA132" t="str">
        <f>'Analysis report'!A280</f>
        <v>MEP Package</v>
      </c>
      <c r="BB132" s="54">
        <f>_xlfn.MAXIFS('Analysis report'!$J$290:$J$329,'Analysis report'!$A$290:$A$329,$BA$132)</f>
        <v>65.287717645775871</v>
      </c>
      <c r="BC132" s="54">
        <f>_xlfn.MINIFS('Analysis report'!$J$290:$J$329,'Analysis report'!$A$290:$A$329,$BA$132)</f>
        <v>34.322282918037232</v>
      </c>
    </row>
    <row r="133" spans="2:55" ht="13.95" customHeight="1">
      <c r="B133" s="89" t="str">
        <f>'Analysis report'!A166</f>
        <v>ANSWER: WT-OFF-SYD-02 has the highest total BOQ variance at $7,16,910 (12.6% over BOQ). All three projects combined are $15,90,589 (9.9%) above BOQ.</v>
      </c>
      <c r="C133" s="90"/>
      <c r="D133" s="90"/>
      <c r="E133" s="90"/>
      <c r="F133" s="90"/>
      <c r="G133" s="90"/>
      <c r="I133" s="89" t="str">
        <f>'Analysis report'!A175</f>
        <v>ANSWER: MEP - Electrical is the worst offender — average quantity variance of 11.1% and over BOQ in 3 of 3 projects. 4 of 5 trades exceed BOQ in all three projects.</v>
      </c>
      <c r="J133" s="90"/>
      <c r="K133" s="90"/>
      <c r="L133" s="90"/>
      <c r="M133" s="90"/>
      <c r="N133" s="90"/>
      <c r="P133" s="89" t="str">
        <f>'Analysis report'!A184</f>
        <v>ANSWER: The worst item is Plastering (Civil &amp; Structure, WT-HOS-AKL-03) at 28.9% over BOQ, costing $1,51,508. The top 5 items alone add $3,92,614 of overrun.</v>
      </c>
      <c r="Q133" s="90"/>
      <c r="R133" s="90"/>
      <c r="S133" s="90"/>
      <c r="T133" s="90"/>
      <c r="U133" s="90"/>
      <c r="BA133" t="str">
        <f>'Analysis report'!A281</f>
        <v>Facade &amp; Glazing</v>
      </c>
      <c r="BB133" s="54">
        <f>_xlfn.MAXIFS('Analysis report'!$J$290:$J$329,'Analysis report'!$A$290:$A$329,$BA$133)</f>
        <v>76.768224932674158</v>
      </c>
      <c r="BC133" s="54">
        <f>_xlfn.MINIFS('Analysis report'!$J$290:$J$329,'Analysis report'!$A$290:$A$329,$BA$133)</f>
        <v>57.706621958533447</v>
      </c>
    </row>
    <row r="134" spans="2:55" ht="13.95" customHeight="1">
      <c r="B134" s="90"/>
      <c r="C134" s="90"/>
      <c r="D134" s="90"/>
      <c r="E134" s="90"/>
      <c r="F134" s="90"/>
      <c r="G134" s="90"/>
      <c r="I134" s="90"/>
      <c r="J134" s="90"/>
      <c r="K134" s="90"/>
      <c r="L134" s="90"/>
      <c r="M134" s="90"/>
      <c r="N134" s="90"/>
      <c r="P134" s="90"/>
      <c r="Q134" s="90"/>
      <c r="R134" s="90"/>
      <c r="S134" s="90"/>
      <c r="T134" s="90"/>
      <c r="U134" s="90"/>
      <c r="BA134" t="str">
        <f>'Analysis report'!A282</f>
        <v>Interior Fit-out</v>
      </c>
      <c r="BB134" s="54">
        <f>_xlfn.MAXIFS('Analysis report'!$J$290:$J$329,'Analysis report'!$A$290:$A$329,$BA$134)</f>
        <v>91.286225739589227</v>
      </c>
      <c r="BC134" s="54">
        <f>_xlfn.MINIFS('Analysis report'!$J$290:$J$329,'Analysis report'!$A$290:$A$329,$BA$134)</f>
        <v>36.843157371343821</v>
      </c>
    </row>
    <row r="135" spans="2:55" ht="13.95" customHeight="1">
      <c r="B135" s="90"/>
      <c r="C135" s="90"/>
      <c r="D135" s="90"/>
      <c r="E135" s="90"/>
      <c r="F135" s="90"/>
      <c r="G135" s="90"/>
      <c r="I135" s="90"/>
      <c r="J135" s="90"/>
      <c r="K135" s="90"/>
      <c r="L135" s="90"/>
      <c r="M135" s="90"/>
      <c r="N135" s="90"/>
      <c r="P135" s="90"/>
      <c r="Q135" s="90"/>
      <c r="R135" s="90"/>
      <c r="S135" s="90"/>
      <c r="T135" s="90"/>
      <c r="U135" s="90"/>
      <c r="BA135" t="str">
        <f>'Analysis report'!A283</f>
        <v>Landscaping</v>
      </c>
      <c r="BB135" s="54">
        <f>_xlfn.MAXIFS('Analysis report'!$J$290:$J$329,'Analysis report'!$A$290:$A$329,$BA$135)</f>
        <v>81.635635635635651</v>
      </c>
      <c r="BC135" s="54">
        <f>_xlfn.MINIFS('Analysis report'!$J$290:$J$329,'Analysis report'!$A$290:$A$329,$BA$135)</f>
        <v>40.417512739721154</v>
      </c>
    </row>
    <row r="136" spans="2:55" ht="13.95" customHeight="1">
      <c r="B136" s="90"/>
      <c r="C136" s="90"/>
      <c r="D136" s="90"/>
      <c r="E136" s="90"/>
      <c r="F136" s="90"/>
      <c r="G136" s="90"/>
      <c r="I136" s="90"/>
      <c r="J136" s="90"/>
      <c r="K136" s="90"/>
      <c r="L136" s="90"/>
      <c r="M136" s="90"/>
      <c r="N136" s="90"/>
      <c r="P136" s="90"/>
      <c r="Q136" s="90"/>
      <c r="R136" s="90"/>
      <c r="S136" s="90"/>
      <c r="T136" s="90"/>
      <c r="U136" s="90"/>
    </row>
    <row r="137" spans="2:55" ht="13.95" customHeight="1">
      <c r="BA137" s="86" t="s">
        <v>1875</v>
      </c>
    </row>
    <row r="138" spans="2:55" ht="13.95" customHeight="1">
      <c r="BA138" s="36" t="s">
        <v>406</v>
      </c>
      <c r="BB138" s="36" t="s">
        <v>1876</v>
      </c>
      <c r="BC138" s="36" t="s">
        <v>1877</v>
      </c>
    </row>
    <row r="139" spans="2:55" ht="13.95" customHeight="1">
      <c r="BA139" t="str">
        <f>'Analysis report'!A334</f>
        <v>Contractor-A</v>
      </c>
      <c r="BB139" s="60">
        <f>'Analysis report'!B334</f>
        <v>4</v>
      </c>
      <c r="BC139" s="22">
        <f>'Analysis report'!E334</f>
        <v>2.3695393891940983</v>
      </c>
    </row>
    <row r="140" spans="2:55" ht="13.95" customHeight="1">
      <c r="BA140" t="str">
        <f>'Analysis report'!A335</f>
        <v>Contractor-B</v>
      </c>
      <c r="BB140" s="60">
        <f>'Analysis report'!B335</f>
        <v>2</v>
      </c>
      <c r="BC140" s="22">
        <f>'Analysis report'!E335</f>
        <v>2.1816778421998109</v>
      </c>
    </row>
    <row r="141" spans="2:55" ht="13.95" customHeight="1">
      <c r="BA141" t="str">
        <f>'Analysis report'!A336</f>
        <v>Contractor-D</v>
      </c>
      <c r="BB141" s="60">
        <f>'Analysis report'!B336</f>
        <v>6</v>
      </c>
      <c r="BC141" s="22">
        <f>'Analysis report'!E336</f>
        <v>2.8617207216365297</v>
      </c>
    </row>
    <row r="142" spans="2:55" ht="13.95" customHeight="1">
      <c r="BA142" t="str">
        <f>'Analysis report'!A337</f>
        <v>Contractor-E</v>
      </c>
      <c r="BB142" s="60">
        <f>'Analysis report'!B337</f>
        <v>2</v>
      </c>
      <c r="BC142" s="22">
        <f>'Analysis report'!E337</f>
        <v>2.4577045022523212</v>
      </c>
    </row>
    <row r="143" spans="2:55" ht="13.95" customHeight="1">
      <c r="BA143" t="str">
        <f>'Analysis report'!A338</f>
        <v>Contractor-F</v>
      </c>
      <c r="BB143" s="60">
        <f>'Analysis report'!B338</f>
        <v>3</v>
      </c>
      <c r="BC143" s="22">
        <f>'Analysis report'!E338</f>
        <v>4.6642832307982554</v>
      </c>
    </row>
    <row r="144" spans="2:55" ht="13.95" customHeight="1">
      <c r="BA144" t="str">
        <f>'Analysis report'!A339</f>
        <v>Contractor-H</v>
      </c>
      <c r="BB144" s="60">
        <f>'Analysis report'!B339</f>
        <v>3</v>
      </c>
      <c r="BC144" s="22">
        <f>'Analysis report'!E339</f>
        <v>3.711490082722658</v>
      </c>
    </row>
    <row r="145" spans="2:55" ht="13.95" customHeight="1">
      <c r="BA145" t="str">
        <f>'Analysis report'!A340</f>
        <v>Contractor-I</v>
      </c>
      <c r="BB145" s="60">
        <f>'Analysis report'!B340</f>
        <v>2</v>
      </c>
      <c r="BC145" s="22">
        <f>'Analysis report'!E340</f>
        <v>1.4423231947044948</v>
      </c>
    </row>
    <row r="146" spans="2:55" ht="13.95" customHeight="1">
      <c r="BA146" t="str">
        <f>'Analysis report'!A341</f>
        <v>Contractor-J</v>
      </c>
      <c r="BB146" s="60">
        <f>'Analysis report'!B341</f>
        <v>2</v>
      </c>
      <c r="BC146" s="22">
        <f>'Analysis report'!E341</f>
        <v>3.0107507511288705</v>
      </c>
    </row>
    <row r="147" spans="2:55" ht="13.95" customHeight="1">
      <c r="BA147" t="str">
        <f>'Analysis report'!A342</f>
        <v>Contractor-K</v>
      </c>
      <c r="BB147" s="60">
        <f>'Analysis report'!B342</f>
        <v>3</v>
      </c>
      <c r="BC147" s="22">
        <f>'Analysis report'!E342</f>
        <v>1.5855997755782065</v>
      </c>
    </row>
    <row r="148" spans="2:55" ht="13.95" customHeight="1">
      <c r="BA148" t="str">
        <f>'Analysis report'!A343</f>
        <v>Contractor-L</v>
      </c>
      <c r="BB148" s="60">
        <f>'Analysis report'!B343</f>
        <v>1</v>
      </c>
      <c r="BC148" s="22">
        <f>'Analysis report'!E343</f>
        <v>5.4021805214544605</v>
      </c>
    </row>
    <row r="149" spans="2:55" ht="13.95" customHeight="1">
      <c r="BA149" t="str">
        <f>'Analysis report'!A344</f>
        <v>Contractor-M</v>
      </c>
      <c r="BB149" s="60">
        <f>'Analysis report'!B344</f>
        <v>3</v>
      </c>
      <c r="BC149" s="22">
        <f>'Analysis report'!E344</f>
        <v>1.3676361939149546</v>
      </c>
    </row>
    <row r="150" spans="2:55" ht="13.95" customHeight="1">
      <c r="BA150" t="str">
        <f>'Analysis report'!A345</f>
        <v>Contractor-N</v>
      </c>
      <c r="BB150" s="60">
        <f>'Analysis report'!B345</f>
        <v>5</v>
      </c>
      <c r="BC150" s="22">
        <f>'Analysis report'!E345</f>
        <v>2.526278810478388</v>
      </c>
    </row>
    <row r="151" spans="2:55" ht="13.95" customHeight="1">
      <c r="BA151" t="str">
        <f>'Analysis report'!A346</f>
        <v>Contractor-O</v>
      </c>
      <c r="BB151" s="60">
        <f>'Analysis report'!B346</f>
        <v>4</v>
      </c>
      <c r="BC151" s="22">
        <f>'Analysis report'!E346</f>
        <v>2.3547520142939344</v>
      </c>
    </row>
    <row r="152" spans="2:55" ht="13.95" customHeight="1"/>
    <row r="153" spans="2:55" ht="13.95" customHeight="1">
      <c r="B153" s="88" t="str">
        <f>'Analysis report'!A186</f>
        <v>Q4. Total financial impact of quantity overruns per project</v>
      </c>
      <c r="C153" s="88"/>
      <c r="D153" s="88"/>
      <c r="E153" s="88"/>
      <c r="F153" s="88"/>
      <c r="G153" s="88"/>
      <c r="I153" s="88" t="str">
        <f>'Analysis report'!A194</f>
        <v>Q5. BOQ Amount vs Actual Amount per trade — Project WT-DC-MUM-01 (chart to the right)</v>
      </c>
      <c r="J153" s="88"/>
      <c r="K153" s="88"/>
      <c r="L153" s="88"/>
      <c r="M153" s="88"/>
      <c r="N153" s="88"/>
      <c r="P153" s="88" t="str">
        <f>'Analysis report'!A204</f>
        <v>Q6. Which items have negative variance (came under BOQ)? What is the saving?</v>
      </c>
      <c r="Q153" s="88"/>
      <c r="R153" s="88"/>
      <c r="S153" s="88"/>
      <c r="T153" s="88"/>
      <c r="U153" s="88"/>
      <c r="BA153" s="86" t="s">
        <v>1878</v>
      </c>
    </row>
    <row r="154" spans="2:55" ht="13.95" customHeight="1">
      <c r="B154" s="88"/>
      <c r="C154" s="88"/>
      <c r="D154" s="88"/>
      <c r="E154" s="88"/>
      <c r="F154" s="88"/>
      <c r="G154" s="88"/>
      <c r="I154" s="88"/>
      <c r="J154" s="88"/>
      <c r="K154" s="88"/>
      <c r="L154" s="88"/>
      <c r="M154" s="88"/>
      <c r="N154" s="88"/>
      <c r="P154" s="88"/>
      <c r="Q154" s="88"/>
      <c r="R154" s="88"/>
      <c r="S154" s="88"/>
      <c r="T154" s="88"/>
      <c r="U154" s="88"/>
      <c r="BA154" s="36" t="s">
        <v>1879</v>
      </c>
      <c r="BB154" s="36" t="s">
        <v>1880</v>
      </c>
      <c r="BC154" s="36" t="s">
        <v>1881</v>
      </c>
    </row>
    <row r="155" spans="2:55" ht="13.95" customHeight="1">
      <c r="B155" s="89" t="str">
        <f>'Analysis report'!A192</f>
        <v>ANSWER: Gross overrun impact is $18,28,491 against $2,37,902 of savings, a net $15,90,589 across the three projects. Worst project: WT-OFF-SYD-02 at $7,16,910 net.</v>
      </c>
      <c r="C155" s="90"/>
      <c r="D155" s="90"/>
      <c r="E155" s="90"/>
      <c r="F155" s="90"/>
      <c r="G155" s="90"/>
      <c r="I155" s="89" t="str">
        <f>'Analysis report'!A202</f>
        <v>ANSWER: For WT-DC-MUM-01 the BOQ of $56,86,240 has been measured at $60,61,895, a $3,75,655 (6.6%) build-up. The biggest contributor is Civil &amp; Structure (+$2,38,929). Chart to the right shows the BOQ-to-actual build-up by trade.</v>
      </c>
      <c r="J155" s="90"/>
      <c r="K155" s="90"/>
      <c r="L155" s="90"/>
      <c r="M155" s="90"/>
      <c r="N155" s="90"/>
      <c r="P155" s="89" t="str">
        <f>'Analysis report'!A210</f>
        <v>ANSWER: 19 of 72 BOQ items came in under quantity, saving $2,37,902 in total ($12,521 per item on average). The single largest saving is GI Piping on WT-DC-MUM-01 (MEP - Plumbing) at $49,998. Note: the source sheet's Overrun_Impact column records only positive overruns, so savings here are computed as Actual Amount minus BOQ Amount.</v>
      </c>
      <c r="Q155" s="90"/>
      <c r="R155" s="90"/>
      <c r="S155" s="90"/>
      <c r="T155" s="90"/>
      <c r="U155" s="90"/>
      <c r="BA155" t="str">
        <f>'Analysis report'!B352&amp;" · "&amp;'Analysis report'!C352</f>
        <v>Contractor-M · Structural Works</v>
      </c>
      <c r="BB155" s="54">
        <f>'Analysis report'!E352</f>
        <v>3.4</v>
      </c>
      <c r="BC155" s="54">
        <f>'Analysis report'!F352</f>
        <v>11.4</v>
      </c>
    </row>
    <row r="156" spans="2:55" ht="13.95" customHeight="1">
      <c r="B156" s="90"/>
      <c r="C156" s="90"/>
      <c r="D156" s="90"/>
      <c r="E156" s="90"/>
      <c r="F156" s="90"/>
      <c r="G156" s="90"/>
      <c r="I156" s="90"/>
      <c r="J156" s="90"/>
      <c r="K156" s="90"/>
      <c r="L156" s="90"/>
      <c r="M156" s="90"/>
      <c r="N156" s="90"/>
      <c r="P156" s="90"/>
      <c r="Q156" s="90"/>
      <c r="R156" s="90"/>
      <c r="S156" s="90"/>
      <c r="T156" s="90"/>
      <c r="U156" s="90"/>
      <c r="BA156" t="str">
        <f>'Analysis report'!B353&amp;" · "&amp;'Analysis report'!C353</f>
        <v>Contractor-O · MEP Package</v>
      </c>
      <c r="BB156" s="54">
        <f>'Analysis report'!E353</f>
        <v>3.2</v>
      </c>
      <c r="BC156" s="54">
        <f>'Analysis report'!F353</f>
        <v>9.3000000000000007</v>
      </c>
    </row>
    <row r="157" spans="2:55" ht="13.95" customHeight="1">
      <c r="B157" s="90"/>
      <c r="C157" s="90"/>
      <c r="D157" s="90"/>
      <c r="E157" s="90"/>
      <c r="F157" s="90"/>
      <c r="G157" s="90"/>
      <c r="I157" s="90"/>
      <c r="J157" s="90"/>
      <c r="K157" s="90"/>
      <c r="L157" s="90"/>
      <c r="M157" s="90"/>
      <c r="N157" s="90"/>
      <c r="P157" s="90"/>
      <c r="Q157" s="90"/>
      <c r="R157" s="90"/>
      <c r="S157" s="90"/>
      <c r="T157" s="90"/>
      <c r="U157" s="90"/>
      <c r="BA157" t="str">
        <f>'Analysis report'!B354&amp;" · "&amp;'Analysis report'!C354</f>
        <v>Contractor-O · MEP Package</v>
      </c>
      <c r="BB157" s="54">
        <f>'Analysis report'!E354</f>
        <v>2.7</v>
      </c>
      <c r="BC157" s="54">
        <f>'Analysis report'!F354</f>
        <v>11</v>
      </c>
    </row>
    <row r="158" spans="2:55" ht="13.95" customHeight="1">
      <c r="B158" s="90"/>
      <c r="C158" s="90"/>
      <c r="D158" s="90"/>
      <c r="E158" s="90"/>
      <c r="F158" s="90"/>
      <c r="G158" s="90"/>
      <c r="I158" s="90"/>
      <c r="J158" s="90"/>
      <c r="K158" s="90"/>
      <c r="L158" s="90"/>
      <c r="M158" s="90"/>
      <c r="N158" s="90"/>
      <c r="P158" s="90"/>
      <c r="Q158" s="90"/>
      <c r="R158" s="90"/>
      <c r="S158" s="90"/>
      <c r="T158" s="90"/>
      <c r="U158" s="90"/>
      <c r="BA158" t="str">
        <f>'Analysis report'!B355&amp;" · "&amp;'Analysis report'!C355</f>
        <v>Contractor-F · MEP Package</v>
      </c>
      <c r="BB158" s="54">
        <f>'Analysis report'!E355</f>
        <v>2.6</v>
      </c>
      <c r="BC158" s="54">
        <f>'Analysis report'!F355</f>
        <v>11.1</v>
      </c>
    </row>
    <row r="159" spans="2:55" ht="13.95" customHeight="1"/>
    <row r="160" spans="2:55" ht="13.95" customHeight="1">
      <c r="BA160" s="86" t="s">
        <v>1882</v>
      </c>
    </row>
    <row r="161" spans="2:55" ht="13.95" customHeight="1">
      <c r="BA161" s="36" t="s">
        <v>1883</v>
      </c>
      <c r="BB161" s="36" t="s">
        <v>1471</v>
      </c>
      <c r="BC161" s="36" t="s">
        <v>1477</v>
      </c>
    </row>
    <row r="162" spans="2:55" ht="13.95" customHeight="1">
      <c r="BA162" t="str">
        <f>'Analysis report'!B387</f>
        <v>RFI Response Delay</v>
      </c>
      <c r="BB162" s="60">
        <f>'Analysis report'!C387</f>
        <v>11</v>
      </c>
      <c r="BC162" s="39">
        <f>'Analysis report'!E387</f>
        <v>0.18333333333333332</v>
      </c>
    </row>
    <row r="163" spans="2:55" ht="13.95" customHeight="1">
      <c r="BA163" t="str">
        <f>'Analysis report'!B388</f>
        <v>Permit Delay</v>
      </c>
      <c r="BB163" s="60">
        <f>'Analysis report'!C388</f>
        <v>8</v>
      </c>
      <c r="BC163" s="39">
        <f>'Analysis report'!E388</f>
        <v>0.31666666666666665</v>
      </c>
    </row>
    <row r="164" spans="2:55" ht="13.95" customHeight="1">
      <c r="BA164" t="str">
        <f>'Analysis report'!B389</f>
        <v>Material Delay</v>
      </c>
      <c r="BB164" s="60">
        <f>'Analysis report'!C389</f>
        <v>8</v>
      </c>
      <c r="BC164" s="39">
        <f>'Analysis report'!E389</f>
        <v>0.44999999999999996</v>
      </c>
    </row>
    <row r="165" spans="2:55" ht="13.95" customHeight="1">
      <c r="BA165" t="str">
        <f>'Analysis report'!B390</f>
        <v>Client Decision Pending</v>
      </c>
      <c r="BB165" s="60">
        <f>'Analysis report'!C390</f>
        <v>6</v>
      </c>
      <c r="BC165" s="39">
        <f>'Analysis report'!E390</f>
        <v>0.54999999999999993</v>
      </c>
    </row>
    <row r="166" spans="2:55" ht="13.95" customHeight="1">
      <c r="BA166" t="str">
        <f>'Analysis report'!B391</f>
        <v>Labour Shortage</v>
      </c>
      <c r="BB166" s="60">
        <f>'Analysis report'!C391</f>
        <v>5</v>
      </c>
      <c r="BC166" s="39">
        <f>'Analysis report'!E391</f>
        <v>0.6333333333333333</v>
      </c>
    </row>
    <row r="167" spans="2:55" ht="13.95" customHeight="1">
      <c r="BA167" t="str">
        <f>'Analysis report'!B392</f>
        <v>Equipment Breakdown</v>
      </c>
      <c r="BB167" s="60">
        <f>'Analysis report'!C392</f>
        <v>5</v>
      </c>
      <c r="BC167" s="39">
        <f>'Analysis report'!E392</f>
        <v>0.71666666666666667</v>
      </c>
    </row>
    <row r="168" spans="2:55" ht="13.95" customHeight="1">
      <c r="BA168" t="str">
        <f>'Analysis report'!B393</f>
        <v>Rework</v>
      </c>
      <c r="BB168" s="60">
        <f>'Analysis report'!C393</f>
        <v>5</v>
      </c>
      <c r="BC168" s="39">
        <f>'Analysis report'!E393</f>
        <v>0.8</v>
      </c>
    </row>
    <row r="169" spans="2:55" ht="13.95" customHeight="1">
      <c r="BA169" t="str">
        <f>'Analysis report'!B394</f>
        <v>Weather</v>
      </c>
      <c r="BB169" s="60">
        <f>'Analysis report'!C394</f>
        <v>5</v>
      </c>
      <c r="BC169" s="39">
        <f>'Analysis report'!E394</f>
        <v>0.88333333333333341</v>
      </c>
    </row>
    <row r="170" spans="2:55" ht="13.95" customHeight="1">
      <c r="BA170" t="str">
        <f>'Analysis report'!B395</f>
        <v>Design Change</v>
      </c>
      <c r="BB170" s="60">
        <f>'Analysis report'!C395</f>
        <v>4</v>
      </c>
      <c r="BC170" s="39">
        <f>'Analysis report'!E395</f>
        <v>0.95000000000000007</v>
      </c>
    </row>
    <row r="171" spans="2:55" ht="13.95" customHeight="1">
      <c r="BA171" t="str">
        <f>'Analysis report'!B396</f>
        <v>Subcontractor Default</v>
      </c>
      <c r="BB171" s="60">
        <f>'Analysis report'!C396</f>
        <v>3</v>
      </c>
      <c r="BC171" s="39">
        <f>'Analysis report'!E396</f>
        <v>1</v>
      </c>
    </row>
    <row r="172" spans="2:55" ht="13.95" customHeight="1"/>
    <row r="173" spans="2:55" ht="13.95" customHeight="1">
      <c r="BA173" s="86" t="s">
        <v>1884</v>
      </c>
    </row>
    <row r="174" spans="2:55" ht="13.95" customHeight="1">
      <c r="BA174" s="36" t="s">
        <v>219</v>
      </c>
      <c r="BB174" s="36" t="s">
        <v>1885</v>
      </c>
      <c r="BC174" s="36" t="s">
        <v>1886</v>
      </c>
    </row>
    <row r="175" spans="2:55" ht="13.95" customHeight="1">
      <c r="BA175" t="str">
        <f>'Analysis report'!A427</f>
        <v>Jan</v>
      </c>
      <c r="BB175" s="60">
        <f>'Analysis report'!B427</f>
        <v>36</v>
      </c>
      <c r="BC175" s="60">
        <f>'Analysis report'!D427</f>
        <v>72</v>
      </c>
    </row>
    <row r="176" spans="2:55" ht="22.05" customHeight="1">
      <c r="B176" s="93" t="str">
        <f>'Analysis report'!A212</f>
        <v>PROBLEM 04 — Labour Productivity by Trade    |    Source sheet: P04-LabourProd (80 daily records, 4 projects)</v>
      </c>
      <c r="C176" s="90"/>
      <c r="D176" s="90"/>
      <c r="E176" s="90"/>
      <c r="F176" s="90"/>
      <c r="G176" s="90"/>
      <c r="H176" s="90"/>
      <c r="I176" s="90"/>
      <c r="J176" s="90"/>
      <c r="K176" s="90"/>
      <c r="L176" s="90"/>
      <c r="M176" s="90"/>
      <c r="N176" s="90"/>
      <c r="O176" s="90"/>
      <c r="P176" s="90"/>
      <c r="Q176" s="90"/>
      <c r="R176" s="90"/>
      <c r="S176" s="90"/>
      <c r="T176" s="90"/>
      <c r="U176" s="90"/>
      <c r="BA176" t="str">
        <f>'Analysis report'!A428</f>
        <v>Feb</v>
      </c>
      <c r="BB176" s="60">
        <f>'Analysis report'!B428</f>
        <v>0</v>
      </c>
      <c r="BC176" s="60">
        <f>'Analysis report'!D428</f>
        <v>0</v>
      </c>
    </row>
    <row r="177" spans="2:55" ht="13.95" customHeight="1">
      <c r="BA177" t="str">
        <f>'Analysis report'!A429</f>
        <v>Mar</v>
      </c>
      <c r="BB177" s="60">
        <f>'Analysis report'!B429</f>
        <v>0</v>
      </c>
      <c r="BC177" s="60">
        <f>'Analysis report'!D429</f>
        <v>0</v>
      </c>
    </row>
    <row r="178" spans="2:55" ht="13.95" customHeight="1">
      <c r="B178" s="88" t="str">
        <f>'Analysis report'!A213</f>
        <v>Q1. Which trade has the highest average productivity per man-hour?</v>
      </c>
      <c r="C178" s="88"/>
      <c r="D178" s="88"/>
      <c r="E178" s="88"/>
      <c r="F178" s="88"/>
      <c r="G178" s="88"/>
      <c r="I178" s="88" t="str">
        <f>'Analysis report'!A223</f>
        <v>Q2. Is there a productivity difference between projects in India vs Australia?</v>
      </c>
      <c r="J178" s="88"/>
      <c r="K178" s="88"/>
      <c r="L178" s="88"/>
      <c r="M178" s="88"/>
      <c r="N178" s="88"/>
      <c r="P178" s="88" t="str">
        <f>'Analysis report'!A231</f>
        <v>Q3. Summary statistics of productivity by trade — which has the most variance?</v>
      </c>
      <c r="Q178" s="88"/>
      <c r="R178" s="88"/>
      <c r="S178" s="88"/>
      <c r="T178" s="88"/>
      <c r="U178" s="88"/>
      <c r="BA178" t="str">
        <f>'Analysis report'!A430</f>
        <v>Apr</v>
      </c>
      <c r="BB178" s="60">
        <f>'Analysis report'!B430</f>
        <v>0</v>
      </c>
      <c r="BC178" s="60">
        <f>'Analysis report'!D430</f>
        <v>48</v>
      </c>
    </row>
    <row r="179" spans="2:55" ht="13.95" customHeight="1">
      <c r="B179" s="88"/>
      <c r="C179" s="88"/>
      <c r="D179" s="88"/>
      <c r="E179" s="88"/>
      <c r="F179" s="88"/>
      <c r="G179" s="88"/>
      <c r="I179" s="88"/>
      <c r="J179" s="88"/>
      <c r="K179" s="88"/>
      <c r="L179" s="88"/>
      <c r="M179" s="88"/>
      <c r="N179" s="88"/>
      <c r="P179" s="88"/>
      <c r="Q179" s="88"/>
      <c r="R179" s="88"/>
      <c r="S179" s="88"/>
      <c r="T179" s="88"/>
      <c r="U179" s="88"/>
      <c r="BA179" t="str">
        <f>'Analysis report'!A431</f>
        <v>May</v>
      </c>
      <c r="BB179" s="60">
        <f>'Analysis report'!B431</f>
        <v>0</v>
      </c>
      <c r="BC179" s="60">
        <f>'Analysis report'!D431</f>
        <v>103</v>
      </c>
    </row>
    <row r="180" spans="2:55" ht="13.95" customHeight="1">
      <c r="B180" s="89" t="str">
        <f>'Analysis report'!A221</f>
        <v>ANSWER: Civil &amp; Structure has the highest average productivity at 3.54 units per man-hour; the lowest is MEP - Plumbing at 2.23. Note: output units differ by trade (cum, rmt, sqm), so compare within a trade rather than across.</v>
      </c>
      <c r="C180" s="90"/>
      <c r="D180" s="90"/>
      <c r="E180" s="90"/>
      <c r="F180" s="90"/>
      <c r="G180" s="90"/>
      <c r="I180" s="89" t="str">
        <f>'Analysis report'!A229</f>
        <v>ANSWER: India-based projects average 3.25 units/man-hour vs Australia at 3.05 — a gap of 0.20 (6.5%). India is more productive on this sample, but the two countries run different trade mixes and output units, so the gap is indicative only.</v>
      </c>
      <c r="J180" s="90"/>
      <c r="K180" s="90"/>
      <c r="L180" s="90"/>
      <c r="M180" s="90"/>
      <c r="N180" s="90"/>
      <c r="P180" s="89" t="str">
        <f>'Analysis report'!A239</f>
        <v>ANSWER: Civil &amp; Structure shows the most variance (std dev 2.00, CV 56.4%); the most consistent is MEP - HVAC (std dev 1.13). High variance points to unstable crew mix or interrupted work fronts.</v>
      </c>
      <c r="Q180" s="90"/>
      <c r="R180" s="90"/>
      <c r="S180" s="90"/>
      <c r="T180" s="90"/>
      <c r="U180" s="90"/>
      <c r="BA180" t="str">
        <f>'Analysis report'!A432</f>
        <v>Jun</v>
      </c>
      <c r="BB180" s="60">
        <f>'Analysis report'!B432</f>
        <v>44</v>
      </c>
      <c r="BC180" s="60">
        <f>'Analysis report'!D432</f>
        <v>285</v>
      </c>
    </row>
    <row r="181" spans="2:55" ht="13.95" customHeight="1">
      <c r="B181" s="90"/>
      <c r="C181" s="90"/>
      <c r="D181" s="90"/>
      <c r="E181" s="90"/>
      <c r="F181" s="90"/>
      <c r="G181" s="90"/>
      <c r="I181" s="90"/>
      <c r="J181" s="90"/>
      <c r="K181" s="90"/>
      <c r="L181" s="90"/>
      <c r="M181" s="90"/>
      <c r="N181" s="90"/>
      <c r="P181" s="90"/>
      <c r="Q181" s="90"/>
      <c r="R181" s="90"/>
      <c r="S181" s="90"/>
      <c r="T181" s="90"/>
      <c r="U181" s="90"/>
      <c r="BA181" t="str">
        <f>'Analysis report'!A433</f>
        <v>Jul</v>
      </c>
      <c r="BB181" s="60">
        <f>'Analysis report'!B433</f>
        <v>0</v>
      </c>
      <c r="BC181" s="60">
        <f>'Analysis report'!D433</f>
        <v>153</v>
      </c>
    </row>
    <row r="182" spans="2:55" ht="13.95" customHeight="1">
      <c r="B182" s="90"/>
      <c r="C182" s="90"/>
      <c r="D182" s="90"/>
      <c r="E182" s="90"/>
      <c r="F182" s="90"/>
      <c r="G182" s="90"/>
      <c r="I182" s="90"/>
      <c r="J182" s="90"/>
      <c r="K182" s="90"/>
      <c r="L182" s="90"/>
      <c r="M182" s="90"/>
      <c r="N182" s="90"/>
      <c r="P182" s="90"/>
      <c r="Q182" s="90"/>
      <c r="R182" s="90"/>
      <c r="S182" s="90"/>
      <c r="T182" s="90"/>
      <c r="U182" s="90"/>
      <c r="BA182" t="str">
        <f>'Analysis report'!A434</f>
        <v>Aug</v>
      </c>
      <c r="BB182" s="60">
        <f>'Analysis report'!B434</f>
        <v>19</v>
      </c>
      <c r="BC182" s="60">
        <f>'Analysis report'!D434</f>
        <v>126</v>
      </c>
    </row>
    <row r="183" spans="2:55" ht="13.95" customHeight="1">
      <c r="B183" s="90"/>
      <c r="C183" s="90"/>
      <c r="D183" s="90"/>
      <c r="E183" s="90"/>
      <c r="F183" s="90"/>
      <c r="G183" s="90"/>
      <c r="I183" s="90"/>
      <c r="J183" s="90"/>
      <c r="K183" s="90"/>
      <c r="L183" s="90"/>
      <c r="M183" s="90"/>
      <c r="N183" s="90"/>
      <c r="P183" s="90"/>
      <c r="Q183" s="90"/>
      <c r="R183" s="90"/>
      <c r="S183" s="90"/>
      <c r="T183" s="90"/>
      <c r="U183" s="90"/>
      <c r="BA183" t="str">
        <f>'Analysis report'!A435</f>
        <v>Sep</v>
      </c>
      <c r="BB183" s="60">
        <f>'Analysis report'!B435</f>
        <v>0</v>
      </c>
      <c r="BC183" s="60">
        <f>'Analysis report'!D435</f>
        <v>239</v>
      </c>
    </row>
    <row r="184" spans="2:55" ht="13.95" customHeight="1">
      <c r="BA184" t="str">
        <f>'Analysis report'!A436</f>
        <v>Oct</v>
      </c>
      <c r="BB184" s="60">
        <f>'Analysis report'!B436</f>
        <v>0</v>
      </c>
      <c r="BC184" s="60">
        <f>'Analysis report'!D436</f>
        <v>33</v>
      </c>
    </row>
    <row r="185" spans="2:55" ht="13.95" customHeight="1">
      <c r="BA185" t="str">
        <f>'Analysis report'!A437</f>
        <v>Nov</v>
      </c>
      <c r="BB185" s="60">
        <f>'Analysis report'!B437</f>
        <v>45</v>
      </c>
      <c r="BC185" s="60">
        <f>'Analysis report'!D437</f>
        <v>141</v>
      </c>
    </row>
    <row r="186" spans="2:55" ht="13.95" customHeight="1">
      <c r="BA186" t="str">
        <f>'Analysis report'!A438</f>
        <v>Dec</v>
      </c>
      <c r="BB186" s="60">
        <f>'Analysis report'!B438</f>
        <v>15</v>
      </c>
      <c r="BC186" s="60">
        <f>'Analysis report'!D438</f>
        <v>267</v>
      </c>
    </row>
    <row r="187" spans="2:55" ht="13.95" customHeight="1"/>
    <row r="188" spans="2:55" ht="13.95" customHeight="1">
      <c r="BA188" s="86" t="s">
        <v>1887</v>
      </c>
    </row>
    <row r="189" spans="2:55" ht="13.95" customHeight="1">
      <c r="BA189" s="36" t="s">
        <v>439</v>
      </c>
      <c r="BB189" s="36" t="s">
        <v>1888</v>
      </c>
      <c r="BC189" s="36" t="s">
        <v>1889</v>
      </c>
    </row>
    <row r="190" spans="2:55" ht="13.95" customHeight="1">
      <c r="BA190" t="str">
        <f>'Analysis report'!A443</f>
        <v>Foundation</v>
      </c>
      <c r="BB190" s="60">
        <f>'Analysis report'!C443</f>
        <v>128</v>
      </c>
      <c r="BC190" s="54">
        <f>'Analysis report'!D443</f>
        <v>25.6</v>
      </c>
    </row>
    <row r="191" spans="2:55" ht="13.95" customHeight="1">
      <c r="BA191" t="str">
        <f>'Analysis report'!A444</f>
        <v>Superstructure</v>
      </c>
      <c r="BB191" s="60">
        <f>'Analysis report'!C444</f>
        <v>84</v>
      </c>
      <c r="BC191" s="54">
        <f>'Analysis report'!D444</f>
        <v>21</v>
      </c>
    </row>
    <row r="192" spans="2:55" ht="13.95" customHeight="1">
      <c r="BA192" t="str">
        <f>'Analysis report'!A445</f>
        <v>MEP Rough-In</v>
      </c>
      <c r="BB192" s="60">
        <f>'Analysis report'!C445</f>
        <v>201</v>
      </c>
      <c r="BC192" s="54">
        <f>'Analysis report'!D445</f>
        <v>33.5</v>
      </c>
    </row>
    <row r="193" spans="2:55" ht="13.95" customHeight="1">
      <c r="BA193" t="str">
        <f>'Analysis report'!A446</f>
        <v>Facade Installation</v>
      </c>
      <c r="BB193" s="60">
        <f>'Analysis report'!C446</f>
        <v>133</v>
      </c>
      <c r="BC193" s="54">
        <f>'Analysis report'!D446</f>
        <v>22.166666666666668</v>
      </c>
    </row>
    <row r="194" spans="2:55" ht="13.95" customHeight="1">
      <c r="BA194" t="str">
        <f>'Analysis report'!A447</f>
        <v>Interior Works</v>
      </c>
      <c r="BB194" s="60">
        <f>'Analysis report'!C447</f>
        <v>182</v>
      </c>
      <c r="BC194" s="54">
        <f>'Analysis report'!D447</f>
        <v>20.222222222222221</v>
      </c>
    </row>
    <row r="195" spans="2:55" ht="13.95" customHeight="1">
      <c r="BA195" t="str">
        <f>'Analysis report'!A448</f>
        <v>External Works</v>
      </c>
      <c r="BB195" s="60">
        <f>'Analysis report'!C448</f>
        <v>143</v>
      </c>
      <c r="BC195" s="54">
        <f>'Analysis report'!D448</f>
        <v>20.428571428571427</v>
      </c>
    </row>
    <row r="196" spans="2:55" ht="13.95" customHeight="1">
      <c r="BA196" t="str">
        <f>'Analysis report'!A449</f>
        <v>Landscape</v>
      </c>
      <c r="BB196" s="60">
        <f>'Analysis report'!C449</f>
        <v>183</v>
      </c>
      <c r="BC196" s="54">
        <f>'Analysis report'!D449</f>
        <v>26.142857142857142</v>
      </c>
    </row>
    <row r="197" spans="2:55" ht="13.95" customHeight="1">
      <c r="BA197" t="str">
        <f>'Analysis report'!A450</f>
        <v>Testing &amp; Commissioning</v>
      </c>
      <c r="BB197" s="60">
        <f>'Analysis report'!C450</f>
        <v>291</v>
      </c>
      <c r="BC197" s="54">
        <f>'Analysis report'!D450</f>
        <v>26.454545454545453</v>
      </c>
    </row>
    <row r="198" spans="2:55" ht="13.95" customHeight="1">
      <c r="BA198" t="str">
        <f>'Analysis report'!A451</f>
        <v>Handover Prep</v>
      </c>
      <c r="BB198" s="60">
        <f>'Analysis report'!C451</f>
        <v>122</v>
      </c>
      <c r="BC198" s="54">
        <f>'Analysis report'!D451</f>
        <v>24.4</v>
      </c>
    </row>
    <row r="199" spans="2:55" ht="13.95" customHeight="1"/>
    <row r="200" spans="2:55" ht="13.95" customHeight="1">
      <c r="B200" s="88" t="str">
        <f>'Analysis report'!A241</f>
        <v>Q4. On which dates did productivity drop below the 25th percentile? What was the trade?</v>
      </c>
      <c r="C200" s="88"/>
      <c r="D200" s="88"/>
      <c r="E200" s="88"/>
      <c r="F200" s="88"/>
      <c r="G200" s="88"/>
      <c r="I200" s="88" t="str">
        <f>'Analysis report'!A256</f>
        <v>Q5. Optimal crew size (workers count) that maximises productivity for Civil &amp; Structure</v>
      </c>
      <c r="J200" s="88"/>
      <c r="K200" s="88"/>
      <c r="L200" s="88"/>
      <c r="M200" s="88"/>
      <c r="N200" s="88"/>
      <c r="P200" s="88" t="str">
        <f>'Analysis report'!A264</f>
        <v>Q6. Total man-hours consumed per project, ranked</v>
      </c>
      <c r="Q200" s="88"/>
      <c r="R200" s="88"/>
      <c r="S200" s="88"/>
      <c r="T200" s="88"/>
      <c r="U200" s="88"/>
      <c r="BA200" s="86" t="s">
        <v>1890</v>
      </c>
    </row>
    <row r="201" spans="2:55" ht="13.95" customHeight="1">
      <c r="B201" s="88"/>
      <c r="C201" s="88"/>
      <c r="D201" s="88"/>
      <c r="E201" s="88"/>
      <c r="F201" s="88"/>
      <c r="G201" s="88"/>
      <c r="I201" s="88"/>
      <c r="J201" s="88"/>
      <c r="K201" s="88"/>
      <c r="L201" s="88"/>
      <c r="M201" s="88"/>
      <c r="N201" s="88"/>
      <c r="P201" s="88"/>
      <c r="Q201" s="88"/>
      <c r="R201" s="88"/>
      <c r="S201" s="88"/>
      <c r="T201" s="88"/>
      <c r="U201" s="88"/>
      <c r="BA201" s="36" t="s">
        <v>1698</v>
      </c>
      <c r="BB201" s="36" t="s">
        <v>1891</v>
      </c>
    </row>
    <row r="202" spans="2:55" ht="13.95" customHeight="1">
      <c r="B202" s="89" t="str">
        <f>'Analysis report'!A254</f>
        <v>ANSWER: The 25th percentile is 1.50 units/man-hour and 20 of 80 days fall below it. The 10 worst days are listed above; the single lowest was 2025-01-08 (Facade &amp; Cladding on WT-OFF-SYD-02) at 0.23.</v>
      </c>
      <c r="C202" s="90"/>
      <c r="D202" s="90"/>
      <c r="E202" s="90"/>
      <c r="F202" s="90"/>
      <c r="G202" s="90"/>
      <c r="I202" s="89" t="str">
        <f>'Analysis report'!A262</f>
        <v>ANSWER: For Civil &amp; Structure the best-performing crew band is Medium crew (11 to 15) at 4.16 units/man-hour (avg crew 13.0 workers) versus 2.68 for the weakest band.</v>
      </c>
      <c r="J202" s="90"/>
      <c r="K202" s="90"/>
      <c r="L202" s="90"/>
      <c r="M202" s="90"/>
      <c r="N202" s="90"/>
      <c r="P202" s="89" t="str">
        <f>'Analysis report'!A270</f>
        <v>ANSWER: WT-DC-MUM-01 consumes the most labour at 4,631 man-hours, then WT-HOS-AKL-03 (4,101), WT-ITP-BLR-04 (3,509) and WT-OFF-SYD-02 (3,201). Total across the four projects: 15,442 man-hours.</v>
      </c>
      <c r="Q202" s="90"/>
      <c r="R202" s="90"/>
      <c r="S202" s="90"/>
      <c r="T202" s="90"/>
      <c r="U202" s="90"/>
      <c r="BA202" t="str">
        <f>'Analysis report'!A457</f>
        <v>WT-DC-MUM-01</v>
      </c>
      <c r="BB202" s="48">
        <f>'Analysis report'!C457</f>
        <v>5730000</v>
      </c>
    </row>
    <row r="203" spans="2:55" ht="13.95" customHeight="1">
      <c r="B203" s="90"/>
      <c r="C203" s="90"/>
      <c r="D203" s="90"/>
      <c r="E203" s="90"/>
      <c r="F203" s="90"/>
      <c r="G203" s="90"/>
      <c r="I203" s="90"/>
      <c r="J203" s="90"/>
      <c r="K203" s="90"/>
      <c r="L203" s="90"/>
      <c r="M203" s="90"/>
      <c r="N203" s="90"/>
      <c r="P203" s="90"/>
      <c r="Q203" s="90"/>
      <c r="R203" s="90"/>
      <c r="S203" s="90"/>
      <c r="T203" s="90"/>
      <c r="U203" s="90"/>
      <c r="BA203" t="str">
        <f>'Analysis report'!A458</f>
        <v>WT-OFF-SYD-02</v>
      </c>
      <c r="BB203" s="48">
        <f>'Analysis report'!C458</f>
        <v>4155000</v>
      </c>
    </row>
    <row r="204" spans="2:55" ht="13.95" customHeight="1">
      <c r="B204" s="90"/>
      <c r="C204" s="90"/>
      <c r="D204" s="90"/>
      <c r="E204" s="90"/>
      <c r="F204" s="90"/>
      <c r="G204" s="90"/>
      <c r="I204" s="90"/>
      <c r="J204" s="90"/>
      <c r="K204" s="90"/>
      <c r="L204" s="90"/>
      <c r="M204" s="90"/>
      <c r="N204" s="90"/>
      <c r="P204" s="90"/>
      <c r="Q204" s="90"/>
      <c r="R204" s="90"/>
      <c r="S204" s="90"/>
      <c r="T204" s="90"/>
      <c r="U204" s="90"/>
      <c r="BA204" t="str">
        <f>'Analysis report'!A459</f>
        <v>WT-HOS-AKL-03</v>
      </c>
      <c r="BB204" s="48">
        <f>'Analysis report'!C459</f>
        <v>3075000</v>
      </c>
    </row>
    <row r="205" spans="2:55" ht="13.95" customHeight="1">
      <c r="B205" s="90"/>
      <c r="C205" s="90"/>
      <c r="D205" s="90"/>
      <c r="E205" s="90"/>
      <c r="F205" s="90"/>
      <c r="G205" s="90"/>
      <c r="I205" s="90"/>
      <c r="J205" s="90"/>
      <c r="K205" s="90"/>
      <c r="L205" s="90"/>
      <c r="M205" s="90"/>
      <c r="N205" s="90"/>
      <c r="P205" s="90"/>
      <c r="Q205" s="90"/>
      <c r="R205" s="90"/>
      <c r="S205" s="90"/>
      <c r="T205" s="90"/>
      <c r="U205" s="90"/>
      <c r="BA205" t="str">
        <f>'Analysis report'!A460</f>
        <v>WT-RES-MEL-05</v>
      </c>
      <c r="BB205" s="48">
        <f>'Analysis report'!C460</f>
        <v>3690000</v>
      </c>
    </row>
    <row r="206" spans="2:55" ht="13.95" customHeight="1">
      <c r="BA206" t="str">
        <f>'Analysis report'!A461</f>
        <v>WT-MAL-DEL-06</v>
      </c>
      <c r="BB206" s="48">
        <f>'Analysis report'!C461</f>
        <v>5355000</v>
      </c>
    </row>
    <row r="207" spans="2:55" ht="13.95" customHeight="1"/>
    <row r="208" spans="2:55" ht="13.95" customHeight="1">
      <c r="BA208" s="86" t="s">
        <v>1892</v>
      </c>
    </row>
    <row r="209" spans="2:54" ht="13.95" customHeight="1">
      <c r="BA209" s="36" t="s">
        <v>1893</v>
      </c>
      <c r="BB209" s="36" t="s">
        <v>1894</v>
      </c>
    </row>
    <row r="210" spans="2:54" ht="13.95" customHeight="1">
      <c r="BA210" t="str">
        <f>'Analysis report'!B502&amp;" · "&amp;'Analysis report'!C502</f>
        <v>2024-01 · WT-DC-MUM-01</v>
      </c>
      <c r="BB210" s="39">
        <f>'Analysis report'!F502</f>
        <v>0.62958124108260549</v>
      </c>
    </row>
    <row r="211" spans="2:54" ht="13.95" customHeight="1">
      <c r="BA211" t="str">
        <f>'Analysis report'!B503&amp;" · "&amp;'Analysis report'!C503</f>
        <v>2024-04 · WT-DC-MUM-01</v>
      </c>
      <c r="BB211" s="39">
        <f>'Analysis report'!F503</f>
        <v>0.68789430967441212</v>
      </c>
    </row>
    <row r="212" spans="2:54" ht="13.95" customHeight="1">
      <c r="BA212" t="str">
        <f>'Analysis report'!B504&amp;" · "&amp;'Analysis report'!C504</f>
        <v>2024-07 · WT-DC-MUM-01</v>
      </c>
      <c r="BB212" s="39">
        <f>'Analysis report'!F504</f>
        <v>0.65365026394568226</v>
      </c>
    </row>
    <row r="213" spans="2:54" ht="13.95" customHeight="1">
      <c r="BA213" t="str">
        <f>'Analysis report'!B505&amp;" · "&amp;'Analysis report'!C505</f>
        <v>2024-10 · WT-DC-MUM-01</v>
      </c>
      <c r="BB213" s="39">
        <f>'Analysis report'!F505</f>
        <v>0.65632302414559607</v>
      </c>
    </row>
    <row r="214" spans="2:54" ht="13.95" customHeight="1">
      <c r="BA214" t="str">
        <f>'Analysis report'!B506&amp;" · "&amp;'Analysis report'!C506</f>
        <v>2024-01 · WT-OFF-SYD-02</v>
      </c>
      <c r="BB214" s="39">
        <f>'Analysis report'!F506</f>
        <v>0.68774624517425564</v>
      </c>
    </row>
    <row r="215" spans="2:54" ht="13.95" customHeight="1">
      <c r="BA215" t="str">
        <f>'Analysis report'!B507&amp;" · "&amp;'Analysis report'!C507</f>
        <v>2024-03 · WT-OFF-SYD-02</v>
      </c>
      <c r="BB215" s="39">
        <f>'Analysis report'!F507</f>
        <v>0.64769249861711431</v>
      </c>
    </row>
    <row r="216" spans="2:54" ht="13.95" customHeight="1">
      <c r="BA216" t="str">
        <f>'Analysis report'!B508&amp;" · "&amp;'Analysis report'!C508</f>
        <v>2024-04 · WT-OFF-SYD-02</v>
      </c>
      <c r="BB216" s="39">
        <f>'Analysis report'!F508</f>
        <v>0.60341408957611309</v>
      </c>
    </row>
    <row r="217" spans="2:54" ht="13.95" customHeight="1">
      <c r="BA217" t="str">
        <f>'Analysis report'!B509&amp;" · "&amp;'Analysis report'!C509</f>
        <v>2024-08 · WT-OFF-SYD-02</v>
      </c>
      <c r="BB217" s="39">
        <f>'Analysis report'!F509</f>
        <v>0.67985781681465562</v>
      </c>
    </row>
    <row r="218" spans="2:54" ht="13.95" customHeight="1">
      <c r="BA218" t="str">
        <f>'Analysis report'!B510&amp;" · "&amp;'Analysis report'!C510</f>
        <v>2024-03 · WT-HOS-AKL-03</v>
      </c>
      <c r="BB218" s="39">
        <f>'Analysis report'!F510</f>
        <v>0.64093502935336177</v>
      </c>
    </row>
    <row r="219" spans="2:54" ht="13.95" customHeight="1">
      <c r="BA219" t="str">
        <f>'Analysis report'!B511&amp;" · "&amp;'Analysis report'!C511</f>
        <v>2024-04 · WT-HOS-AKL-03</v>
      </c>
      <c r="BB219" s="39">
        <f>'Analysis report'!F511</f>
        <v>0.63905093995412621</v>
      </c>
    </row>
    <row r="220" spans="2:54" ht="13.95" customHeight="1">
      <c r="BA220" t="str">
        <f>'Analysis report'!B512&amp;" · "&amp;'Analysis report'!C512</f>
        <v>2024-06 · WT-HOS-AKL-03</v>
      </c>
      <c r="BB220" s="39">
        <f>'Analysis report'!F512</f>
        <v>0.67492570487009385</v>
      </c>
    </row>
    <row r="221" spans="2:54" ht="13.95" customHeight="1">
      <c r="BA221" t="str">
        <f>'Analysis report'!B513&amp;" · "&amp;'Analysis report'!C513</f>
        <v>2024-07 · WT-HOS-AKL-03</v>
      </c>
      <c r="BB221" s="39">
        <f>'Analysis report'!F513</f>
        <v>0.65811916499645839</v>
      </c>
    </row>
    <row r="222" spans="2:54" ht="13.95" customHeight="1">
      <c r="BA222" t="str">
        <f>'Analysis report'!B514&amp;" · "&amp;'Analysis report'!C514</f>
        <v>2024-08 · WT-HOS-AKL-03</v>
      </c>
      <c r="BB222" s="39">
        <f>'Analysis report'!F514</f>
        <v>0.64547000928868881</v>
      </c>
    </row>
    <row r="223" spans="2:54" ht="22.05" customHeight="1">
      <c r="B223" s="93" t="str">
        <f>'Analysis report'!A276</f>
        <v>PROBLEM 05 — Tender Bid Comparison    |    Source sheet: P05-TenderBid (40 bids, 5 packages, 13 contractors)</v>
      </c>
      <c r="C223" s="90"/>
      <c r="D223" s="90"/>
      <c r="E223" s="90"/>
      <c r="F223" s="90"/>
      <c r="G223" s="90"/>
      <c r="H223" s="90"/>
      <c r="I223" s="90"/>
      <c r="J223" s="90"/>
      <c r="K223" s="90"/>
      <c r="L223" s="90"/>
      <c r="M223" s="90"/>
      <c r="N223" s="90"/>
      <c r="O223" s="90"/>
      <c r="P223" s="90"/>
      <c r="Q223" s="90"/>
      <c r="R223" s="90"/>
      <c r="S223" s="90"/>
      <c r="T223" s="90"/>
      <c r="U223" s="90"/>
      <c r="BA223" t="str">
        <f>'Analysis report'!B515&amp;" · "&amp;'Analysis report'!C515</f>
        <v>2024-10 · WT-HOS-AKL-03</v>
      </c>
      <c r="BB223" s="39">
        <f>'Analysis report'!F515</f>
        <v>0.62886778383155884</v>
      </c>
    </row>
    <row r="224" spans="2:54" ht="13.95" customHeight="1"/>
    <row r="225" spans="2:54" ht="13.95" customHeight="1">
      <c r="B225" s="88" t="str">
        <f>'Analysis report'!A277</f>
        <v>Q1. For each package, which contractor offers the lowest bid? Is the lowest bid always the best choice?</v>
      </c>
      <c r="C225" s="88"/>
      <c r="D225" s="88"/>
      <c r="E225" s="88"/>
      <c r="F225" s="88"/>
      <c r="G225" s="88"/>
      <c r="I225" s="88" t="str">
        <f>'Analysis report'!A286</f>
        <v>Q2. Weighted scoring model — 40% Price, 20% Time, 15% Experience, 15% Safety, 10% Defects (scores normalised within each package)</v>
      </c>
      <c r="J225" s="88"/>
      <c r="K225" s="88"/>
      <c r="L225" s="88"/>
      <c r="M225" s="88"/>
      <c r="N225" s="88"/>
      <c r="P225" s="88" t="str">
        <f>'Analysis report'!A332</f>
        <v>Q3. Which contractors appear in multiple packages? What is their average bid competitiveness?</v>
      </c>
      <c r="Q225" s="88"/>
      <c r="R225" s="88"/>
      <c r="S225" s="88"/>
      <c r="T225" s="88"/>
      <c r="U225" s="88"/>
      <c r="BA225" s="86" t="s">
        <v>1895</v>
      </c>
    </row>
    <row r="226" spans="2:54" ht="13.95" customHeight="1">
      <c r="B226" s="88"/>
      <c r="C226" s="88"/>
      <c r="D226" s="88"/>
      <c r="E226" s="88"/>
      <c r="F226" s="88"/>
      <c r="G226" s="88"/>
      <c r="I226" s="88"/>
      <c r="J226" s="88"/>
      <c r="K226" s="88"/>
      <c r="L226" s="88"/>
      <c r="M226" s="88"/>
      <c r="N226" s="88"/>
      <c r="P226" s="88"/>
      <c r="Q226" s="88"/>
      <c r="R226" s="88"/>
      <c r="S226" s="88"/>
      <c r="T226" s="88"/>
      <c r="U226" s="88"/>
      <c r="BA226" s="36" t="s">
        <v>1524</v>
      </c>
      <c r="BB226" s="36" t="s">
        <v>1525</v>
      </c>
    </row>
    <row r="227" spans="2:54" ht="13.95" customHeight="1">
      <c r="B227" s="89" t="str">
        <f>'Analysis report'!A284</f>
        <v>ANSWER: The lowest bidder is listed in column B for each of the 5 packages. No — lowest is not always best: on 2 of 5 packages the highest-scored bidder is a different contractor, and buying the best-scored bid instead of the cheapest costs $15,86,411 more in total. Ultra-low bids in this set also carry weak safety ratings and higher defect rates (see Q4).</v>
      </c>
      <c r="C227" s="90"/>
      <c r="D227" s="90"/>
      <c r="E227" s="90"/>
      <c r="F227" s="90"/>
      <c r="G227" s="90"/>
      <c r="I227" s="89" t="str">
        <f>'Analysis report'!A330</f>
        <v>ANSWER: Scores are normalised within each package (best value = 1.0) and weighted 40/20/15/15/10. The strongest bid overall is Contractor-M on Interior Fit-out with 91.3/100; the weakest is Contractor-F on MEP Package with 34.3. Column K gives the rank inside each package — award recommendations are the Rank 1 rows.</v>
      </c>
      <c r="J227" s="90"/>
      <c r="K227" s="90"/>
      <c r="L227" s="90"/>
      <c r="M227" s="90"/>
      <c r="N227" s="90"/>
      <c r="P227" s="89" t="str">
        <f>'Analysis report'!A347</f>
        <v>ANSWER: 12 of 13 contractors bid for more than one package. On competitiveness (bid ÷ lowest bid in that package, 1.00 = cheapest), the sharpest pricing comes from Contractor-M at 1.37x and the most expensive is Contractor-L at 5.40x. Best average weighted score: Contractor-M (69.7/100).</v>
      </c>
      <c r="Q227" s="90"/>
      <c r="R227" s="90"/>
      <c r="S227" s="90"/>
      <c r="T227" s="90"/>
      <c r="U227" s="90"/>
      <c r="BA227" t="s">
        <v>1896</v>
      </c>
      <c r="BB227" s="48">
        <f>'Analysis report'!D520</f>
        <v>55903347</v>
      </c>
    </row>
    <row r="228" spans="2:54" ht="13.95" customHeight="1">
      <c r="B228" s="90"/>
      <c r="C228" s="90"/>
      <c r="D228" s="90"/>
      <c r="E228" s="90"/>
      <c r="F228" s="90"/>
      <c r="G228" s="90"/>
      <c r="I228" s="90"/>
      <c r="J228" s="90"/>
      <c r="K228" s="90"/>
      <c r="L228" s="90"/>
      <c r="M228" s="90"/>
      <c r="N228" s="90"/>
      <c r="P228" s="90"/>
      <c r="Q228" s="90"/>
      <c r="R228" s="90"/>
      <c r="S228" s="90"/>
      <c r="T228" s="90"/>
      <c r="U228" s="90"/>
      <c r="BA228" t="s">
        <v>1897</v>
      </c>
      <c r="BB228" s="48">
        <f>'Analysis report'!B520</f>
        <v>43006437</v>
      </c>
    </row>
    <row r="229" spans="2:54" ht="13.95" customHeight="1">
      <c r="B229" s="90"/>
      <c r="C229" s="90"/>
      <c r="D229" s="90"/>
      <c r="E229" s="90"/>
      <c r="F229" s="90"/>
      <c r="G229" s="90"/>
      <c r="I229" s="90"/>
      <c r="J229" s="90"/>
      <c r="K229" s="90"/>
      <c r="L229" s="90"/>
      <c r="M229" s="90"/>
      <c r="N229" s="90"/>
      <c r="P229" s="90"/>
      <c r="Q229" s="90"/>
      <c r="R229" s="90"/>
      <c r="S229" s="90"/>
      <c r="T229" s="90"/>
      <c r="U229" s="90"/>
      <c r="BA229" t="s">
        <v>1898</v>
      </c>
      <c r="BB229" s="48">
        <f>'Analysis report'!D521</f>
        <v>49699767</v>
      </c>
    </row>
    <row r="230" spans="2:54" ht="13.95" customHeight="1">
      <c r="B230" s="90"/>
      <c r="C230" s="90"/>
      <c r="D230" s="90"/>
      <c r="E230" s="90"/>
      <c r="F230" s="90"/>
      <c r="G230" s="90"/>
      <c r="I230" s="90"/>
      <c r="J230" s="90"/>
      <c r="K230" s="90"/>
      <c r="L230" s="90"/>
      <c r="M230" s="90"/>
      <c r="N230" s="90"/>
      <c r="P230" s="90"/>
      <c r="Q230" s="90"/>
      <c r="R230" s="90"/>
      <c r="S230" s="90"/>
      <c r="T230" s="90"/>
      <c r="U230" s="90"/>
      <c r="BA230" t="s">
        <v>1899</v>
      </c>
      <c r="BB230" s="48">
        <f>'Analysis report'!B521</f>
        <v>50322924</v>
      </c>
    </row>
    <row r="231" spans="2:54" ht="13.95" customHeight="1">
      <c r="BA231" t="s">
        <v>1900</v>
      </c>
      <c r="BB231" s="48">
        <f>'Analysis report'!B522</f>
        <v>-7316487</v>
      </c>
    </row>
    <row r="232" spans="2:54" ht="13.95" customHeight="1"/>
    <row r="233" spans="2:54" ht="13.95" customHeight="1">
      <c r="BA233" s="86" t="s">
        <v>1901</v>
      </c>
    </row>
    <row r="234" spans="2:54" ht="13.95" customHeight="1">
      <c r="BA234" s="36" t="s">
        <v>1698</v>
      </c>
      <c r="BB234" s="36" t="s">
        <v>1902</v>
      </c>
    </row>
    <row r="235" spans="2:54" ht="13.95" customHeight="1">
      <c r="BA235" t="str">
        <f>'Analysis report'!A527</f>
        <v>WT-DC-MUM-01</v>
      </c>
      <c r="BB235" s="39">
        <f>'Analysis report'!D527</f>
        <v>0.7771923076302989</v>
      </c>
    </row>
    <row r="236" spans="2:54" ht="13.95" customHeight="1">
      <c r="BA236" t="str">
        <f>'Analysis report'!A528</f>
        <v>WT-OFF-SYD-02</v>
      </c>
      <c r="BB236" s="39">
        <f>'Analysis report'!D528</f>
        <v>0.77792698591587583</v>
      </c>
    </row>
    <row r="237" spans="2:54" ht="13.95" customHeight="1">
      <c r="BA237" t="str">
        <f>'Analysis report'!A529</f>
        <v>WT-HOS-AKL-03</v>
      </c>
      <c r="BB237" s="39">
        <f>'Analysis report'!D529</f>
        <v>0.74342173457822081</v>
      </c>
    </row>
    <row r="238" spans="2:54" ht="13.95" customHeight="1">
      <c r="BA238" t="str">
        <f>'Analysis report'!A530</f>
        <v>WT-ITP-BLR-04</v>
      </c>
      <c r="BB238" s="39">
        <f>'Analysis report'!D530</f>
        <v>0.77942629354764803</v>
      </c>
    </row>
    <row r="239" spans="2:54" ht="13.95" customHeight="1">
      <c r="BA239" t="str">
        <f>'Analysis report'!A531</f>
        <v>PORTFOLIO</v>
      </c>
      <c r="BB239" s="39">
        <f>'Analysis report'!D531</f>
        <v>0.76929985963094483</v>
      </c>
    </row>
    <row r="240" spans="2:54" ht="13.95" customHeight="1"/>
    <row r="241" spans="2:55" ht="13.95" customHeight="1">
      <c r="BA241" s="86" t="s">
        <v>1903</v>
      </c>
    </row>
    <row r="242" spans="2:55" ht="13.95" customHeight="1">
      <c r="BA242" s="36" t="s">
        <v>1698</v>
      </c>
      <c r="BB242" s="36" t="s">
        <v>1904</v>
      </c>
      <c r="BC242" s="36" t="s">
        <v>1905</v>
      </c>
    </row>
    <row r="243" spans="2:55" ht="13.95" customHeight="1">
      <c r="BA243" t="str">
        <f>'Analysis report'!A537</f>
        <v>WT-DC-MUM-01</v>
      </c>
      <c r="BB243" s="48">
        <f>'Analysis report'!C537</f>
        <v>791101</v>
      </c>
      <c r="BC243" s="48">
        <f>'Analysis report'!E537</f>
        <v>2083172</v>
      </c>
    </row>
    <row r="244" spans="2:55" ht="13.95" customHeight="1">
      <c r="BA244" t="str">
        <f>'Analysis report'!A538</f>
        <v>WT-OFF-SYD-02</v>
      </c>
      <c r="BB244" s="48">
        <f>'Analysis report'!C538</f>
        <v>583674</v>
      </c>
      <c r="BC244" s="48">
        <f>'Analysis report'!E538</f>
        <v>4884716</v>
      </c>
    </row>
    <row r="245" spans="2:55" ht="13.95" customHeight="1">
      <c r="BA245" t="str">
        <f>'Analysis report'!A539</f>
        <v>WT-HOS-AKL-03</v>
      </c>
      <c r="BB245" s="48">
        <f>'Analysis report'!C539</f>
        <v>1919398</v>
      </c>
      <c r="BC245" s="48">
        <f>'Analysis report'!E539</f>
        <v>3608761</v>
      </c>
    </row>
    <row r="246" spans="2:55" ht="13.95" customHeight="1">
      <c r="BA246" t="str">
        <f>'Analysis report'!A540</f>
        <v>WT-RES-MEL-05</v>
      </c>
      <c r="BB246" s="48">
        <f>'Analysis report'!C540</f>
        <v>892260</v>
      </c>
      <c r="BC246" s="48">
        <f>'Analysis report'!E540</f>
        <v>3770085</v>
      </c>
    </row>
    <row r="247" spans="2:55" ht="13.95" customHeight="1">
      <c r="B247" s="88" t="str">
        <f>'Analysis report'!A349</f>
        <v>Q4. Contractors with Safety Rating &lt; 3.5 AND Defect Rate &gt; 8% — HIGH RISK flag</v>
      </c>
      <c r="C247" s="88"/>
      <c r="D247" s="88"/>
      <c r="E247" s="88"/>
      <c r="F247" s="88"/>
      <c r="G247" s="88"/>
      <c r="I247" s="88" t="str">
        <f>'Analysis report'!A362</f>
        <v>Q5. Total project cost — lowest bidder per package vs highest-scored bidder per package</v>
      </c>
      <c r="J247" s="88"/>
      <c r="K247" s="88"/>
      <c r="L247" s="88"/>
      <c r="M247" s="88"/>
      <c r="N247" s="88"/>
      <c r="P247" s="88" t="str">
        <f>'Analysis report'!A368</f>
        <v>Q6. Bid Amount vs Completion Days — are cheaper bids slower? (scatter chart to the right)</v>
      </c>
      <c r="Q247" s="88"/>
      <c r="R247" s="88"/>
      <c r="S247" s="88"/>
      <c r="T247" s="88"/>
      <c r="U247" s="88"/>
    </row>
    <row r="248" spans="2:55" ht="13.95" customHeight="1">
      <c r="B248" s="88"/>
      <c r="C248" s="88"/>
      <c r="D248" s="88"/>
      <c r="E248" s="88"/>
      <c r="F248" s="88"/>
      <c r="G248" s="88"/>
      <c r="I248" s="88"/>
      <c r="J248" s="88"/>
      <c r="K248" s="88"/>
      <c r="L248" s="88"/>
      <c r="M248" s="88"/>
      <c r="N248" s="88"/>
      <c r="P248" s="88"/>
      <c r="Q248" s="88"/>
      <c r="R248" s="88"/>
      <c r="S248" s="88"/>
      <c r="T248" s="88"/>
      <c r="U248" s="88"/>
      <c r="BA248" s="86" t="s">
        <v>1906</v>
      </c>
    </row>
    <row r="249" spans="2:55" ht="13.95" customHeight="1">
      <c r="B249" s="89" t="str">
        <f>'Analysis report'!A360</f>
        <v>ANSWER: 4 of 40 bids breach both thresholds (Safety &lt; 3.5 and Defect Rate &gt; 8%) and are listed above as HIGH RISK. Separately, 21 bids have a safety rating below 3.5 and 9 have a defect rate above 8%. Exclude the HIGH RISK rows from award even where they price competitively.</v>
      </c>
      <c r="C249" s="90"/>
      <c r="D249" s="90"/>
      <c r="E249" s="90"/>
      <c r="F249" s="90"/>
      <c r="G249" s="90"/>
      <c r="I249" s="89" t="str">
        <f>'Analysis report'!A366</f>
        <v>ANSWER: Awarding every package to the cheapest bid totals $1,01,30,539 (avg score 76.0/100). Awarding to the highest-scored bid totals $1,17,16,950 (avg score 79.1) — $15,86,411 (15.7%) more. That premium buys better programme, safety and defect performance.</v>
      </c>
      <c r="J249" s="90"/>
      <c r="K249" s="90"/>
      <c r="L249" s="90"/>
      <c r="M249" s="90"/>
      <c r="N249" s="90"/>
      <c r="P249" s="89" t="str">
        <f>'Analysis report'!A370</f>
        <v>ANSWER: r = -0.254 between bid amount and completion days — a weak negative relationship, i.e. cheaper bids do tend to quote longer programmes. The fastest 10 bids average $50,63,624 against $39,25,205 for the slowest 10.</v>
      </c>
      <c r="Q249" s="90"/>
      <c r="R249" s="90"/>
      <c r="S249" s="90"/>
      <c r="T249" s="90"/>
      <c r="U249" s="90"/>
      <c r="BA249" s="36" t="s">
        <v>1698</v>
      </c>
      <c r="BB249" s="36" t="s">
        <v>1907</v>
      </c>
    </row>
    <row r="250" spans="2:55" ht="13.95" customHeight="1">
      <c r="B250" s="90"/>
      <c r="C250" s="90"/>
      <c r="D250" s="90"/>
      <c r="E250" s="90"/>
      <c r="F250" s="90"/>
      <c r="G250" s="90"/>
      <c r="I250" s="90"/>
      <c r="J250" s="90"/>
      <c r="K250" s="90"/>
      <c r="L250" s="90"/>
      <c r="M250" s="90"/>
      <c r="N250" s="90"/>
      <c r="P250" s="90"/>
      <c r="Q250" s="90"/>
      <c r="R250" s="90"/>
      <c r="S250" s="90"/>
      <c r="T250" s="90"/>
      <c r="U250" s="90"/>
      <c r="BA250" t="str">
        <f>'Analysis report'!A569</f>
        <v>WT-DC-MUM-01</v>
      </c>
      <c r="BB250" s="22">
        <f>'Analysis report'!F569</f>
        <v>0.8</v>
      </c>
    </row>
    <row r="251" spans="2:55" ht="13.95" customHeight="1">
      <c r="B251" s="90"/>
      <c r="C251" s="90"/>
      <c r="D251" s="90"/>
      <c r="E251" s="90"/>
      <c r="F251" s="90"/>
      <c r="G251" s="90"/>
      <c r="I251" s="90"/>
      <c r="J251" s="90"/>
      <c r="K251" s="90"/>
      <c r="L251" s="90"/>
      <c r="M251" s="90"/>
      <c r="N251" s="90"/>
      <c r="P251" s="90"/>
      <c r="Q251" s="90"/>
      <c r="R251" s="90"/>
      <c r="S251" s="90"/>
      <c r="T251" s="90"/>
      <c r="U251" s="90"/>
      <c r="BA251" t="str">
        <f>'Analysis report'!A570</f>
        <v>WT-OFF-SYD-02</v>
      </c>
      <c r="BB251" s="22">
        <f>'Analysis report'!F570</f>
        <v>1.1666666666666667</v>
      </c>
    </row>
    <row r="252" spans="2:55" ht="13.95" customHeight="1">
      <c r="B252" s="90"/>
      <c r="C252" s="90"/>
      <c r="D252" s="90"/>
      <c r="E252" s="90"/>
      <c r="F252" s="90"/>
      <c r="G252" s="90"/>
      <c r="I252" s="90"/>
      <c r="J252" s="90"/>
      <c r="K252" s="90"/>
      <c r="L252" s="90"/>
      <c r="M252" s="90"/>
      <c r="N252" s="90"/>
      <c r="P252" s="90"/>
      <c r="Q252" s="90"/>
      <c r="R252" s="90"/>
      <c r="S252" s="90"/>
      <c r="T252" s="90"/>
      <c r="U252" s="90"/>
      <c r="BA252" t="str">
        <f>'Analysis report'!A571</f>
        <v>WT-HOS-AKL-03</v>
      </c>
      <c r="BB252" s="22">
        <f>'Analysis report'!F571</f>
        <v>1.2</v>
      </c>
    </row>
    <row r="253" spans="2:55" ht="13.95" customHeight="1">
      <c r="BA253" t="str">
        <f>'Analysis report'!A572</f>
        <v>WT-RES-MEL-05</v>
      </c>
      <c r="BB253" s="22">
        <f>'Analysis report'!F572</f>
        <v>0.84615384615384615</v>
      </c>
    </row>
    <row r="254" spans="2:55" ht="13.95" customHeight="1"/>
    <row r="255" spans="2:55" ht="13.95" customHeight="1">
      <c r="BA255" s="86" t="s">
        <v>1908</v>
      </c>
    </row>
    <row r="256" spans="2:55" ht="13.95" customHeight="1">
      <c r="BA256" s="36" t="s">
        <v>1909</v>
      </c>
      <c r="BB256" s="36" t="s">
        <v>1910</v>
      </c>
    </row>
    <row r="257" spans="2:54" ht="13.95" customHeight="1">
      <c r="BA257" s="60">
        <f>'P09-SubconScore'!I5</f>
        <v>10</v>
      </c>
      <c r="BB257" s="54">
        <f>'P09-SubconScore'!D5</f>
        <v>3.2</v>
      </c>
    </row>
    <row r="258" spans="2:54" ht="13.95" customHeight="1">
      <c r="BA258" s="60">
        <f>'P09-SubconScore'!I6</f>
        <v>7</v>
      </c>
      <c r="BB258" s="54">
        <f>'P09-SubconScore'!D6</f>
        <v>2.9</v>
      </c>
    </row>
    <row r="259" spans="2:54" ht="13.95" customHeight="1">
      <c r="BA259" s="60">
        <f>'P09-SubconScore'!I7</f>
        <v>5</v>
      </c>
      <c r="BB259" s="54">
        <f>'P09-SubconScore'!D7</f>
        <v>4.0999999999999996</v>
      </c>
    </row>
    <row r="260" spans="2:54" ht="13.95" customHeight="1">
      <c r="BA260" s="60">
        <f>'P09-SubconScore'!I8</f>
        <v>15</v>
      </c>
      <c r="BB260" s="54">
        <f>'P09-SubconScore'!D8</f>
        <v>2.9</v>
      </c>
    </row>
    <row r="261" spans="2:54" ht="13.95" customHeight="1">
      <c r="BA261" s="60">
        <f>'P09-SubconScore'!I9</f>
        <v>12</v>
      </c>
      <c r="BB261" s="54">
        <f>'P09-SubconScore'!D9</f>
        <v>3.4</v>
      </c>
    </row>
    <row r="262" spans="2:54" ht="13.95" customHeight="1">
      <c r="BA262" s="60">
        <f>'P09-SubconScore'!I10</f>
        <v>10</v>
      </c>
      <c r="BB262" s="54">
        <f>'P09-SubconScore'!D10</f>
        <v>3</v>
      </c>
    </row>
    <row r="263" spans="2:54" ht="13.95" customHeight="1">
      <c r="BA263" s="60">
        <f>'P09-SubconScore'!I11</f>
        <v>15</v>
      </c>
      <c r="BB263" s="54">
        <f>'P09-SubconScore'!D11</f>
        <v>2.9</v>
      </c>
    </row>
    <row r="264" spans="2:54" ht="13.95" customHeight="1">
      <c r="BA264" s="60">
        <f>'P09-SubconScore'!I12</f>
        <v>18</v>
      </c>
      <c r="BB264" s="54">
        <f>'P09-SubconScore'!D12</f>
        <v>3.1</v>
      </c>
    </row>
    <row r="265" spans="2:54" ht="13.95" customHeight="1">
      <c r="BA265" s="60">
        <f>'P09-SubconScore'!I13</f>
        <v>25</v>
      </c>
      <c r="BB265" s="54">
        <f>'P09-SubconScore'!D13</f>
        <v>4.3</v>
      </c>
    </row>
    <row r="266" spans="2:54" ht="13.95" customHeight="1">
      <c r="BA266" s="60">
        <f>'P09-SubconScore'!I14</f>
        <v>13</v>
      </c>
      <c r="BB266" s="54">
        <f>'P09-SubconScore'!D14</f>
        <v>4</v>
      </c>
    </row>
    <row r="267" spans="2:54" ht="13.95" customHeight="1">
      <c r="BA267" s="60">
        <f>'P09-SubconScore'!I15</f>
        <v>22</v>
      </c>
      <c r="BB267" s="54">
        <f>'P09-SubconScore'!D15</f>
        <v>3.3</v>
      </c>
    </row>
    <row r="268" spans="2:54" ht="13.95" customHeight="1">
      <c r="BA268" s="60">
        <f>'P09-SubconScore'!I16</f>
        <v>2</v>
      </c>
      <c r="BB268" s="54">
        <f>'P09-SubconScore'!D16</f>
        <v>4.4000000000000004</v>
      </c>
    </row>
    <row r="269" spans="2:54" ht="13.95" customHeight="1">
      <c r="BA269" s="60">
        <f>'P09-SubconScore'!I17</f>
        <v>20</v>
      </c>
      <c r="BB269" s="54">
        <f>'P09-SubconScore'!D17</f>
        <v>4</v>
      </c>
    </row>
    <row r="270" spans="2:54" ht="22.05" customHeight="1">
      <c r="B270" s="93" t="str">
        <f>'Analysis report'!A372</f>
        <v>PROBLEM 06 — Project Delay Root Cause Analysis    |    Source sheet: P06-DelayRCA (60 delay events, 5 projects)</v>
      </c>
      <c r="C270" s="90"/>
      <c r="D270" s="90"/>
      <c r="E270" s="90"/>
      <c r="F270" s="90"/>
      <c r="G270" s="90"/>
      <c r="H270" s="90"/>
      <c r="I270" s="90"/>
      <c r="J270" s="90"/>
      <c r="K270" s="90"/>
      <c r="L270" s="90"/>
      <c r="M270" s="90"/>
      <c r="N270" s="90"/>
      <c r="O270" s="90"/>
      <c r="P270" s="90"/>
      <c r="Q270" s="90"/>
      <c r="R270" s="90"/>
      <c r="S270" s="90"/>
      <c r="T270" s="90"/>
      <c r="U270" s="90"/>
      <c r="BA270" s="60">
        <f>'P09-SubconScore'!I18</f>
        <v>22</v>
      </c>
      <c r="BB270" s="54">
        <f>'P09-SubconScore'!D18</f>
        <v>2.2999999999999998</v>
      </c>
    </row>
    <row r="271" spans="2:54" ht="13.95" customHeight="1">
      <c r="BA271" s="60">
        <f>'P09-SubconScore'!I19</f>
        <v>0</v>
      </c>
      <c r="BB271" s="54">
        <f>'P09-SubconScore'!D19</f>
        <v>3.1</v>
      </c>
    </row>
    <row r="272" spans="2:54" ht="13.95" customHeight="1">
      <c r="B272" s="88" t="str">
        <f>'Analysis report'!A373</f>
        <v>Q1. What is the most frequent delay cause category? (Pareto table + chart to the right)</v>
      </c>
      <c r="C272" s="88"/>
      <c r="D272" s="88"/>
      <c r="E272" s="88"/>
      <c r="F272" s="88"/>
      <c r="G272" s="88"/>
      <c r="I272" s="88" t="str">
        <f>'Analysis report'!A399</f>
        <v>Q2. Which responsible party causes the most total delay days?</v>
      </c>
      <c r="J272" s="88"/>
      <c r="K272" s="88"/>
      <c r="L272" s="88"/>
      <c r="M272" s="88"/>
      <c r="N272" s="88"/>
      <c r="P272" s="88" t="str">
        <f>'Analysis report'!A410</f>
        <v>Q3. Project WT-DC-MUM-01 — cumulative delay and dominant cause</v>
      </c>
      <c r="Q272" s="88"/>
      <c r="R272" s="88"/>
      <c r="S272" s="88"/>
      <c r="T272" s="88"/>
      <c r="U272" s="88"/>
      <c r="BA272" s="60">
        <f>'P09-SubconScore'!I20</f>
        <v>9</v>
      </c>
      <c r="BB272" s="54">
        <f>'P09-SubconScore'!D20</f>
        <v>3.2</v>
      </c>
    </row>
    <row r="273" spans="2:54" ht="13.95" customHeight="1">
      <c r="B273" s="88"/>
      <c r="C273" s="88"/>
      <c r="D273" s="88"/>
      <c r="E273" s="88"/>
      <c r="F273" s="88"/>
      <c r="G273" s="88"/>
      <c r="I273" s="88"/>
      <c r="J273" s="88"/>
      <c r="K273" s="88"/>
      <c r="L273" s="88"/>
      <c r="M273" s="88"/>
      <c r="N273" s="88"/>
      <c r="P273" s="88"/>
      <c r="Q273" s="88"/>
      <c r="R273" s="88"/>
      <c r="S273" s="88"/>
      <c r="T273" s="88"/>
      <c r="U273" s="88"/>
      <c r="BA273" s="60">
        <f>'P09-SubconScore'!I21</f>
        <v>2</v>
      </c>
      <c r="BB273" s="54">
        <f>'P09-SubconScore'!D21</f>
        <v>3.6</v>
      </c>
    </row>
    <row r="274" spans="2:54" ht="13.95" customHeight="1">
      <c r="B274" s="89" t="str">
        <f>'Analysis report'!A397</f>
        <v>ANSWER: The most frequent delay cause is RFI Response Delay with 11 of 60 events (18.3%) and 266 delay days. The top 3 causes — RFI Response Delay, Permit Delay and Material Delay — account for 45.0% of all delay events (Pareto 80/20 point is reached at rank 7).</v>
      </c>
      <c r="C274" s="90"/>
      <c r="D274" s="90"/>
      <c r="E274" s="90"/>
      <c r="F274" s="90"/>
      <c r="G274" s="90"/>
      <c r="I274" s="89" t="str">
        <f>'Analysis report'!A408</f>
        <v>ANSWER: Consultant is responsible for the most delay — 339 days (23.1% of the 1,467 total) across 15 incidents. Lowest contributor: Client with 121 days.</v>
      </c>
      <c r="J274" s="90"/>
      <c r="K274" s="90"/>
      <c r="L274" s="90"/>
      <c r="M274" s="90"/>
      <c r="N274" s="90"/>
      <c r="P274" s="89" t="str">
        <f>'Analysis report'!A423</f>
        <v>ANSWER: WT-DC-MUM-01 has accumulated 382 delay days across 12 events (avg 31.8 days each). The dominant cause is Material Delay with 105 days (27.5% of the project's delay).</v>
      </c>
      <c r="Q274" s="90"/>
      <c r="R274" s="90"/>
      <c r="S274" s="90"/>
      <c r="T274" s="90"/>
      <c r="U274" s="90"/>
      <c r="BA274" s="60">
        <f>'P09-SubconScore'!I22</f>
        <v>23</v>
      </c>
      <c r="BB274" s="54">
        <f>'P09-SubconScore'!D22</f>
        <v>2.2999999999999998</v>
      </c>
    </row>
    <row r="275" spans="2:54" ht="13.95" customHeight="1">
      <c r="B275" s="90"/>
      <c r="C275" s="90"/>
      <c r="D275" s="90"/>
      <c r="E275" s="90"/>
      <c r="F275" s="90"/>
      <c r="G275" s="90"/>
      <c r="I275" s="90"/>
      <c r="J275" s="90"/>
      <c r="K275" s="90"/>
      <c r="L275" s="90"/>
      <c r="M275" s="90"/>
      <c r="N275" s="90"/>
      <c r="P275" s="90"/>
      <c r="Q275" s="90"/>
      <c r="R275" s="90"/>
      <c r="S275" s="90"/>
      <c r="T275" s="90"/>
      <c r="U275" s="90"/>
      <c r="BA275" s="60">
        <f>'P09-SubconScore'!I23</f>
        <v>20</v>
      </c>
      <c r="BB275" s="54">
        <f>'P09-SubconScore'!D23</f>
        <v>3.7</v>
      </c>
    </row>
    <row r="276" spans="2:54" ht="13.95" customHeight="1">
      <c r="B276" s="90"/>
      <c r="C276" s="90"/>
      <c r="D276" s="90"/>
      <c r="E276" s="90"/>
      <c r="F276" s="90"/>
      <c r="G276" s="90"/>
      <c r="I276" s="90"/>
      <c r="J276" s="90"/>
      <c r="K276" s="90"/>
      <c r="L276" s="90"/>
      <c r="M276" s="90"/>
      <c r="N276" s="90"/>
      <c r="P276" s="90"/>
      <c r="Q276" s="90"/>
      <c r="R276" s="90"/>
      <c r="S276" s="90"/>
      <c r="T276" s="90"/>
      <c r="U276" s="90"/>
      <c r="BA276" s="60">
        <f>'P09-SubconScore'!I24</f>
        <v>13</v>
      </c>
      <c r="BB276" s="54">
        <f>'P09-SubconScore'!D24</f>
        <v>4</v>
      </c>
    </row>
    <row r="277" spans="2:54" ht="13.95" customHeight="1">
      <c r="B277" s="90"/>
      <c r="C277" s="90"/>
      <c r="D277" s="90"/>
      <c r="E277" s="90"/>
      <c r="F277" s="90"/>
      <c r="G277" s="90"/>
      <c r="I277" s="90"/>
      <c r="J277" s="90"/>
      <c r="K277" s="90"/>
      <c r="L277" s="90"/>
      <c r="M277" s="90"/>
      <c r="N277" s="90"/>
      <c r="P277" s="90"/>
      <c r="Q277" s="90"/>
      <c r="R277" s="90"/>
      <c r="S277" s="90"/>
      <c r="T277" s="90"/>
      <c r="U277" s="90"/>
      <c r="BA277" s="60">
        <f>'P09-SubconScore'!I25</f>
        <v>25</v>
      </c>
      <c r="BB277" s="54">
        <f>'P09-SubconScore'!D25</f>
        <v>2.6</v>
      </c>
    </row>
    <row r="278" spans="2:54" ht="13.95" customHeight="1">
      <c r="BA278" s="60">
        <f>'P09-SubconScore'!I26</f>
        <v>20</v>
      </c>
      <c r="BB278" s="54">
        <f>'P09-SubconScore'!D26</f>
        <v>3.1</v>
      </c>
    </row>
    <row r="279" spans="2:54" ht="13.95" customHeight="1">
      <c r="BA279" s="60">
        <f>'P09-SubconScore'!I27</f>
        <v>21</v>
      </c>
      <c r="BB279" s="54">
        <f>'P09-SubconScore'!D27</f>
        <v>3.8</v>
      </c>
    </row>
    <row r="280" spans="2:54" ht="13.95" customHeight="1">
      <c r="BA280" s="60">
        <f>'P09-SubconScore'!I28</f>
        <v>11</v>
      </c>
      <c r="BB280" s="54">
        <f>'P09-SubconScore'!D28</f>
        <v>3.8</v>
      </c>
    </row>
    <row r="281" spans="2:54" ht="13.95" customHeight="1">
      <c r="BA281" s="60">
        <f>'P09-SubconScore'!I29</f>
        <v>17</v>
      </c>
      <c r="BB281" s="54">
        <f>'P09-SubconScore'!D29</f>
        <v>3.2</v>
      </c>
    </row>
    <row r="282" spans="2:54" ht="13.95" customHeight="1">
      <c r="BA282" s="60">
        <f>'P09-SubconScore'!I30</f>
        <v>11</v>
      </c>
      <c r="BB282" s="54">
        <f>'P09-SubconScore'!D30</f>
        <v>2.5</v>
      </c>
    </row>
    <row r="283" spans="2:54" ht="13.95" customHeight="1">
      <c r="BA283" s="60">
        <f>'P09-SubconScore'!I31</f>
        <v>15</v>
      </c>
      <c r="BB283" s="54">
        <f>'P09-SubconScore'!D31</f>
        <v>2.6</v>
      </c>
    </row>
    <row r="284" spans="2:54" ht="13.95" customHeight="1">
      <c r="BA284" s="60">
        <f>'P09-SubconScore'!I32</f>
        <v>7</v>
      </c>
      <c r="BB284" s="54">
        <f>'P09-SubconScore'!D32</f>
        <v>2.5</v>
      </c>
    </row>
    <row r="285" spans="2:54" ht="13.95" customHeight="1">
      <c r="BA285" s="60">
        <f>'P09-SubconScore'!I33</f>
        <v>18</v>
      </c>
      <c r="BB285" s="54">
        <f>'P09-SubconScore'!D33</f>
        <v>4.3</v>
      </c>
    </row>
    <row r="286" spans="2:54" ht="13.95" customHeight="1">
      <c r="BA286" s="60">
        <f>'P09-SubconScore'!I34</f>
        <v>17</v>
      </c>
      <c r="BB286" s="54">
        <f>'P09-SubconScore'!D34</f>
        <v>4.5</v>
      </c>
    </row>
    <row r="287" spans="2:54" ht="13.95" customHeight="1"/>
    <row r="288" spans="2:54" ht="13.95" customHeight="1">
      <c r="BA288" s="86" t="s">
        <v>1911</v>
      </c>
    </row>
    <row r="289" spans="2:56" ht="13.95" customHeight="1">
      <c r="BA289" s="36" t="s">
        <v>1912</v>
      </c>
      <c r="BB289" s="36" t="s">
        <v>1913</v>
      </c>
      <c r="BC289" s="36" t="s">
        <v>1909</v>
      </c>
    </row>
    <row r="290" spans="2:56" ht="13.95" customHeight="1">
      <c r="BA290" t="str">
        <f>'Analysis report'!B633&amp;" · "&amp;'Analysis report'!C633</f>
        <v>Contractor-G · Facade &amp; Cladding</v>
      </c>
      <c r="BB290" s="40">
        <f>'Analysis report'!E633</f>
        <v>2.8050000000000002</v>
      </c>
      <c r="BC290" s="60">
        <f>'Analysis report'!F633</f>
        <v>22</v>
      </c>
    </row>
    <row r="291" spans="2:56" ht="13.95" customHeight="1">
      <c r="BA291" t="str">
        <f>'Analysis report'!B634&amp;" · "&amp;'Analysis report'!C634</f>
        <v>Contractor-N · Elevator Installation</v>
      </c>
      <c r="BB291" s="40">
        <f>'Analysis report'!E634</f>
        <v>2.99</v>
      </c>
      <c r="BC291" s="60">
        <f>'Analysis report'!F634</f>
        <v>20</v>
      </c>
    </row>
    <row r="292" spans="2:56" ht="13.95" customHeight="1"/>
    <row r="293" spans="2:56" ht="13.95" customHeight="1">
      <c r="BA293" s="86" t="s">
        <v>1914</v>
      </c>
    </row>
    <row r="294" spans="2:56" ht="13.95" customHeight="1">
      <c r="B294" s="88" t="str">
        <f>'Analysis report'!A425</f>
        <v>Q4. Is there a seasonal pattern in delays? (by month of actual start; weather isolated)</v>
      </c>
      <c r="C294" s="88"/>
      <c r="D294" s="88"/>
      <c r="E294" s="88"/>
      <c r="F294" s="88"/>
      <c r="G294" s="88"/>
      <c r="I294" s="88" t="str">
        <f>'Analysis report'!A441</f>
        <v>Q5. Which activity is most delay-prone across all projects?</v>
      </c>
      <c r="J294" s="88"/>
      <c r="K294" s="88"/>
      <c r="L294" s="88"/>
      <c r="M294" s="88"/>
      <c r="N294" s="88"/>
      <c r="P294" s="88" t="str">
        <f>'Analysis report'!A454</f>
        <v>Q6. Estimated cost of delay per project at a daily burn rate of $15,000</v>
      </c>
      <c r="Q294" s="88"/>
      <c r="R294" s="88"/>
      <c r="S294" s="88"/>
      <c r="T294" s="88"/>
      <c r="U294" s="88"/>
      <c r="BA294" s="36" t="s">
        <v>1698</v>
      </c>
      <c r="BB294" s="36" t="s">
        <v>1581</v>
      </c>
      <c r="BC294" s="36" t="s">
        <v>1915</v>
      </c>
      <c r="BD294" s="36" t="s">
        <v>1916</v>
      </c>
    </row>
    <row r="295" spans="2:56" ht="13.95" customHeight="1">
      <c r="B295" s="88"/>
      <c r="C295" s="88"/>
      <c r="D295" s="88"/>
      <c r="E295" s="88"/>
      <c r="F295" s="88"/>
      <c r="G295" s="88"/>
      <c r="I295" s="88"/>
      <c r="J295" s="88"/>
      <c r="K295" s="88"/>
      <c r="L295" s="88"/>
      <c r="M295" s="88"/>
      <c r="N295" s="88"/>
      <c r="P295" s="88"/>
      <c r="Q295" s="88"/>
      <c r="R295" s="88"/>
      <c r="S295" s="88"/>
      <c r="T295" s="88"/>
      <c r="U295" s="88"/>
      <c r="BA295" t="str">
        <f>'Analysis report'!A643</f>
        <v>WT-DC-MUM-01</v>
      </c>
      <c r="BB295" s="22">
        <f>'Analysis report'!C643</f>
        <v>3.3905000000000003</v>
      </c>
      <c r="BC295" s="22">
        <f>'Analysis report'!D643</f>
        <v>3.5400000000000005</v>
      </c>
      <c r="BD295" s="22">
        <f>'Analysis report'!E643</f>
        <v>3.14</v>
      </c>
    </row>
    <row r="296" spans="2:56" ht="13.95" customHeight="1">
      <c r="B296" s="89" t="str">
        <f>'Analysis report'!A439</f>
        <v>ANSWER: Weather delays peak in Nov (45 days) and total 159 days, 10.8% of all delay days. Overall delay days peak in Jun. That concentration points to a genuine seasonal (monsoon/winter) effect worth programming for.</v>
      </c>
      <c r="C296" s="90"/>
      <c r="D296" s="90"/>
      <c r="E296" s="90"/>
      <c r="F296" s="90"/>
      <c r="G296" s="90"/>
      <c r="I296" s="89" t="str">
        <f>'Analysis report'!A452</f>
        <v>ANSWER: Testing &amp; Commissioning is the most delay-prone activity with 291 delay days over 11 events (19.8% of all delay days). On a per-event basis the worst is MEP Rough-In at 33.5 days per event.</v>
      </c>
      <c r="J296" s="90"/>
      <c r="K296" s="90"/>
      <c r="L296" s="90"/>
      <c r="M296" s="90"/>
      <c r="N296" s="90"/>
      <c r="P296" s="89" t="str">
        <f>'Analysis report'!A463</f>
        <v>ANSWER: At $15,000/day the portfolio's 1,467 delay days cost roughly $2,20,05,000. The most exposed project is WT-DC-MUM-01 at $57,30,000 (382 days); the least is WT-HOS-AKL-03 at $30,75,000.</v>
      </c>
      <c r="Q296" s="90"/>
      <c r="R296" s="90"/>
      <c r="S296" s="90"/>
      <c r="T296" s="90"/>
      <c r="U296" s="90"/>
      <c r="BA296" t="str">
        <f>'Analysis report'!A644</f>
        <v>WT-OFF-SYD-02</v>
      </c>
      <c r="BB296" s="22">
        <f>'Analysis report'!C644</f>
        <v>3.4735</v>
      </c>
      <c r="BC296" s="22">
        <f>'Analysis report'!D644</f>
        <v>3.08</v>
      </c>
      <c r="BD296" s="22">
        <f>'Analysis report'!E644</f>
        <v>3.5100000000000002</v>
      </c>
    </row>
    <row r="297" spans="2:56" ht="13.95" customHeight="1">
      <c r="B297" s="90"/>
      <c r="C297" s="90"/>
      <c r="D297" s="90"/>
      <c r="E297" s="90"/>
      <c r="F297" s="90"/>
      <c r="G297" s="90"/>
      <c r="I297" s="90"/>
      <c r="J297" s="90"/>
      <c r="K297" s="90"/>
      <c r="L297" s="90"/>
      <c r="M297" s="90"/>
      <c r="N297" s="90"/>
      <c r="P297" s="90"/>
      <c r="Q297" s="90"/>
      <c r="R297" s="90"/>
      <c r="S297" s="90"/>
      <c r="T297" s="90"/>
      <c r="U297" s="90"/>
      <c r="BA297" t="str">
        <f>'Analysis report'!A645</f>
        <v>WT-HOS-AKL-03</v>
      </c>
      <c r="BB297" s="22">
        <f>'Analysis report'!C645</f>
        <v>3.431</v>
      </c>
      <c r="BC297" s="22">
        <f>'Analysis report'!D645</f>
        <v>3.4400000000000004</v>
      </c>
      <c r="BD297" s="22">
        <f>'Analysis report'!E645</f>
        <v>3.7</v>
      </c>
    </row>
    <row r="298" spans="2:56" ht="13.95" customHeight="1">
      <c r="B298" s="90"/>
      <c r="C298" s="90"/>
      <c r="D298" s="90"/>
      <c r="E298" s="90"/>
      <c r="F298" s="90"/>
      <c r="G298" s="90"/>
      <c r="I298" s="90"/>
      <c r="J298" s="90"/>
      <c r="K298" s="90"/>
      <c r="L298" s="90"/>
      <c r="M298" s="90"/>
      <c r="N298" s="90"/>
      <c r="P298" s="90"/>
      <c r="Q298" s="90"/>
      <c r="R298" s="90"/>
      <c r="S298" s="90"/>
      <c r="T298" s="90"/>
      <c r="U298" s="90"/>
      <c r="BA298" t="str">
        <f>'Analysis report'!A646</f>
        <v>PORTFOLIO</v>
      </c>
      <c r="BB298" s="22">
        <f>'Analysis report'!C646</f>
        <v>3.4316666666666666</v>
      </c>
      <c r="BC298" s="22">
        <f>'Analysis report'!D646</f>
        <v>3.3533333333333322</v>
      </c>
      <c r="BD298" s="22">
        <f>'Analysis report'!E646</f>
        <v>3.4499999999999997</v>
      </c>
    </row>
    <row r="299" spans="2:56" ht="13.95" customHeight="1">
      <c r="B299" s="90"/>
      <c r="C299" s="90"/>
      <c r="D299" s="90"/>
      <c r="E299" s="90"/>
      <c r="F299" s="90"/>
      <c r="G299" s="90"/>
      <c r="I299" s="90"/>
      <c r="J299" s="90"/>
      <c r="K299" s="90"/>
      <c r="L299" s="90"/>
      <c r="M299" s="90"/>
      <c r="N299" s="90"/>
      <c r="P299" s="90"/>
      <c r="Q299" s="90"/>
      <c r="R299" s="90"/>
      <c r="S299" s="90"/>
      <c r="T299" s="90"/>
      <c r="U299" s="90"/>
    </row>
    <row r="300" spans="2:56" ht="13.95" customHeight="1">
      <c r="BA300" s="86" t="s">
        <v>1917</v>
      </c>
    </row>
    <row r="301" spans="2:56" ht="13.95" customHeight="1">
      <c r="BA301" s="36" t="s">
        <v>1524</v>
      </c>
      <c r="BB301" s="36" t="s">
        <v>1316</v>
      </c>
    </row>
    <row r="302" spans="2:56" ht="13.95" customHeight="1">
      <c r="BA302" t="s">
        <v>1614</v>
      </c>
      <c r="BB302" s="60">
        <f>'Analysis report'!F697</f>
        <v>40</v>
      </c>
    </row>
    <row r="303" spans="2:56" ht="13.95" customHeight="1">
      <c r="BA303" t="s">
        <v>1918</v>
      </c>
      <c r="BB303" s="60">
        <f>'Analysis report'!D697</f>
        <v>0</v>
      </c>
    </row>
    <row r="304" spans="2:56" ht="13.95" customHeight="1"/>
    <row r="305" spans="2:54" ht="13.95" customHeight="1">
      <c r="BA305" s="86" t="s">
        <v>1919</v>
      </c>
    </row>
    <row r="306" spans="2:54" ht="13.95" customHeight="1">
      <c r="BA306" s="36" t="s">
        <v>1920</v>
      </c>
      <c r="BB306" s="36" t="s">
        <v>1741</v>
      </c>
    </row>
    <row r="307" spans="2:54" ht="13.95" customHeight="1">
      <c r="BA307" t="s">
        <v>1921</v>
      </c>
      <c r="BB307" s="48">
        <f>'Analysis report'!D711</f>
        <v>20350000</v>
      </c>
    </row>
    <row r="308" spans="2:54" ht="13.95" customHeight="1">
      <c r="BA308" t="s">
        <v>1922</v>
      </c>
      <c r="BB308" s="48">
        <f>'Analysis report'!B711</f>
        <v>30720000</v>
      </c>
    </row>
    <row r="309" spans="2:54" ht="13.95" customHeight="1">
      <c r="BA309" t="s">
        <v>1923</v>
      </c>
      <c r="BB309" s="48">
        <f>'Analysis report'!F711</f>
        <v>39900000</v>
      </c>
    </row>
    <row r="310" spans="2:54" ht="13.95" customHeight="1"/>
    <row r="311" spans="2:54" ht="13.95" customHeight="1">
      <c r="BA311" s="86" t="s">
        <v>1924</v>
      </c>
    </row>
    <row r="312" spans="2:54" ht="13.95" customHeight="1">
      <c r="BA312" s="36" t="s">
        <v>219</v>
      </c>
      <c r="BB312" s="36" t="s">
        <v>1925</v>
      </c>
    </row>
    <row r="313" spans="2:54" ht="13.95" customHeight="1">
      <c r="BA313" t="str">
        <f>'Analysis report'!A732</f>
        <v>Month 1</v>
      </c>
      <c r="BB313" s="48">
        <f>'Analysis report'!C732-'Analysis report'!B732</f>
        <v>-130878</v>
      </c>
    </row>
    <row r="314" spans="2:54" ht="13.95" customHeight="1">
      <c r="BA314" t="str">
        <f>'Analysis report'!A733</f>
        <v>Month 2</v>
      </c>
      <c r="BB314" s="48">
        <f>'Analysis report'!C733-'Analysis report'!B733</f>
        <v>-60661</v>
      </c>
    </row>
    <row r="315" spans="2:54" ht="13.95" customHeight="1">
      <c r="BA315" t="str">
        <f>'Analysis report'!A734</f>
        <v>Month 3</v>
      </c>
      <c r="BB315" s="48">
        <f>'Analysis report'!C734-'Analysis report'!B734</f>
        <v>-148083</v>
      </c>
    </row>
    <row r="316" spans="2:54" ht="13.95" customHeight="1">
      <c r="BA316" t="str">
        <f>'Analysis report'!A735</f>
        <v>Month 4</v>
      </c>
      <c r="BB316" s="48">
        <f>'Analysis report'!C735-'Analysis report'!B735</f>
        <v>130720</v>
      </c>
    </row>
    <row r="317" spans="2:54" ht="22.05" customHeight="1">
      <c r="B317" s="93" t="str">
        <f>'Analysis report'!A465</f>
        <v>PROBLEM 07 — Monthly Cash Flow Tracking    |    Source sheet: P07-CashFlow (48 project-months, 4 projects, Jan–Dec 2024)</v>
      </c>
      <c r="C317" s="90"/>
      <c r="D317" s="90"/>
      <c r="E317" s="90"/>
      <c r="F317" s="90"/>
      <c r="G317" s="90"/>
      <c r="H317" s="90"/>
      <c r="I317" s="90"/>
      <c r="J317" s="90"/>
      <c r="K317" s="90"/>
      <c r="L317" s="90"/>
      <c r="M317" s="90"/>
      <c r="N317" s="90"/>
      <c r="O317" s="90"/>
      <c r="P317" s="90"/>
      <c r="Q317" s="90"/>
      <c r="R317" s="90"/>
      <c r="S317" s="90"/>
      <c r="T317" s="90"/>
      <c r="U317" s="90"/>
      <c r="BA317" t="str">
        <f>'Analysis report'!A736</f>
        <v>Month 5</v>
      </c>
      <c r="BB317" s="48">
        <f>'Analysis report'!C736-'Analysis report'!B736</f>
        <v>-25402</v>
      </c>
    </row>
    <row r="318" spans="2:54" ht="13.95" customHeight="1">
      <c r="BA318" t="str">
        <f>'Analysis report'!A737</f>
        <v>Month 6</v>
      </c>
      <c r="BB318" s="48">
        <f>'Analysis report'!C737-'Analysis report'!B737</f>
        <v>-31619</v>
      </c>
    </row>
    <row r="319" spans="2:54" ht="13.95" customHeight="1">
      <c r="B319" s="88" t="str">
        <f>'Analysis report'!A466</f>
        <v>Q1. Which project had negative net cash flow for the most months?</v>
      </c>
      <c r="C319" s="88"/>
      <c r="D319" s="88"/>
      <c r="E319" s="88"/>
      <c r="F319" s="88"/>
      <c r="G319" s="88"/>
      <c r="I319" s="88" t="str">
        <f>'Analysis report'!A474</f>
        <v>Q2. Cumulative cash position for each project at end of December 2024</v>
      </c>
      <c r="J319" s="88"/>
      <c r="K319" s="88"/>
      <c r="L319" s="88"/>
      <c r="M319" s="88"/>
      <c r="N319" s="88"/>
      <c r="P319" s="88" t="str">
        <f>'Analysis report'!A483</f>
        <v>Q3. Monthly net cash flow for all 4 projects (line chart to the right)</v>
      </c>
      <c r="Q319" s="88"/>
      <c r="R319" s="88"/>
      <c r="S319" s="88"/>
      <c r="T319" s="88"/>
      <c r="U319" s="88"/>
      <c r="BA319" t="str">
        <f>'Analysis report'!A738</f>
        <v>Month 7</v>
      </c>
      <c r="BB319" s="48">
        <f>'Analysis report'!C738-'Analysis report'!B738</f>
        <v>-1191915</v>
      </c>
    </row>
    <row r="320" spans="2:54" ht="13.95" customHeight="1">
      <c r="B320" s="88"/>
      <c r="C320" s="88"/>
      <c r="D320" s="88"/>
      <c r="E320" s="88"/>
      <c r="F320" s="88"/>
      <c r="G320" s="88"/>
      <c r="I320" s="88"/>
      <c r="J320" s="88"/>
      <c r="K320" s="88"/>
      <c r="L320" s="88"/>
      <c r="M320" s="88"/>
      <c r="N320" s="88"/>
      <c r="P320" s="88"/>
      <c r="Q320" s="88"/>
      <c r="R320" s="88"/>
      <c r="S320" s="88"/>
      <c r="T320" s="88"/>
      <c r="U320" s="88"/>
      <c r="BA320" t="str">
        <f>'Analysis report'!A739</f>
        <v>Month 8</v>
      </c>
      <c r="BB320" s="48">
        <f>'Analysis report'!C739-'Analysis report'!B739</f>
        <v>-180291</v>
      </c>
    </row>
    <row r="321" spans="2:54" ht="13.95" customHeight="1">
      <c r="B321" s="89" t="str">
        <f>'Analysis report'!A472</f>
        <v>ANSWER: WT-HOS-AKL-03 ran negative in 9 of 12 months — the most in the portfolio. Its worst month was 2024-12 at -$9,92,486. Best cash discipline: WT-DC-MUM-01 with 6 negative months.</v>
      </c>
      <c r="C321" s="90"/>
      <c r="D321" s="90"/>
      <c r="E321" s="90"/>
      <c r="F321" s="90"/>
      <c r="G321" s="90"/>
      <c r="I321" s="89" t="str">
        <f>'Analysis report'!A481</f>
        <v>ANSWER: At 31-Dec-2024 the portfolio sits at -$73,16,487 cumulative cash. 3 of 4 projects are cash-negative. Best: WT-DC-MUM-01 at $8,39,758; worst: WT-HOS-AKL-03 at -$38,67,202. Collections came in $1,28,96,910 below plan.</v>
      </c>
      <c r="J321" s="90"/>
      <c r="K321" s="90"/>
      <c r="L321" s="90"/>
      <c r="M321" s="90"/>
      <c r="N321" s="90"/>
      <c r="P321" s="89" t="str">
        <f>'Analysis report'!A497</f>
        <v>ANSWER: The chart to the right plots all four projects month by month. Portfolio net cash flow is negative in 7 of 12 months, with the deepest trough in 2024-09 (-$21,19,106) and the strongest month 2024-05 ($13,63,658).</v>
      </c>
      <c r="Q321" s="90"/>
      <c r="R321" s="90"/>
      <c r="S321" s="90"/>
      <c r="T321" s="90"/>
      <c r="U321" s="90"/>
      <c r="BA321" t="str">
        <f>'Analysis report'!A740</f>
        <v>Month 9</v>
      </c>
      <c r="BB321" s="48">
        <f>'Analysis report'!C740-'Analysis report'!B740</f>
        <v>-753563</v>
      </c>
    </row>
    <row r="322" spans="2:54" ht="13.95" customHeight="1">
      <c r="B322" s="90"/>
      <c r="C322" s="90"/>
      <c r="D322" s="90"/>
      <c r="E322" s="90"/>
      <c r="F322" s="90"/>
      <c r="G322" s="90"/>
      <c r="I322" s="90"/>
      <c r="J322" s="90"/>
      <c r="K322" s="90"/>
      <c r="L322" s="90"/>
      <c r="M322" s="90"/>
      <c r="N322" s="90"/>
      <c r="P322" s="90"/>
      <c r="Q322" s="90"/>
      <c r="R322" s="90"/>
      <c r="S322" s="90"/>
      <c r="T322" s="90"/>
      <c r="U322" s="90"/>
      <c r="BA322" t="str">
        <f>'Analysis report'!A741</f>
        <v>Month 10</v>
      </c>
      <c r="BB322" s="48">
        <f>'Analysis report'!C741-'Analysis report'!B741</f>
        <v>-1210728</v>
      </c>
    </row>
    <row r="323" spans="2:54" ht="13.95" customHeight="1">
      <c r="B323" s="90"/>
      <c r="C323" s="90"/>
      <c r="D323" s="90"/>
      <c r="E323" s="90"/>
      <c r="F323" s="90"/>
      <c r="G323" s="90"/>
      <c r="I323" s="90"/>
      <c r="J323" s="90"/>
      <c r="K323" s="90"/>
      <c r="L323" s="90"/>
      <c r="M323" s="90"/>
      <c r="N323" s="90"/>
      <c r="P323" s="90"/>
      <c r="Q323" s="90"/>
      <c r="R323" s="90"/>
      <c r="S323" s="90"/>
      <c r="T323" s="90"/>
      <c r="U323" s="90"/>
      <c r="BA323" t="str">
        <f>'Analysis report'!A742</f>
        <v>Month 11</v>
      </c>
      <c r="BB323" s="48">
        <f>'Analysis report'!C742-'Analysis report'!B742</f>
        <v>-484743</v>
      </c>
    </row>
    <row r="324" spans="2:54" ht="13.95" customHeight="1">
      <c r="B324" s="90"/>
      <c r="C324" s="90"/>
      <c r="D324" s="90"/>
      <c r="E324" s="90"/>
      <c r="F324" s="90"/>
      <c r="G324" s="90"/>
      <c r="I324" s="90"/>
      <c r="J324" s="90"/>
      <c r="K324" s="90"/>
      <c r="L324" s="90"/>
      <c r="M324" s="90"/>
      <c r="N324" s="90"/>
      <c r="P324" s="90"/>
      <c r="Q324" s="90"/>
      <c r="R324" s="90"/>
      <c r="S324" s="90"/>
      <c r="T324" s="90"/>
      <c r="U324" s="90"/>
      <c r="BA324" t="str">
        <f>'Analysis report'!A743</f>
        <v>Month 12</v>
      </c>
      <c r="BB324" s="48">
        <f>'Analysis report'!C743-'Analysis report'!B743</f>
        <v>-848419</v>
      </c>
    </row>
    <row r="325" spans="2:54" ht="13.95" customHeight="1">
      <c r="BA325" t="str">
        <f>'Analysis report'!A744</f>
        <v>Month 13</v>
      </c>
      <c r="BB325" s="48">
        <f>'Analysis report'!C744-'Analysis report'!B744</f>
        <v>-2015131</v>
      </c>
    </row>
    <row r="326" spans="2:54" ht="13.95" customHeight="1">
      <c r="BA326" t="str">
        <f>'Analysis report'!A745</f>
        <v>Month 14</v>
      </c>
      <c r="BB326" s="48">
        <f>'Analysis report'!C745-'Analysis report'!B745</f>
        <v>-551661</v>
      </c>
    </row>
    <row r="327" spans="2:54" ht="13.95" customHeight="1">
      <c r="BA327" t="str">
        <f>'Analysis report'!A746</f>
        <v>Month 15</v>
      </c>
      <c r="BB327" s="48">
        <f>'Analysis report'!C746-'Analysis report'!B746</f>
        <v>489754</v>
      </c>
    </row>
    <row r="328" spans="2:54" ht="13.95" customHeight="1">
      <c r="BA328" t="str">
        <f>'Analysis report'!A747</f>
        <v>Month 16</v>
      </c>
      <c r="BB328" s="48">
        <f>'Analysis report'!C747-'Analysis report'!B747</f>
        <v>-1430580</v>
      </c>
    </row>
    <row r="329" spans="2:54" ht="13.95" customHeight="1">
      <c r="BA329" t="str">
        <f>'Analysis report'!A748</f>
        <v>Month 17</v>
      </c>
      <c r="BB329" s="48">
        <f>'Analysis report'!C748-'Analysis report'!B748</f>
        <v>-183433</v>
      </c>
    </row>
    <row r="330" spans="2:54" ht="13.95" customHeight="1">
      <c r="BA330" t="str">
        <f>'Analysis report'!A749</f>
        <v>Month 18</v>
      </c>
      <c r="BB330" s="48">
        <f>'Analysis report'!C749-'Analysis report'!B749</f>
        <v>-1931582</v>
      </c>
    </row>
    <row r="331" spans="2:54" ht="13.95" customHeight="1">
      <c r="BA331" t="str">
        <f>'Analysis report'!A750</f>
        <v>Month 19</v>
      </c>
      <c r="BB331" s="48">
        <f>'Analysis report'!C750-'Analysis report'!B750</f>
        <v>-890712</v>
      </c>
    </row>
    <row r="332" spans="2:54" ht="13.95" customHeight="1">
      <c r="BA332" t="str">
        <f>'Analysis report'!A751</f>
        <v>Month 20</v>
      </c>
      <c r="BB332" s="48">
        <f>'Analysis report'!C751-'Analysis report'!B751</f>
        <v>-2373180</v>
      </c>
    </row>
    <row r="333" spans="2:54" ht="13.95" customHeight="1">
      <c r="BA333" t="str">
        <f>'Analysis report'!A752</f>
        <v>Month 21</v>
      </c>
      <c r="BB333" s="48">
        <f>'Analysis report'!C752-'Analysis report'!B752</f>
        <v>-2076169</v>
      </c>
    </row>
    <row r="334" spans="2:54" ht="13.95" customHeight="1">
      <c r="BA334" t="str">
        <f>'Analysis report'!A753</f>
        <v>Month 22</v>
      </c>
      <c r="BB334" s="48">
        <f>'Analysis report'!C753-'Analysis report'!B753</f>
        <v>-3005313</v>
      </c>
    </row>
    <row r="335" spans="2:54" ht="13.95" customHeight="1">
      <c r="BA335" t="str">
        <f>'Analysis report'!A754</f>
        <v>Month 23</v>
      </c>
      <c r="BB335" s="48">
        <f>'Analysis report'!C754-'Analysis report'!B754</f>
        <v>-1398628</v>
      </c>
    </row>
    <row r="336" spans="2:54" ht="13.95" customHeight="1">
      <c r="BA336" t="str">
        <f>'Analysis report'!A755</f>
        <v>Month 24</v>
      </c>
      <c r="BB336" s="48">
        <f>'Analysis report'!C755-'Analysis report'!B755</f>
        <v>-354631</v>
      </c>
    </row>
    <row r="337" spans="2:54" ht="13.95" customHeight="1">
      <c r="BA337" t="str">
        <f>'Analysis report'!A756</f>
        <v>Month 25</v>
      </c>
      <c r="BB337" s="48">
        <f>'Analysis report'!C756-'Analysis report'!B756</f>
        <v>783654</v>
      </c>
    </row>
    <row r="338" spans="2:54" ht="13.95" customHeight="1">
      <c r="BA338" t="str">
        <f>'Analysis report'!A757</f>
        <v>Month 26</v>
      </c>
      <c r="BB338" s="48">
        <f>'Analysis report'!C757-'Analysis report'!B757</f>
        <v>894258</v>
      </c>
    </row>
    <row r="339" spans="2:54" ht="13.95" customHeight="1">
      <c r="BA339" t="str">
        <f>'Analysis report'!A758</f>
        <v>Month 27</v>
      </c>
      <c r="BB339" s="48">
        <f>'Analysis report'!C758-'Analysis report'!B758</f>
        <v>-2822359</v>
      </c>
    </row>
    <row r="340" spans="2:54" ht="13.95" customHeight="1">
      <c r="BA340" t="str">
        <f>'Analysis report'!A759</f>
        <v>Month 28</v>
      </c>
      <c r="BB340" s="48">
        <f>'Analysis report'!C759-'Analysis report'!B759</f>
        <v>-1390414</v>
      </c>
    </row>
    <row r="341" spans="2:54" ht="13.95" customHeight="1">
      <c r="B341" s="88" t="str">
        <f>'Analysis report'!A499</f>
        <v>Q4. Months where actual inflow fell below 70% of planned — collection risk</v>
      </c>
      <c r="C341" s="88"/>
      <c r="D341" s="88"/>
      <c r="E341" s="88"/>
      <c r="F341" s="88"/>
      <c r="G341" s="88"/>
      <c r="I341" s="88" t="str">
        <f>'Analysis report'!A518</f>
        <v>Q5. Total cash surplus / deficit across all projects</v>
      </c>
      <c r="J341" s="88"/>
      <c r="K341" s="88"/>
      <c r="L341" s="88"/>
      <c r="M341" s="88"/>
      <c r="N341" s="88"/>
      <c r="P341" s="88" t="str">
        <f>'Analysis report'!A525</f>
        <v>Q6. Cash flow forecast accuracy — (Actual Inflow ÷ Planned Inflow) × 100</v>
      </c>
      <c r="Q341" s="88"/>
      <c r="R341" s="88"/>
      <c r="S341" s="88"/>
      <c r="T341" s="88"/>
      <c r="U341" s="88"/>
      <c r="BA341" t="str">
        <f>'Analysis report'!A760</f>
        <v>Month 29</v>
      </c>
      <c r="BB341" s="48">
        <f>'Analysis report'!C760-'Analysis report'!B760</f>
        <v>-1581355</v>
      </c>
    </row>
    <row r="342" spans="2:54" ht="13.95" customHeight="1">
      <c r="B342" s="88"/>
      <c r="C342" s="88"/>
      <c r="D342" s="88"/>
      <c r="E342" s="88"/>
      <c r="F342" s="88"/>
      <c r="G342" s="88"/>
      <c r="I342" s="88"/>
      <c r="J342" s="88"/>
      <c r="K342" s="88"/>
      <c r="L342" s="88"/>
      <c r="M342" s="88"/>
      <c r="N342" s="88"/>
      <c r="P342" s="88"/>
      <c r="Q342" s="88"/>
      <c r="R342" s="88"/>
      <c r="S342" s="88"/>
      <c r="T342" s="88"/>
      <c r="U342" s="88"/>
      <c r="BA342" t="str">
        <f>'Analysis report'!A761</f>
        <v>Month 30</v>
      </c>
      <c r="BB342" s="48">
        <f>'Analysis report'!C761-'Analysis report'!B761</f>
        <v>21964</v>
      </c>
    </row>
    <row r="343" spans="2:54" ht="13.95" customHeight="1">
      <c r="B343" s="89" t="str">
        <f>'Analysis report'!A516</f>
        <v>ANSWER: 17 of 48 project-months collected less than 70% of planned inflow (the first 14 are listed above). The single worst is WT-OFF-SYD-02 in 2024-04 at 60.3% of plan. Concentrate collection effort on the projects appearing most often in column C.</v>
      </c>
      <c r="C343" s="90"/>
      <c r="D343" s="90"/>
      <c r="E343" s="90"/>
      <c r="F343" s="90"/>
      <c r="G343" s="90"/>
      <c r="I343" s="89" t="str">
        <f>'Analysis report'!A523</f>
        <v>ANSWER: Across all four projects WT collected $4,30,06,437 and spent $5,03,22,924, a net DEFICIT of $73,16,487 for 2024. 3 of 4 projects are individually in deficit.</v>
      </c>
      <c r="J343" s="90"/>
      <c r="K343" s="90"/>
      <c r="L343" s="90"/>
      <c r="M343" s="90"/>
      <c r="N343" s="90"/>
      <c r="P343" s="89" t="str">
        <f>'Analysis report'!A532</f>
        <v>ANSWER: Portfolio forecast accuracy is 76.9% — collections are running 23.1% below the cash-flow forecast. Most accurate project: WT-ITP-BLR-04 (77.9%); least accurate: WT-HOS-AKL-03 (74.3%). Anything below ~90% means the forecast, not just the client, needs fixing.</v>
      </c>
      <c r="Q343" s="90"/>
      <c r="R343" s="90"/>
      <c r="S343" s="90"/>
      <c r="T343" s="90"/>
      <c r="U343" s="90"/>
      <c r="BA343" t="str">
        <f>'Analysis report'!A762</f>
        <v>Month 31</v>
      </c>
      <c r="BB343" s="48">
        <f>'Analysis report'!C762-'Analysis report'!B762</f>
        <v>-1969190</v>
      </c>
    </row>
    <row r="344" spans="2:54" ht="13.95" customHeight="1">
      <c r="B344" s="90"/>
      <c r="C344" s="90"/>
      <c r="D344" s="90"/>
      <c r="E344" s="90"/>
      <c r="F344" s="90"/>
      <c r="G344" s="90"/>
      <c r="I344" s="90"/>
      <c r="J344" s="90"/>
      <c r="K344" s="90"/>
      <c r="L344" s="90"/>
      <c r="M344" s="90"/>
      <c r="N344" s="90"/>
      <c r="P344" s="90"/>
      <c r="Q344" s="90"/>
      <c r="R344" s="90"/>
      <c r="S344" s="90"/>
      <c r="T344" s="90"/>
      <c r="U344" s="90"/>
      <c r="BA344" t="str">
        <f>'Analysis report'!A763</f>
        <v>Month 32</v>
      </c>
      <c r="BB344" s="48">
        <f>'Analysis report'!C763-'Analysis report'!B763</f>
        <v>-4941717</v>
      </c>
    </row>
    <row r="345" spans="2:54" ht="13.95" customHeight="1">
      <c r="B345" s="90"/>
      <c r="C345" s="90"/>
      <c r="D345" s="90"/>
      <c r="E345" s="90"/>
      <c r="F345" s="90"/>
      <c r="G345" s="90"/>
      <c r="I345" s="90"/>
      <c r="J345" s="90"/>
      <c r="K345" s="90"/>
      <c r="L345" s="90"/>
      <c r="M345" s="90"/>
      <c r="N345" s="90"/>
      <c r="P345" s="90"/>
      <c r="Q345" s="90"/>
      <c r="R345" s="90"/>
      <c r="S345" s="90"/>
      <c r="T345" s="90"/>
      <c r="U345" s="90"/>
      <c r="BA345" t="str">
        <f>'Analysis report'!A764</f>
        <v>Month 33</v>
      </c>
      <c r="BB345" s="48">
        <f>'Analysis report'!C764-'Analysis report'!B764</f>
        <v>-2325712</v>
      </c>
    </row>
    <row r="346" spans="2:54" ht="13.95" customHeight="1">
      <c r="B346" s="90"/>
      <c r="C346" s="90"/>
      <c r="D346" s="90"/>
      <c r="E346" s="90"/>
      <c r="F346" s="90"/>
      <c r="G346" s="90"/>
      <c r="I346" s="90"/>
      <c r="J346" s="90"/>
      <c r="K346" s="90"/>
      <c r="L346" s="90"/>
      <c r="M346" s="90"/>
      <c r="N346" s="90"/>
      <c r="P346" s="90"/>
      <c r="Q346" s="90"/>
      <c r="R346" s="90"/>
      <c r="S346" s="90"/>
      <c r="T346" s="90"/>
      <c r="U346" s="90"/>
      <c r="BA346" t="str">
        <f>'Analysis report'!A765</f>
        <v>Month 34</v>
      </c>
      <c r="BB346" s="48">
        <f>'Analysis report'!C765-'Analysis report'!B765</f>
        <v>-192630</v>
      </c>
    </row>
    <row r="347" spans="2:54" ht="13.95" customHeight="1">
      <c r="BA347" t="str">
        <f>'Analysis report'!A766</f>
        <v>Month 35</v>
      </c>
      <c r="BB347" s="48">
        <f>'Analysis report'!C766-'Analysis report'!B766</f>
        <v>-218108</v>
      </c>
    </row>
    <row r="348" spans="2:54" ht="13.95" customHeight="1">
      <c r="BA348" t="str">
        <f>'Analysis report'!A767</f>
        <v>Month 36</v>
      </c>
      <c r="BB348" s="48">
        <f>'Analysis report'!C767-'Analysis report'!B767</f>
        <v>-4915677</v>
      </c>
    </row>
    <row r="349" spans="2:54" ht="13.95" customHeight="1"/>
    <row r="350" spans="2:54" ht="13.95" customHeight="1">
      <c r="BA350" s="86" t="s">
        <v>1926</v>
      </c>
    </row>
    <row r="351" spans="2:54" ht="13.95" customHeight="1">
      <c r="BA351" s="36" t="s">
        <v>219</v>
      </c>
      <c r="BB351" s="36" t="s">
        <v>841</v>
      </c>
    </row>
    <row r="352" spans="2:54" ht="13.95" customHeight="1">
      <c r="BA352" t="str">
        <f>'Analysis report'!A732</f>
        <v>Month 1</v>
      </c>
      <c r="BB352" s="40">
        <f>'Analysis report'!F732</f>
        <v>1.0422753996499989</v>
      </c>
    </row>
    <row r="353" spans="2:54" ht="13.95" customHeight="1">
      <c r="BA353" t="str">
        <f>'Analysis report'!A733</f>
        <v>Month 2</v>
      </c>
      <c r="BB353" s="40">
        <f>'Analysis report'!F733</f>
        <v>0.84654527702317151</v>
      </c>
    </row>
    <row r="354" spans="2:54" ht="13.95" customHeight="1">
      <c r="BA354" t="str">
        <f>'Analysis report'!A734</f>
        <v>Month 3</v>
      </c>
      <c r="BB354" s="40">
        <f>'Analysis report'!F734</f>
        <v>0.85089868152869763</v>
      </c>
    </row>
    <row r="355" spans="2:54" ht="13.95" customHeight="1">
      <c r="BA355" t="str">
        <f>'Analysis report'!A735</f>
        <v>Month 4</v>
      </c>
      <c r="BB355" s="40">
        <f>'Analysis report'!F735</f>
        <v>1.0423995783240323</v>
      </c>
    </row>
    <row r="356" spans="2:54" ht="13.95" customHeight="1">
      <c r="BA356" t="str">
        <f>'Analysis report'!A736</f>
        <v>Month 5</v>
      </c>
      <c r="BB356" s="40">
        <f>'Analysis report'!F736</f>
        <v>1.0780586184799217</v>
      </c>
    </row>
    <row r="357" spans="2:54" ht="13.95" customHeight="1">
      <c r="BA357" t="str">
        <f>'Analysis report'!A737</f>
        <v>Month 6</v>
      </c>
      <c r="BB357" s="40">
        <f>'Analysis report'!F737</f>
        <v>1.0675113978597615</v>
      </c>
    </row>
    <row r="358" spans="2:54" ht="13.95" customHeight="1">
      <c r="BA358" t="str">
        <f>'Analysis report'!A738</f>
        <v>Month 7</v>
      </c>
      <c r="BB358" s="40">
        <f>'Analysis report'!F738</f>
        <v>0.8494449030917689</v>
      </c>
    </row>
    <row r="359" spans="2:54" ht="13.95" customHeight="1">
      <c r="BA359" t="str">
        <f>'Analysis report'!A739</f>
        <v>Month 8</v>
      </c>
      <c r="BB359" s="40">
        <f>'Analysis report'!F739</f>
        <v>0.95343618097488902</v>
      </c>
    </row>
    <row r="360" spans="2:54" ht="13.95" customHeight="1">
      <c r="BA360" t="str">
        <f>'Analysis report'!A740</f>
        <v>Month 9</v>
      </c>
      <c r="BB360" s="40">
        <f>'Analysis report'!F740</f>
        <v>0.9938550468389804</v>
      </c>
    </row>
    <row r="361" spans="2:54" ht="13.95" customHeight="1">
      <c r="BA361" t="str">
        <f>'Analysis report'!A741</f>
        <v>Month 10</v>
      </c>
      <c r="BB361" s="40">
        <f>'Analysis report'!F741</f>
        <v>0.96730188814218421</v>
      </c>
    </row>
    <row r="362" spans="2:54" ht="13.95" customHeight="1">
      <c r="BA362" t="str">
        <f>'Analysis report'!A742</f>
        <v>Month 11</v>
      </c>
      <c r="BB362" s="40">
        <f>'Analysis report'!F742</f>
        <v>0.92157989353916692</v>
      </c>
    </row>
    <row r="363" spans="2:54" ht="13.95" customHeight="1">
      <c r="BA363" t="str">
        <f>'Analysis report'!A743</f>
        <v>Month 12</v>
      </c>
      <c r="BB363" s="40">
        <f>'Analysis report'!F743</f>
        <v>0.85849178498655043</v>
      </c>
    </row>
    <row r="364" spans="2:54" ht="22.05" customHeight="1">
      <c r="B364" s="93" t="str">
        <f>'Analysis report'!A534</f>
        <v>PROBLEM 08 — Change Order (VO) Impact Analysis    |    Source sheet: P08-ChangeOrder (45 variation orders, 4 projects)</v>
      </c>
      <c r="C364" s="90"/>
      <c r="D364" s="90"/>
      <c r="E364" s="90"/>
      <c r="F364" s="90"/>
      <c r="G364" s="90"/>
      <c r="H364" s="90"/>
      <c r="I364" s="90"/>
      <c r="J364" s="90"/>
      <c r="K364" s="90"/>
      <c r="L364" s="90"/>
      <c r="M364" s="90"/>
      <c r="N364" s="90"/>
      <c r="O364" s="90"/>
      <c r="P364" s="90"/>
      <c r="Q364" s="90"/>
      <c r="R364" s="90"/>
      <c r="S364" s="90"/>
      <c r="T364" s="90"/>
      <c r="U364" s="90"/>
      <c r="BA364" t="str">
        <f>'Analysis report'!A744</f>
        <v>Month 13</v>
      </c>
      <c r="BB364" s="40">
        <f>'Analysis report'!F744</f>
        <v>0.98531435960278135</v>
      </c>
    </row>
    <row r="365" spans="2:54" ht="13.95" customHeight="1">
      <c r="BA365" t="str">
        <f>'Analysis report'!A745</f>
        <v>Month 14</v>
      </c>
      <c r="BB365" s="40">
        <f>'Analysis report'!F745</f>
        <v>0.87784033280549212</v>
      </c>
    </row>
    <row r="366" spans="2:54" ht="13.95" customHeight="1">
      <c r="B366" s="88" t="str">
        <f>'Analysis report'!A535</f>
        <v>Q1. Total approved cost impact of all change orders per project</v>
      </c>
      <c r="C366" s="88"/>
      <c r="D366" s="88"/>
      <c r="E366" s="88"/>
      <c r="F366" s="88"/>
      <c r="G366" s="88"/>
      <c r="I366" s="88" t="str">
        <f>'Analysis report'!A544</f>
        <v>Q2. Who initiates the most change orders — Client, Consultant, Contractor or Architect?</v>
      </c>
      <c r="J366" s="88"/>
      <c r="K366" s="88"/>
      <c r="L366" s="88"/>
      <c r="M366" s="88"/>
      <c r="N366" s="88"/>
      <c r="P366" s="88" t="str">
        <f>'Analysis report'!A553</f>
        <v>Q3. What % of change orders are still Pending or Under Review? What is the cost exposure?</v>
      </c>
      <c r="Q366" s="88"/>
      <c r="R366" s="88"/>
      <c r="S366" s="88"/>
      <c r="T366" s="88"/>
      <c r="U366" s="88"/>
      <c r="BA366" t="str">
        <f>'Analysis report'!A746</f>
        <v>Month 15</v>
      </c>
      <c r="BB366" s="40">
        <f>'Analysis report'!F746</f>
        <v>0.94064801061078274</v>
      </c>
    </row>
    <row r="367" spans="2:54" ht="13.95" customHeight="1">
      <c r="B367" s="88"/>
      <c r="C367" s="88"/>
      <c r="D367" s="88"/>
      <c r="E367" s="88"/>
      <c r="F367" s="88"/>
      <c r="G367" s="88"/>
      <c r="I367" s="88"/>
      <c r="J367" s="88"/>
      <c r="K367" s="88"/>
      <c r="L367" s="88"/>
      <c r="M367" s="88"/>
      <c r="N367" s="88"/>
      <c r="P367" s="88"/>
      <c r="Q367" s="88"/>
      <c r="R367" s="88"/>
      <c r="S367" s="88"/>
      <c r="T367" s="88"/>
      <c r="U367" s="88"/>
      <c r="BA367" t="str">
        <f>'Analysis report'!A747</f>
        <v>Month 16</v>
      </c>
      <c r="BB367" s="40">
        <f>'Analysis report'!F747</f>
        <v>0.89765707790511373</v>
      </c>
    </row>
    <row r="368" spans="2:54" ht="13.95" customHeight="1">
      <c r="B368" s="89" t="str">
        <f>'Analysis report'!A542</f>
        <v>ANSWER: Approved change orders add $41,86,433 across the four projects (13 of 45 VOs approved). The largest approved exposure is WT-HOS-AKL-03 at $19,19,398; the smallest is WT-OFF-SYD-02 at $5,83,674.</v>
      </c>
      <c r="C368" s="90"/>
      <c r="D368" s="90"/>
      <c r="E368" s="90"/>
      <c r="F368" s="90"/>
      <c r="G368" s="90"/>
      <c r="I368" s="89" t="str">
        <f>'Analysis report'!A551</f>
        <v>ANSWER: Consultant initiates the most change orders — 16 of 45 (35.6%). By value the biggest driver is Client at $52,97,017 of cost impact.</v>
      </c>
      <c r="J368" s="90"/>
      <c r="K368" s="90"/>
      <c r="L368" s="90"/>
      <c r="M368" s="90"/>
      <c r="N368" s="90"/>
      <c r="P368" s="89" t="str">
        <f>'Analysis report'!A561</f>
        <v>ANSWER: 15 of 45 change orders (33.3%) are still Pending or Under Review, carrying $32,97,152 of unquantified cost exposure (23.0% of all VO value). That is the number to put in the risk register until these are determined.</v>
      </c>
      <c r="Q368" s="90"/>
      <c r="R368" s="90"/>
      <c r="S368" s="90"/>
      <c r="T368" s="90"/>
      <c r="U368" s="90"/>
      <c r="BA368" t="str">
        <f>'Analysis report'!A748</f>
        <v>Month 17</v>
      </c>
      <c r="BB368" s="40">
        <f>'Analysis report'!F748</f>
        <v>0.99680010175868927</v>
      </c>
    </row>
    <row r="369" spans="2:54" ht="13.95" customHeight="1">
      <c r="B369" s="90"/>
      <c r="C369" s="90"/>
      <c r="D369" s="90"/>
      <c r="E369" s="90"/>
      <c r="F369" s="90"/>
      <c r="G369" s="90"/>
      <c r="I369" s="90"/>
      <c r="J369" s="90"/>
      <c r="K369" s="90"/>
      <c r="L369" s="90"/>
      <c r="M369" s="90"/>
      <c r="N369" s="90"/>
      <c r="P369" s="90"/>
      <c r="Q369" s="90"/>
      <c r="R369" s="90"/>
      <c r="S369" s="90"/>
      <c r="T369" s="90"/>
      <c r="U369" s="90"/>
      <c r="BA369" t="str">
        <f>'Analysis report'!A749</f>
        <v>Month 18</v>
      </c>
      <c r="BB369" s="40">
        <f>'Analysis report'!F749</f>
        <v>1.0192322838394479</v>
      </c>
    </row>
    <row r="370" spans="2:54" ht="13.95" customHeight="1">
      <c r="B370" s="90"/>
      <c r="C370" s="90"/>
      <c r="D370" s="90"/>
      <c r="E370" s="90"/>
      <c r="F370" s="90"/>
      <c r="G370" s="90"/>
      <c r="I370" s="90"/>
      <c r="J370" s="90"/>
      <c r="K370" s="90"/>
      <c r="L370" s="90"/>
      <c r="M370" s="90"/>
      <c r="N370" s="90"/>
      <c r="P370" s="90"/>
      <c r="Q370" s="90"/>
      <c r="R370" s="90"/>
      <c r="S370" s="90"/>
      <c r="T370" s="90"/>
      <c r="U370" s="90"/>
      <c r="BA370" t="str">
        <f>'Analysis report'!A750</f>
        <v>Month 19</v>
      </c>
      <c r="BB370" s="40">
        <f>'Analysis report'!F750</f>
        <v>1.1003630094270138</v>
      </c>
    </row>
    <row r="371" spans="2:54" ht="13.95" customHeight="1">
      <c r="B371" s="90"/>
      <c r="C371" s="90"/>
      <c r="D371" s="90"/>
      <c r="E371" s="90"/>
      <c r="F371" s="90"/>
      <c r="G371" s="90"/>
      <c r="I371" s="90"/>
      <c r="J371" s="90"/>
      <c r="K371" s="90"/>
      <c r="L371" s="90"/>
      <c r="M371" s="90"/>
      <c r="N371" s="90"/>
      <c r="P371" s="90"/>
      <c r="Q371" s="90"/>
      <c r="R371" s="90"/>
      <c r="S371" s="90"/>
      <c r="T371" s="90"/>
      <c r="U371" s="90"/>
      <c r="BA371" t="str">
        <f>'Analysis report'!A751</f>
        <v>Month 20</v>
      </c>
      <c r="BB371" s="40">
        <f>'Analysis report'!F751</f>
        <v>0.87519991432034117</v>
      </c>
    </row>
    <row r="372" spans="2:54" ht="13.95" customHeight="1">
      <c r="BA372" t="str">
        <f>'Analysis report'!A752</f>
        <v>Month 21</v>
      </c>
      <c r="BB372" s="40">
        <f>'Analysis report'!F752</f>
        <v>0.9300624676338094</v>
      </c>
    </row>
    <row r="373" spans="2:54" ht="13.95" customHeight="1">
      <c r="BA373" t="str">
        <f>'Analysis report'!A753</f>
        <v>Month 22</v>
      </c>
      <c r="BB373" s="40">
        <f>'Analysis report'!F753</f>
        <v>1.0263177563367045</v>
      </c>
    </row>
    <row r="374" spans="2:54" ht="13.95" customHeight="1">
      <c r="BA374" t="str">
        <f>'Analysis report'!A754</f>
        <v>Month 23</v>
      </c>
      <c r="BB374" s="40">
        <f>'Analysis report'!F754</f>
        <v>0.87922047537731862</v>
      </c>
    </row>
    <row r="375" spans="2:54" ht="13.95" customHeight="1">
      <c r="BA375" t="str">
        <f>'Analysis report'!A755</f>
        <v>Month 24</v>
      </c>
      <c r="BB375" s="40">
        <f>'Analysis report'!F755</f>
        <v>0.84435162789193274</v>
      </c>
    </row>
    <row r="376" spans="2:54" ht="13.95" customHeight="1">
      <c r="BA376" t="str">
        <f>'Analysis report'!A756</f>
        <v>Month 25</v>
      </c>
      <c r="BB376" s="40">
        <f>'Analysis report'!F756</f>
        <v>0.98374198389296719</v>
      </c>
    </row>
    <row r="377" spans="2:54" ht="13.95" customHeight="1">
      <c r="BA377" t="str">
        <f>'Analysis report'!A757</f>
        <v>Month 26</v>
      </c>
      <c r="BB377" s="40">
        <f>'Analysis report'!F757</f>
        <v>1.0502948425896335</v>
      </c>
    </row>
    <row r="378" spans="2:54" ht="13.95" customHeight="1">
      <c r="BA378" t="str">
        <f>'Analysis report'!A758</f>
        <v>Month 27</v>
      </c>
      <c r="BB378" s="40">
        <f>'Analysis report'!F758</f>
        <v>0.89171742603107218</v>
      </c>
    </row>
    <row r="379" spans="2:54" ht="13.95" customHeight="1">
      <c r="BA379" t="str">
        <f>'Analysis report'!A759</f>
        <v>Month 28</v>
      </c>
      <c r="BB379" s="40">
        <f>'Analysis report'!F759</f>
        <v>0.90006098636111687</v>
      </c>
    </row>
    <row r="380" spans="2:54" ht="13.95" customHeight="1">
      <c r="BA380" t="str">
        <f>'Analysis report'!A760</f>
        <v>Month 29</v>
      </c>
      <c r="BB380" s="40">
        <f>'Analysis report'!F760</f>
        <v>1.0608608591277111</v>
      </c>
    </row>
    <row r="381" spans="2:54" ht="13.95" customHeight="1">
      <c r="BA381" t="str">
        <f>'Analysis report'!A761</f>
        <v>Month 30</v>
      </c>
      <c r="BB381" s="40">
        <f>'Analysis report'!F761</f>
        <v>0.87479853784565731</v>
      </c>
    </row>
    <row r="382" spans="2:54" ht="13.95" customHeight="1">
      <c r="BA382" t="str">
        <f>'Analysis report'!A762</f>
        <v>Month 31</v>
      </c>
      <c r="BB382" s="40">
        <f>'Analysis report'!F762</f>
        <v>1.0496847332130494</v>
      </c>
    </row>
    <row r="383" spans="2:54" ht="13.95" customHeight="1">
      <c r="BA383" t="str">
        <f>'Analysis report'!A763</f>
        <v>Month 32</v>
      </c>
      <c r="BB383" s="40">
        <f>'Analysis report'!F763</f>
        <v>0.92549847925924855</v>
      </c>
    </row>
    <row r="384" spans="2:54" ht="13.95" customHeight="1">
      <c r="BA384" t="str">
        <f>'Analysis report'!A764</f>
        <v>Month 33</v>
      </c>
      <c r="BB384" s="40">
        <f>'Analysis report'!F764</f>
        <v>1.0004800467234527</v>
      </c>
    </row>
    <row r="385" spans="2:54" ht="13.95" customHeight="1">
      <c r="BA385" t="str">
        <f>'Analysis report'!A765</f>
        <v>Month 34</v>
      </c>
      <c r="BB385" s="40">
        <f>'Analysis report'!F765</f>
        <v>0.99777728018013256</v>
      </c>
    </row>
    <row r="386" spans="2:54" ht="13.95" customHeight="1">
      <c r="BA386" t="str">
        <f>'Analysis report'!A766</f>
        <v>Month 35</v>
      </c>
      <c r="BB386" s="40">
        <f>'Analysis report'!F766</f>
        <v>0.86172344800535949</v>
      </c>
    </row>
    <row r="387" spans="2:54" ht="13.95" customHeight="1">
      <c r="BA387" t="str">
        <f>'Analysis report'!A767</f>
        <v>Month 36</v>
      </c>
      <c r="BB387" s="40">
        <f>'Analysis report'!F767</f>
        <v>0.89975888835540241</v>
      </c>
    </row>
    <row r="388" spans="2:54" ht="13.95" customHeight="1">
      <c r="B388" s="88" t="str">
        <f>'Analysis report'!A563</f>
        <v>Q4. Is there a correlation between cost impact and time impact of VOs?</v>
      </c>
      <c r="C388" s="88"/>
      <c r="D388" s="88"/>
      <c r="E388" s="88"/>
      <c r="F388" s="88"/>
      <c r="G388" s="88"/>
      <c r="I388" s="88" t="str">
        <f>'Analysis report'!A567</f>
        <v>Q5. Which project has the highest change order frequency per month?</v>
      </c>
      <c r="J388" s="88"/>
      <c r="K388" s="88"/>
      <c r="L388" s="88"/>
      <c r="M388" s="88"/>
      <c r="N388" s="88"/>
      <c r="P388" s="88" t="str">
        <f>'Analysis report'!A575</f>
        <v>Q6. Approved vs Pending vs Under Review vs Rejected VO cost per project (stacked bar chart to the right)</v>
      </c>
      <c r="Q388" s="88"/>
      <c r="R388" s="88"/>
      <c r="S388" s="88"/>
      <c r="T388" s="88"/>
      <c r="U388" s="88"/>
    </row>
    <row r="389" spans="2:54" ht="13.95" customHeight="1">
      <c r="B389" s="88"/>
      <c r="C389" s="88"/>
      <c r="D389" s="88"/>
      <c r="E389" s="88"/>
      <c r="F389" s="88"/>
      <c r="G389" s="88"/>
      <c r="I389" s="88"/>
      <c r="J389" s="88"/>
      <c r="K389" s="88"/>
      <c r="L389" s="88"/>
      <c r="M389" s="88"/>
      <c r="N389" s="88"/>
      <c r="P389" s="88"/>
      <c r="Q389" s="88"/>
      <c r="R389" s="88"/>
      <c r="S389" s="88"/>
      <c r="T389" s="88"/>
      <c r="U389" s="88"/>
      <c r="BA389" s="86" t="s">
        <v>1927</v>
      </c>
    </row>
    <row r="390" spans="2:54" ht="13.95" customHeight="1">
      <c r="B390" s="89" t="str">
        <f>'Analysis report'!A565</f>
        <v>ANSWER: r = 0.124 — there is effectively no linear relationship between the money and the time a VO costs; expensive variations are not necessarily the ones that delay the programme. Average VO: $3,18,816 and 13.0 days.</v>
      </c>
      <c r="C390" s="90"/>
      <c r="D390" s="90"/>
      <c r="E390" s="90"/>
      <c r="F390" s="90"/>
      <c r="G390" s="90"/>
      <c r="I390" s="89" t="str">
        <f>'Analysis report'!A573</f>
        <v>ANSWER: WT-HOS-AKL-03 has the highest change-order frequency at 1.20 VOs per active month (12 VOs over 10 months). Lowest churn: WT-DC-MUM-01 at 0.80 per month.</v>
      </c>
      <c r="J390" s="90"/>
      <c r="K390" s="90"/>
      <c r="L390" s="90"/>
      <c r="M390" s="90"/>
      <c r="N390" s="90"/>
      <c r="P390" s="89" t="str">
        <f>'Analysis report'!A582</f>
        <v>ANSWER: The stacked bar to the right splits VO value by status for each project. Portfolio-wide: $41,86,433 approved, $13,22,846 pending, $19,74,306 under review and $68,63,149 rejected, on a total VO book of $1,43,46,734.</v>
      </c>
      <c r="Q390" s="90"/>
      <c r="R390" s="90"/>
      <c r="S390" s="90"/>
      <c r="T390" s="90"/>
      <c r="U390" s="90"/>
      <c r="BA390" s="36" t="s">
        <v>1524</v>
      </c>
      <c r="BB390" s="36" t="s">
        <v>1928</v>
      </c>
    </row>
    <row r="391" spans="2:54" ht="13.95" customHeight="1">
      <c r="B391" s="90"/>
      <c r="C391" s="90"/>
      <c r="D391" s="90"/>
      <c r="E391" s="90"/>
      <c r="F391" s="90"/>
      <c r="G391" s="90"/>
      <c r="I391" s="90"/>
      <c r="J391" s="90"/>
      <c r="K391" s="90"/>
      <c r="L391" s="90"/>
      <c r="M391" s="90"/>
      <c r="N391" s="90"/>
      <c r="P391" s="90"/>
      <c r="Q391" s="90"/>
      <c r="R391" s="90"/>
      <c r="S391" s="90"/>
      <c r="T391" s="90"/>
      <c r="U391" s="90"/>
      <c r="BA391" t="s">
        <v>1929</v>
      </c>
      <c r="BB391" s="48">
        <f>'Analysis report'!B726</f>
        <v>25000000</v>
      </c>
    </row>
    <row r="392" spans="2:54" ht="13.95" customHeight="1">
      <c r="B392" s="90"/>
      <c r="C392" s="90"/>
      <c r="D392" s="90"/>
      <c r="E392" s="90"/>
      <c r="F392" s="90"/>
      <c r="G392" s="90"/>
      <c r="I392" s="90"/>
      <c r="J392" s="90"/>
      <c r="K392" s="90"/>
      <c r="L392" s="90"/>
      <c r="M392" s="90"/>
      <c r="N392" s="90"/>
      <c r="P392" s="90"/>
      <c r="Q392" s="90"/>
      <c r="R392" s="90"/>
      <c r="S392" s="90"/>
      <c r="T392" s="90"/>
      <c r="U392" s="90"/>
      <c r="BA392" t="s">
        <v>1930</v>
      </c>
      <c r="BB392" s="48">
        <f>'Analysis report'!D726</f>
        <v>27785221.489387572</v>
      </c>
    </row>
    <row r="393" spans="2:54" ht="13.95" customHeight="1">
      <c r="B393" s="90"/>
      <c r="C393" s="90"/>
      <c r="D393" s="90"/>
      <c r="E393" s="90"/>
      <c r="F393" s="90"/>
      <c r="G393" s="90"/>
      <c r="I393" s="90"/>
      <c r="J393" s="90"/>
      <c r="K393" s="90"/>
      <c r="L393" s="90"/>
      <c r="M393" s="90"/>
      <c r="N393" s="90"/>
      <c r="P393" s="90"/>
      <c r="Q393" s="90"/>
      <c r="R393" s="90"/>
      <c r="S393" s="90"/>
      <c r="T393" s="90"/>
      <c r="U393" s="90"/>
    </row>
    <row r="394" spans="2:54" ht="13.95" customHeight="1">
      <c r="BA394" s="86" t="s">
        <v>1931</v>
      </c>
    </row>
    <row r="395" spans="2:54" ht="13.95" customHeight="1">
      <c r="BA395" s="36" t="s">
        <v>219</v>
      </c>
      <c r="BB395" s="36" t="s">
        <v>840</v>
      </c>
    </row>
    <row r="396" spans="2:54" ht="13.95" customHeight="1">
      <c r="BA396" t="str">
        <f>'Analysis report'!A732</f>
        <v>Month 1</v>
      </c>
      <c r="BB396" s="40">
        <f>'Analysis report'!E732</f>
        <v>0.81668592558354514</v>
      </c>
    </row>
    <row r="397" spans="2:54" ht="13.95" customHeight="1">
      <c r="BA397" t="str">
        <f>'Analysis report'!A733</f>
        <v>Month 2</v>
      </c>
      <c r="BB397" s="40">
        <f>'Analysis report'!E733</f>
        <v>0.95588547575413796</v>
      </c>
    </row>
    <row r="398" spans="2:54" ht="13.95" customHeight="1">
      <c r="BA398" t="str">
        <f>'Analysis report'!A734</f>
        <v>Month 3</v>
      </c>
      <c r="BB398" s="40">
        <f>'Analysis report'!E734</f>
        <v>0.92583516387752829</v>
      </c>
    </row>
    <row r="399" spans="2:54" ht="13.95" customHeight="1">
      <c r="BA399" t="str">
        <f>'Analysis report'!A735</f>
        <v>Month 4</v>
      </c>
      <c r="BB399" s="40">
        <f>'Analysis report'!E735</f>
        <v>1.049148067577089</v>
      </c>
    </row>
    <row r="400" spans="2:54" ht="13.95" customHeight="1">
      <c r="BA400" t="str">
        <f>'Analysis report'!A736</f>
        <v>Month 5</v>
      </c>
      <c r="BB400" s="40">
        <f>'Analysis report'!E736</f>
        <v>0.99278948778737586</v>
      </c>
    </row>
    <row r="401" spans="2:54" ht="13.95" customHeight="1">
      <c r="BA401" t="str">
        <f>'Analysis report'!A737</f>
        <v>Month 6</v>
      </c>
      <c r="BB401" s="40">
        <f>'Analysis report'!E737</f>
        <v>0.99266612607982063</v>
      </c>
    </row>
    <row r="402" spans="2:54" ht="13.95" customHeight="1">
      <c r="BA402" t="str">
        <f>'Analysis report'!A738</f>
        <v>Month 7</v>
      </c>
      <c r="BB402" s="40">
        <f>'Analysis report'!E738</f>
        <v>0.76519116614540117</v>
      </c>
    </row>
    <row r="403" spans="2:54" ht="13.95" customHeight="1">
      <c r="BA403" t="str">
        <f>'Analysis report'!A739</f>
        <v>Month 8</v>
      </c>
      <c r="BB403" s="40">
        <f>'Analysis report'!E739</f>
        <v>0.9673292355420573</v>
      </c>
    </row>
    <row r="404" spans="2:54" ht="13.95" customHeight="1">
      <c r="BA404" t="str">
        <f>'Analysis report'!A740</f>
        <v>Month 9</v>
      </c>
      <c r="BB404" s="40">
        <f>'Analysis report'!E740</f>
        <v>0.87799919212589883</v>
      </c>
    </row>
    <row r="405" spans="2:54" ht="13.95" customHeight="1">
      <c r="BA405" t="str">
        <f>'Analysis report'!A741</f>
        <v>Month 10</v>
      </c>
      <c r="BB405" s="40">
        <f>'Analysis report'!E741</f>
        <v>0.83249448774756019</v>
      </c>
    </row>
    <row r="406" spans="2:54" ht="13.95" customHeight="1">
      <c r="BA406" t="str">
        <f>'Analysis report'!A742</f>
        <v>Month 11</v>
      </c>
      <c r="BB406" s="40">
        <f>'Analysis report'!E742</f>
        <v>0.93423184535285486</v>
      </c>
    </row>
    <row r="407" spans="2:54" ht="13.95" customHeight="1">
      <c r="BA407" t="str">
        <f>'Analysis report'!A743</f>
        <v>Month 12</v>
      </c>
      <c r="BB407" s="40">
        <f>'Analysis report'!E743</f>
        <v>0.89966739848854049</v>
      </c>
    </row>
    <row r="408" spans="2:54" ht="13.95" customHeight="1">
      <c r="BA408" t="str">
        <f>'Analysis report'!A744</f>
        <v>Month 13</v>
      </c>
      <c r="BB408" s="40">
        <f>'Analysis report'!E744</f>
        <v>0.77631643649847759</v>
      </c>
    </row>
    <row r="409" spans="2:54" ht="13.95" customHeight="1">
      <c r="BA409" t="str">
        <f>'Analysis report'!A745</f>
        <v>Month 14</v>
      </c>
      <c r="BB409" s="40">
        <f>'Analysis report'!E745</f>
        <v>0.94279571118968863</v>
      </c>
    </row>
    <row r="410" spans="2:54" ht="13.95" customHeight="1">
      <c r="BA410" t="str">
        <f>'Analysis report'!A746</f>
        <v>Month 15</v>
      </c>
      <c r="BB410" s="40">
        <f>'Analysis report'!E746</f>
        <v>1.0482261489053764</v>
      </c>
    </row>
    <row r="411" spans="2:54" ht="22.05" customHeight="1">
      <c r="B411" s="93" t="str">
        <f>'Analysis report'!A584</f>
        <v>PROBLEM 09 — Subcontractor Performance Scorecard    |    Source sheet: P09-SubconScore (30 scorecards, 13 subcontractors, 3 projects)</v>
      </c>
      <c r="C411" s="90"/>
      <c r="D411" s="90"/>
      <c r="E411" s="90"/>
      <c r="F411" s="90"/>
      <c r="G411" s="90"/>
      <c r="H411" s="90"/>
      <c r="I411" s="90"/>
      <c r="J411" s="90"/>
      <c r="K411" s="90"/>
      <c r="L411" s="90"/>
      <c r="M411" s="90"/>
      <c r="N411" s="90"/>
      <c r="O411" s="90"/>
      <c r="P411" s="90"/>
      <c r="Q411" s="90"/>
      <c r="R411" s="90"/>
      <c r="S411" s="90"/>
      <c r="T411" s="90"/>
      <c r="U411" s="90"/>
      <c r="BA411" t="str">
        <f>'Analysis report'!A747</f>
        <v>Month 16</v>
      </c>
      <c r="BB411" s="40">
        <f>'Analysis report'!E747</f>
        <v>0.86474940804584932</v>
      </c>
    </row>
    <row r="412" spans="2:54" ht="13.95" customHeight="1">
      <c r="BA412" t="str">
        <f>'Analysis report'!A748</f>
        <v>Month 17</v>
      </c>
      <c r="BB412" s="40">
        <f>'Analysis report'!E748</f>
        <v>0.98443051440253593</v>
      </c>
    </row>
    <row r="413" spans="2:54" ht="13.95" customHeight="1">
      <c r="B413" s="88" t="str">
        <f>'Analysis report'!A585</f>
        <v>Q1. Rank all subcontractors by weighted score — top 3 and bottom 3</v>
      </c>
      <c r="C413" s="88"/>
      <c r="D413" s="88"/>
      <c r="E413" s="88"/>
      <c r="F413" s="88"/>
      <c r="G413" s="88"/>
      <c r="I413" s="88" t="str">
        <f>'Analysis report'!A602</f>
        <v>Q2. Which trade has the lowest average quality score?</v>
      </c>
      <c r="J413" s="88"/>
      <c r="K413" s="88"/>
      <c r="L413" s="88"/>
      <c r="M413" s="88"/>
      <c r="N413" s="88"/>
      <c r="P413" s="88" t="str">
        <f>'Analysis report'!A616</f>
        <v>Q3. Is there a negative correlation between defect count and quality score?</v>
      </c>
      <c r="Q413" s="88"/>
      <c r="R413" s="88"/>
      <c r="S413" s="88"/>
      <c r="T413" s="88"/>
      <c r="U413" s="88"/>
      <c r="BA413" t="str">
        <f>'Analysis report'!A749</f>
        <v>Month 18</v>
      </c>
      <c r="BB413" s="40">
        <f>'Analysis report'!E749</f>
        <v>0.84648129642968728</v>
      </c>
    </row>
    <row r="414" spans="2:54" ht="13.95" customHeight="1">
      <c r="B414" s="88"/>
      <c r="C414" s="88"/>
      <c r="D414" s="88"/>
      <c r="E414" s="88"/>
      <c r="F414" s="88"/>
      <c r="G414" s="88"/>
      <c r="I414" s="88"/>
      <c r="J414" s="88"/>
      <c r="K414" s="88"/>
      <c r="L414" s="88"/>
      <c r="M414" s="88"/>
      <c r="N414" s="88"/>
      <c r="P414" s="88"/>
      <c r="Q414" s="88"/>
      <c r="R414" s="88"/>
      <c r="S414" s="88"/>
      <c r="T414" s="88"/>
      <c r="U414" s="88"/>
      <c r="BA414" t="str">
        <f>'Analysis report'!A750</f>
        <v>Month 19</v>
      </c>
      <c r="BB414" s="40">
        <f>'Analysis report'!E750</f>
        <v>0.92913483930047558</v>
      </c>
    </row>
    <row r="415" spans="2:54" ht="13.95" customHeight="1">
      <c r="B415" s="89" t="str">
        <f>'Analysis report'!A600</f>
        <v>ANSWER: Top 3 — Contractor-C (3.86), Contractor-M (3.80) and Contractor-B (3.65). Bottom 3 — Contractor-N (3.15), Contractor-A (3.24) and Contractor-E (3.25). Portfolio average weighted score: 3.43.</v>
      </c>
      <c r="C415" s="90"/>
      <c r="D415" s="90"/>
      <c r="E415" s="90"/>
      <c r="F415" s="90"/>
      <c r="G415" s="90"/>
      <c r="I415" s="89" t="str">
        <f>'Analysis report'!A614</f>
        <v>ANSWER: Civil &amp; Structure has the lowest average quality score at 2.45 (vs the best, Interior Fit-out, at 3.88). Quality on that trade also carries 48 recorded defects.</v>
      </c>
      <c r="J415" s="90"/>
      <c r="K415" s="90"/>
      <c r="L415" s="90"/>
      <c r="M415" s="90"/>
      <c r="N415" s="90"/>
      <c r="P415" s="89" t="str">
        <f>'Analysis report'!A618</f>
        <v>ANSWER: r = -0.087 between defect count and quality score — essentially no relationship, which suggests the quality score is not being driven by recorded defects and the scoring may need review. Defects vs overall weighted score: r = 0.083.</v>
      </c>
      <c r="Q415" s="90"/>
      <c r="R415" s="90"/>
      <c r="S415" s="90"/>
      <c r="T415" s="90"/>
      <c r="U415" s="90"/>
      <c r="BA415" t="str">
        <f>'Analysis report'!A751</f>
        <v>Month 20</v>
      </c>
      <c r="BB415" s="40">
        <f>'Analysis report'!E751</f>
        <v>0.83427978029386185</v>
      </c>
    </row>
    <row r="416" spans="2:54" ht="13.95" customHeight="1">
      <c r="B416" s="90"/>
      <c r="C416" s="90"/>
      <c r="D416" s="90"/>
      <c r="E416" s="90"/>
      <c r="F416" s="90"/>
      <c r="G416" s="90"/>
      <c r="I416" s="90"/>
      <c r="J416" s="90"/>
      <c r="K416" s="90"/>
      <c r="L416" s="90"/>
      <c r="M416" s="90"/>
      <c r="N416" s="90"/>
      <c r="P416" s="90"/>
      <c r="Q416" s="90"/>
      <c r="R416" s="90"/>
      <c r="S416" s="90"/>
      <c r="T416" s="90"/>
      <c r="U416" s="90"/>
      <c r="BA416" t="str">
        <f>'Analysis report'!A752</f>
        <v>Month 21</v>
      </c>
      <c r="BB416" s="40">
        <f>'Analysis report'!E752</f>
        <v>0.85722985614328229</v>
      </c>
    </row>
    <row r="417" spans="2:54" ht="13.95" customHeight="1">
      <c r="B417" s="90"/>
      <c r="C417" s="90"/>
      <c r="D417" s="90"/>
      <c r="E417" s="90"/>
      <c r="F417" s="90"/>
      <c r="G417" s="90"/>
      <c r="I417" s="90"/>
      <c r="J417" s="90"/>
      <c r="K417" s="90"/>
      <c r="L417" s="90"/>
      <c r="M417" s="90"/>
      <c r="N417" s="90"/>
      <c r="P417" s="90"/>
      <c r="Q417" s="90"/>
      <c r="R417" s="90"/>
      <c r="S417" s="90"/>
      <c r="T417" s="90"/>
      <c r="U417" s="90"/>
      <c r="BA417" t="str">
        <f>'Analysis report'!A753</f>
        <v>Month 22</v>
      </c>
      <c r="BB417" s="40">
        <f>'Analysis report'!E753</f>
        <v>0.79788737978157565</v>
      </c>
    </row>
    <row r="418" spans="2:54" ht="13.95" customHeight="1">
      <c r="B418" s="90"/>
      <c r="C418" s="90"/>
      <c r="D418" s="90"/>
      <c r="E418" s="90"/>
      <c r="F418" s="90"/>
      <c r="G418" s="90"/>
      <c r="I418" s="90"/>
      <c r="J418" s="90"/>
      <c r="K418" s="90"/>
      <c r="L418" s="90"/>
      <c r="M418" s="90"/>
      <c r="N418" s="90"/>
      <c r="P418" s="90"/>
      <c r="Q418" s="90"/>
      <c r="R418" s="90"/>
      <c r="S418" s="90"/>
      <c r="T418" s="90"/>
      <c r="U418" s="90"/>
      <c r="BA418" t="str">
        <f>'Analysis report'!A754</f>
        <v>Month 23</v>
      </c>
      <c r="BB418" s="40">
        <f>'Analysis report'!E754</f>
        <v>0.91010686245744765</v>
      </c>
    </row>
    <row r="419" spans="2:54" ht="13.95" customHeight="1">
      <c r="BA419" t="str">
        <f>'Analysis report'!A755</f>
        <v>Month 24</v>
      </c>
      <c r="BB419" s="40">
        <f>'Analysis report'!E755</f>
        <v>0.97921487142655694</v>
      </c>
    </row>
    <row r="420" spans="2:54" ht="13.95" customHeight="1">
      <c r="BA420" t="str">
        <f>'Analysis report'!A756</f>
        <v>Month 25</v>
      </c>
      <c r="BB420" s="40">
        <f>'Analysis report'!E756</f>
        <v>1.0447993745441266</v>
      </c>
    </row>
    <row r="421" spans="2:54" ht="13.95" customHeight="1">
      <c r="BA421" t="str">
        <f>'Analysis report'!A757</f>
        <v>Month 26</v>
      </c>
      <c r="BB421" s="40">
        <f>'Analysis report'!E757</f>
        <v>1.0474625377043167</v>
      </c>
    </row>
    <row r="422" spans="2:54" ht="13.95" customHeight="1">
      <c r="BA422" t="str">
        <f>'Analysis report'!A758</f>
        <v>Month 27</v>
      </c>
      <c r="BB422" s="40">
        <f>'Analysis report'!E758</f>
        <v>0.84540129829958133</v>
      </c>
    </row>
    <row r="423" spans="2:54" ht="13.95" customHeight="1">
      <c r="BA423" t="str">
        <f>'Analysis report'!A759</f>
        <v>Month 28</v>
      </c>
      <c r="BB423" s="40">
        <f>'Analysis report'!E759</f>
        <v>0.92746873007288111</v>
      </c>
    </row>
    <row r="424" spans="2:54" ht="13.95" customHeight="1">
      <c r="BA424" t="str">
        <f>'Analysis report'!A760</f>
        <v>Month 29</v>
      </c>
      <c r="BB424" s="40">
        <f>'Analysis report'!E760</f>
        <v>0.9202953822072194</v>
      </c>
    </row>
    <row r="425" spans="2:54" ht="13.95" customHeight="1">
      <c r="BA425" t="str">
        <f>'Analysis report'!A761</f>
        <v>Month 30</v>
      </c>
      <c r="BB425" s="40">
        <f>'Analysis report'!E761</f>
        <v>1.0010090302789019</v>
      </c>
    </row>
    <row r="426" spans="2:54" ht="13.95" customHeight="1">
      <c r="BA426" t="str">
        <f>'Analysis report'!A762</f>
        <v>Month 31</v>
      </c>
      <c r="BB426" s="40">
        <f>'Analysis report'!E762</f>
        <v>0.91263737489860985</v>
      </c>
    </row>
    <row r="427" spans="2:54" ht="13.95" customHeight="1">
      <c r="BA427" t="str">
        <f>'Analysis report'!A763</f>
        <v>Month 32</v>
      </c>
      <c r="BB427" s="40">
        <f>'Analysis report'!E763</f>
        <v>0.76685036626215575</v>
      </c>
    </row>
    <row r="428" spans="2:54" ht="13.95" customHeight="1">
      <c r="BA428" t="str">
        <f>'Analysis report'!A764</f>
        <v>Month 33</v>
      </c>
      <c r="BB428" s="40">
        <f>'Analysis report'!E764</f>
        <v>0.89339665421141545</v>
      </c>
    </row>
    <row r="429" spans="2:54" ht="13.95" customHeight="1">
      <c r="BA429" t="str">
        <f>'Analysis report'!A765</f>
        <v>Month 34</v>
      </c>
      <c r="BB429" s="40">
        <f>'Analysis report'!E765</f>
        <v>0.99193361806939906</v>
      </c>
    </row>
    <row r="430" spans="2:54" ht="13.95" customHeight="1">
      <c r="BA430" t="str">
        <f>'Analysis report'!A766</f>
        <v>Month 35</v>
      </c>
      <c r="BB430" s="40">
        <f>'Analysis report'!E766</f>
        <v>0.99072733265670709</v>
      </c>
    </row>
    <row r="431" spans="2:54" ht="13.95" customHeight="1">
      <c r="BA431" t="str">
        <f>'Analysis report'!A767</f>
        <v>Month 36</v>
      </c>
      <c r="BB431" s="40">
        <f>'Analysis report'!E767</f>
        <v>0.79431357666877322</v>
      </c>
    </row>
    <row r="432" spans="2:54" ht="13.95" customHeight="1"/>
    <row r="433" spans="2:54" ht="13.95" customHeight="1">
      <c r="BA433" s="86" t="s">
        <v>1932</v>
      </c>
    </row>
    <row r="434" spans="2:54" ht="13.95" customHeight="1">
      <c r="BA434" s="36" t="s">
        <v>1524</v>
      </c>
      <c r="BB434" s="36" t="s">
        <v>1928</v>
      </c>
    </row>
    <row r="435" spans="2:54" ht="13.95" customHeight="1">
      <c r="B435" s="88" t="str">
        <f>'Analysis report'!A620</f>
        <v>Q4. Five-dimension profile of the top-performing subcontractor (radar chart to the right)</v>
      </c>
      <c r="C435" s="88"/>
      <c r="D435" s="88"/>
      <c r="E435" s="88"/>
      <c r="F435" s="88"/>
      <c r="G435" s="88"/>
      <c r="I435" s="88" t="str">
        <f>'Analysis report'!A630</f>
        <v>Q5. Which subcontractors should be blacklisted? (weighted score &lt; 3.0 AND defects &gt; 15)</v>
      </c>
      <c r="J435" s="88"/>
      <c r="K435" s="88"/>
      <c r="L435" s="88"/>
      <c r="M435" s="88"/>
      <c r="N435" s="88"/>
      <c r="P435" s="88" t="str">
        <f>'Analysis report'!A641</f>
        <v>Q6. Subcontractor performance across the 3 projects — is any project a consistent outlier?</v>
      </c>
      <c r="Q435" s="88"/>
      <c r="R435" s="88"/>
      <c r="S435" s="88"/>
      <c r="T435" s="88"/>
      <c r="U435" s="88"/>
      <c r="BA435" t="s">
        <v>1664</v>
      </c>
      <c r="BB435" s="48">
        <f>'Analysis report'!B777</f>
        <v>16707135</v>
      </c>
    </row>
    <row r="436" spans="2:54" ht="13.95" customHeight="1">
      <c r="B436" s="88"/>
      <c r="C436" s="88"/>
      <c r="D436" s="88"/>
      <c r="E436" s="88"/>
      <c r="F436" s="88"/>
      <c r="G436" s="88"/>
      <c r="I436" s="88"/>
      <c r="J436" s="88"/>
      <c r="K436" s="88"/>
      <c r="L436" s="88"/>
      <c r="M436" s="88"/>
      <c r="N436" s="88"/>
      <c r="P436" s="88"/>
      <c r="Q436" s="88"/>
      <c r="R436" s="88"/>
      <c r="S436" s="88"/>
      <c r="T436" s="88"/>
      <c r="U436" s="88"/>
      <c r="BA436" t="s">
        <v>1665</v>
      </c>
      <c r="BB436" s="48">
        <f>'Analysis report'!D777</f>
        <v>19786940</v>
      </c>
    </row>
    <row r="437" spans="2:54" ht="13.95" customHeight="1">
      <c r="B437" s="89" t="str">
        <f>'Analysis report'!A628</f>
        <v>ANSWER: The top performer is Contractor-C with an average weighted score of 3.86. Its strongest dimension is Cost (4.60) and its weakest is Time (3.20) — see the radar chart to the right.</v>
      </c>
      <c r="C437" s="90"/>
      <c r="D437" s="90"/>
      <c r="E437" s="90"/>
      <c r="F437" s="90"/>
      <c r="G437" s="90"/>
      <c r="I437" s="89" t="str">
        <f>'Analysis report'!A639</f>
        <v>ANSWER: 2 scorecard(s) breach both blacklist criteria and are listed above. Separately 4 score below 3.0 and 13 carry more than 15 defects.</v>
      </c>
      <c r="J437" s="90"/>
      <c r="K437" s="90"/>
      <c r="L437" s="90"/>
      <c r="M437" s="90"/>
      <c r="N437" s="90"/>
      <c r="P437" s="89" t="str">
        <f>'Analysis report'!A647</f>
        <v>ANSWER: WT-DC-MUM-01 is the weakest project for subcontractor performance (avg weighted score 3.39 vs portfolio 3.43), while WT-OFF-SYD-02 is the strongest at 3.47. The spread is 0.08 points, so no project is a consistent outlier — performance differences are marginal.</v>
      </c>
      <c r="Q437" s="90"/>
      <c r="R437" s="90"/>
      <c r="S437" s="90"/>
      <c r="T437" s="90"/>
      <c r="U437" s="90"/>
      <c r="BA437" t="s">
        <v>1933</v>
      </c>
      <c r="BB437" s="48">
        <f>'Analysis report'!B778</f>
        <v>16707135</v>
      </c>
    </row>
    <row r="438" spans="2:54" ht="13.95" customHeight="1">
      <c r="B438" s="90"/>
      <c r="C438" s="90"/>
      <c r="D438" s="90"/>
      <c r="E438" s="90"/>
      <c r="F438" s="90"/>
      <c r="G438" s="90"/>
      <c r="I438" s="90"/>
      <c r="J438" s="90"/>
      <c r="K438" s="90"/>
      <c r="L438" s="90"/>
      <c r="M438" s="90"/>
      <c r="N438" s="90"/>
      <c r="P438" s="90"/>
      <c r="Q438" s="90"/>
      <c r="R438" s="90"/>
      <c r="S438" s="90"/>
      <c r="T438" s="90"/>
      <c r="U438" s="90"/>
    </row>
    <row r="439" spans="2:54" ht="13.95" customHeight="1">
      <c r="B439" s="90"/>
      <c r="C439" s="90"/>
      <c r="D439" s="90"/>
      <c r="E439" s="90"/>
      <c r="F439" s="90"/>
      <c r="G439" s="90"/>
      <c r="I439" s="90"/>
      <c r="J439" s="90"/>
      <c r="K439" s="90"/>
      <c r="L439" s="90"/>
      <c r="M439" s="90"/>
      <c r="N439" s="90"/>
      <c r="P439" s="90"/>
      <c r="Q439" s="90"/>
      <c r="R439" s="90"/>
      <c r="S439" s="90"/>
      <c r="T439" s="90"/>
      <c r="U439" s="90"/>
      <c r="BA439" s="86" t="s">
        <v>1934</v>
      </c>
    </row>
    <row r="440" spans="2:54" ht="13.95" customHeight="1">
      <c r="B440" s="90"/>
      <c r="C440" s="90"/>
      <c r="D440" s="90"/>
      <c r="E440" s="90"/>
      <c r="F440" s="90"/>
      <c r="G440" s="90"/>
      <c r="I440" s="90"/>
      <c r="J440" s="90"/>
      <c r="K440" s="90"/>
      <c r="L440" s="90"/>
      <c r="M440" s="90"/>
      <c r="N440" s="90"/>
      <c r="P440" s="90"/>
      <c r="Q440" s="90"/>
      <c r="R440" s="90"/>
      <c r="S440" s="90"/>
      <c r="T440" s="90"/>
      <c r="U440" s="90"/>
      <c r="BA440" s="36" t="s">
        <v>901</v>
      </c>
      <c r="BB440" s="36" t="s">
        <v>1935</v>
      </c>
    </row>
    <row r="441" spans="2:54" ht="13.95" customHeight="1">
      <c r="BA441" t="str">
        <f>'Analysis report'!A803</f>
        <v>Supplier-A</v>
      </c>
      <c r="BB441" s="39">
        <f>'Analysis report'!D803</f>
        <v>0.33333333333333331</v>
      </c>
    </row>
    <row r="442" spans="2:54" ht="13.95" customHeight="1">
      <c r="BA442" t="str">
        <f>'Analysis report'!A804</f>
        <v>Supplier-B</v>
      </c>
      <c r="BB442" s="39">
        <f>'Analysis report'!D804</f>
        <v>0</v>
      </c>
    </row>
    <row r="443" spans="2:54" ht="13.95" customHeight="1">
      <c r="BA443" t="str">
        <f>'Analysis report'!A805</f>
        <v>Supplier-C</v>
      </c>
      <c r="BB443" s="39">
        <f>'Analysis report'!D805</f>
        <v>0.4</v>
      </c>
    </row>
    <row r="444" spans="2:54" ht="13.95" customHeight="1">
      <c r="BA444" t="str">
        <f>'Analysis report'!A806</f>
        <v>Supplier-D</v>
      </c>
      <c r="BB444" s="39">
        <f>'Analysis report'!D806</f>
        <v>0.4</v>
      </c>
    </row>
    <row r="445" spans="2:54" ht="13.95" customHeight="1">
      <c r="BA445" t="str">
        <f>'Analysis report'!A807</f>
        <v>Supplier-E</v>
      </c>
      <c r="BB445" s="39">
        <f>'Analysis report'!D807</f>
        <v>0.2857142857142857</v>
      </c>
    </row>
    <row r="446" spans="2:54" ht="13.95" customHeight="1">
      <c r="BA446" t="str">
        <f>'Analysis report'!A808</f>
        <v>Supplier-F</v>
      </c>
      <c r="BB446" s="39">
        <f>'Analysis report'!D808</f>
        <v>0.375</v>
      </c>
    </row>
    <row r="447" spans="2:54" ht="13.95" customHeight="1">
      <c r="BA447" t="str">
        <f>'Analysis report'!A809</f>
        <v>Supplier-G</v>
      </c>
      <c r="BB447" s="39">
        <f>'Analysis report'!D809</f>
        <v>0.16666666666666666</v>
      </c>
    </row>
    <row r="448" spans="2:54" ht="13.95" customHeight="1">
      <c r="BA448" t="str">
        <f>'Analysis report'!A810</f>
        <v>Supplier-H</v>
      </c>
      <c r="BB448" s="39">
        <f>'Analysis report'!D810</f>
        <v>0</v>
      </c>
    </row>
    <row r="449" spans="2:55" ht="13.95" customHeight="1">
      <c r="BA449" t="str">
        <f>'Analysis report'!A811</f>
        <v>Supplier-I</v>
      </c>
      <c r="BB449" s="39">
        <f>'Analysis report'!D811</f>
        <v>0.14285714285714285</v>
      </c>
    </row>
    <row r="450" spans="2:55" ht="13.95" customHeight="1">
      <c r="BA450" t="str">
        <f>'Analysis report'!A812</f>
        <v>Supplier-J</v>
      </c>
      <c r="BB450" s="39">
        <f>'Analysis report'!D812</f>
        <v>0.42857142857142855</v>
      </c>
    </row>
    <row r="451" spans="2:55" ht="13.95" customHeight="1"/>
    <row r="452" spans="2:55" ht="13.95" customHeight="1">
      <c r="BA452" s="86" t="s">
        <v>1936</v>
      </c>
    </row>
    <row r="453" spans="2:55" ht="13.95" customHeight="1">
      <c r="BA453" s="36" t="s">
        <v>1937</v>
      </c>
      <c r="BB453" s="36" t="s">
        <v>1673</v>
      </c>
    </row>
    <row r="454" spans="2:55" ht="13.95" customHeight="1">
      <c r="BA454" t="s">
        <v>1938</v>
      </c>
      <c r="BB454" s="60">
        <f>'Analysis report'!F816-'Analysis report'!B816</f>
        <v>15</v>
      </c>
    </row>
    <row r="455" spans="2:55" ht="13.95" customHeight="1">
      <c r="BA455" t="s">
        <v>1939</v>
      </c>
      <c r="BB455" s="60">
        <f>'Analysis report'!B816</f>
        <v>35</v>
      </c>
    </row>
    <row r="456" spans="2:55" ht="13.95" customHeight="1"/>
    <row r="457" spans="2:55" ht="13.95" customHeight="1">
      <c r="BA457" s="86" t="s">
        <v>1940</v>
      </c>
    </row>
    <row r="458" spans="2:55" ht="22.05" customHeight="1">
      <c r="B458" s="93" t="str">
        <f>'Analysis report'!A649</f>
        <v>PROBLEM 10 — Construction Cost Benchmarking    |    Source sheet: P10-Benchmark (40 completed projects, 3 countries, 2022–2025)</v>
      </c>
      <c r="C458" s="90"/>
      <c r="D458" s="90"/>
      <c r="E458" s="90"/>
      <c r="F458" s="90"/>
      <c r="G458" s="90"/>
      <c r="H458" s="90"/>
      <c r="I458" s="90"/>
      <c r="J458" s="90"/>
      <c r="K458" s="90"/>
      <c r="L458" s="90"/>
      <c r="M458" s="90"/>
      <c r="N458" s="90"/>
      <c r="O458" s="90"/>
      <c r="P458" s="90"/>
      <c r="Q458" s="90"/>
      <c r="R458" s="90"/>
      <c r="S458" s="90"/>
      <c r="T458" s="90"/>
      <c r="U458" s="90"/>
      <c r="BA458" s="36" t="s">
        <v>71</v>
      </c>
      <c r="BB458" s="36" t="s">
        <v>1941</v>
      </c>
      <c r="BC458" s="36" t="s">
        <v>1942</v>
      </c>
    </row>
    <row r="459" spans="2:55" ht="13.95" customHeight="1">
      <c r="BA459" t="str">
        <f>'Analysis report'!A822</f>
        <v>India</v>
      </c>
      <c r="BB459" s="54">
        <f>'Analysis report'!C822</f>
        <v>35.857142857142854</v>
      </c>
      <c r="BC459" s="54">
        <f>'Analysis report'!D822</f>
        <v>6.333333333333333</v>
      </c>
    </row>
    <row r="460" spans="2:55" ht="13.95" customHeight="1">
      <c r="B460" s="88" t="str">
        <f>'Analysis report'!A650</f>
        <v>Q1. Average cost per sqm by country (bar chart to the right)</v>
      </c>
      <c r="C460" s="88"/>
      <c r="D460" s="88"/>
      <c r="E460" s="88"/>
      <c r="F460" s="88"/>
      <c r="G460" s="88"/>
      <c r="I460" s="88" t="str">
        <f>'Analysis report'!A658</f>
        <v>Q2. Which project type has the highest and lowest cost per sqm globally?</v>
      </c>
      <c r="J460" s="88"/>
      <c r="K460" s="88"/>
      <c r="L460" s="88"/>
      <c r="M460" s="88"/>
      <c r="N460" s="88"/>
      <c r="P460" s="88" t="str">
        <f>'Analysis report'!A672</f>
        <v>Q3. Has cost per sqm increased year-over-year? Trend by country</v>
      </c>
      <c r="Q460" s="88"/>
      <c r="R460" s="88"/>
      <c r="S460" s="88"/>
      <c r="T460" s="88"/>
      <c r="U460" s="88"/>
      <c r="BA460" t="str">
        <f>'Analysis report'!A823</f>
        <v>Australia</v>
      </c>
      <c r="BB460" s="54">
        <f>'Analysis report'!C823</f>
        <v>36.846153846153847</v>
      </c>
      <c r="BC460" s="54">
        <f>'Analysis report'!D823</f>
        <v>6.6923076923076925</v>
      </c>
    </row>
    <row r="461" spans="2:55" ht="13.95" customHeight="1">
      <c r="B461" s="88"/>
      <c r="C461" s="88"/>
      <c r="D461" s="88"/>
      <c r="E461" s="88"/>
      <c r="F461" s="88"/>
      <c r="G461" s="88"/>
      <c r="I461" s="88"/>
      <c r="J461" s="88"/>
      <c r="K461" s="88"/>
      <c r="L461" s="88"/>
      <c r="M461" s="88"/>
      <c r="N461" s="88"/>
      <c r="P461" s="88"/>
      <c r="Q461" s="88"/>
      <c r="R461" s="88"/>
      <c r="S461" s="88"/>
      <c r="T461" s="88"/>
      <c r="U461" s="88"/>
      <c r="BA461" t="str">
        <f>'Analysis report'!A824</f>
        <v>New Zealand</v>
      </c>
      <c r="BB461" s="54">
        <f>'Analysis report'!C824</f>
        <v>38.3125</v>
      </c>
      <c r="BC461" s="54">
        <f>'Analysis report'!D824</f>
        <v>4.625</v>
      </c>
    </row>
    <row r="462" spans="2:55" ht="13.95" customHeight="1">
      <c r="B462" s="89" t="str">
        <f>'Analysis report'!A656</f>
        <v>ANSWER: Australia is the most expensive market at $3,677/sqm, India the cheapest at $670/sqm — a 448.5% premium. Global average: $2,430/sqm.</v>
      </c>
      <c r="C462" s="90"/>
      <c r="D462" s="90"/>
      <c r="E462" s="90"/>
      <c r="F462" s="90"/>
      <c r="G462" s="90"/>
      <c r="I462" s="89" t="str">
        <f>'Analysis report'!A670</f>
        <v>ANSWER: Highest cost per sqm globally is Hotel at $3,859/sqm; lowest is Data Centre at $1,732/sqm — a spread of $2,127/sqm (2.2x).</v>
      </c>
      <c r="J462" s="90"/>
      <c r="K462" s="90"/>
      <c r="L462" s="90"/>
      <c r="M462" s="90"/>
      <c r="N462" s="90"/>
      <c r="P462" s="89" t="str">
        <f>'Analysis report'!A679</f>
        <v>ANSWER: Global average cost per sqm moved from $2,416 in 2022 to $2,169 in 2025, -10.2% over the period. By country: Australia 7.9%, India 81.6%, New Zealand -9.4%. Costs are flat or falling on this sample, but yearly samples are small (see column F).</v>
      </c>
      <c r="Q462" s="90"/>
      <c r="R462" s="90"/>
      <c r="S462" s="90"/>
      <c r="T462" s="90"/>
      <c r="U462" s="90"/>
    </row>
    <row r="463" spans="2:55" ht="13.95" customHeight="1">
      <c r="B463" s="90"/>
      <c r="C463" s="90"/>
      <c r="D463" s="90"/>
      <c r="E463" s="90"/>
      <c r="F463" s="90"/>
      <c r="G463" s="90"/>
      <c r="I463" s="90"/>
      <c r="J463" s="90"/>
      <c r="K463" s="90"/>
      <c r="L463" s="90"/>
      <c r="M463" s="90"/>
      <c r="N463" s="90"/>
      <c r="P463" s="90"/>
      <c r="Q463" s="90"/>
      <c r="R463" s="90"/>
      <c r="S463" s="90"/>
      <c r="T463" s="90"/>
      <c r="U463" s="90"/>
      <c r="BA463" s="86" t="s">
        <v>1943</v>
      </c>
    </row>
    <row r="464" spans="2:55" ht="13.95" customHeight="1">
      <c r="B464" s="90"/>
      <c r="C464" s="90"/>
      <c r="D464" s="90"/>
      <c r="E464" s="90"/>
      <c r="F464" s="90"/>
      <c r="G464" s="90"/>
      <c r="I464" s="90"/>
      <c r="J464" s="90"/>
      <c r="K464" s="90"/>
      <c r="L464" s="90"/>
      <c r="M464" s="90"/>
      <c r="N464" s="90"/>
      <c r="P464" s="90"/>
      <c r="Q464" s="90"/>
      <c r="R464" s="90"/>
      <c r="S464" s="90"/>
      <c r="T464" s="90"/>
      <c r="U464" s="90"/>
      <c r="BA464" s="36" t="s">
        <v>220</v>
      </c>
      <c r="BB464" s="36" t="s">
        <v>1944</v>
      </c>
    </row>
    <row r="465" spans="2:54" ht="13.95" customHeight="1">
      <c r="B465" s="90"/>
      <c r="C465" s="90"/>
      <c r="D465" s="90"/>
      <c r="E465" s="90"/>
      <c r="F465" s="90"/>
      <c r="G465" s="90"/>
      <c r="I465" s="90"/>
      <c r="J465" s="90"/>
      <c r="K465" s="90"/>
      <c r="L465" s="90"/>
      <c r="M465" s="90"/>
      <c r="N465" s="90"/>
      <c r="P465" s="90"/>
      <c r="Q465" s="90"/>
      <c r="R465" s="90"/>
      <c r="S465" s="90"/>
      <c r="T465" s="90"/>
      <c r="U465" s="90"/>
      <c r="BA465" t="str">
        <f>'Analysis report'!A784</f>
        <v>Cement (OPC 53)</v>
      </c>
      <c r="BB465" s="54">
        <f>'Analysis report'!F784</f>
        <v>13.107249902248753</v>
      </c>
    </row>
    <row r="466" spans="2:54" ht="13.95" customHeight="1">
      <c r="BA466" t="str">
        <f>'Analysis report'!A785</f>
        <v>TMT Steel (Fe500)</v>
      </c>
      <c r="BB466" s="54">
        <f>'Analysis report'!F785</f>
        <v>15.456929406148772</v>
      </c>
    </row>
    <row r="467" spans="2:54" ht="13.95" customHeight="1">
      <c r="BA467" t="str">
        <f>'Analysis report'!A786</f>
        <v>Structural Steel</v>
      </c>
      <c r="BB467" s="54">
        <f>'Analysis report'!F786</f>
        <v>20.129580224137811</v>
      </c>
    </row>
    <row r="468" spans="2:54" ht="13.95" customHeight="1">
      <c r="BA468" t="str">
        <f>'Analysis report'!A787</f>
        <v>Aluminium Facade</v>
      </c>
      <c r="BB468" s="54">
        <f>'Analysis report'!F787</f>
        <v>1.4142135623730951</v>
      </c>
    </row>
    <row r="469" spans="2:54" ht="13.95" customHeight="1">
      <c r="BA469" t="str">
        <f>'Analysis report'!A788</f>
        <v>Glass (DGU)</v>
      </c>
      <c r="BB469" s="54">
        <f>'Analysis report'!F788</f>
        <v>25.45584412271571</v>
      </c>
    </row>
    <row r="470" spans="2:54" ht="13.95" customHeight="1">
      <c r="BA470" t="str">
        <f>'Analysis report'!A789</f>
        <v>RMC M30</v>
      </c>
      <c r="BB470" s="54">
        <f>'Analysis report'!F789</f>
        <v>28.059460674313279</v>
      </c>
    </row>
    <row r="471" spans="2:54" ht="13.95" customHeight="1">
      <c r="BA471" t="str">
        <f>'Analysis report'!A790</f>
        <v>Aggregate (20mm)</v>
      </c>
      <c r="BB471" s="54">
        <f>'Analysis report'!F790</f>
        <v>15.187714333192687</v>
      </c>
    </row>
    <row r="472" spans="2:54" ht="13.95" customHeight="1">
      <c r="BA472" t="str">
        <f>'Analysis report'!A791</f>
        <v>Sand (River)</v>
      </c>
      <c r="BB472" s="54" t="str">
        <f>'Analysis report'!F791</f>
        <v>-</v>
      </c>
    </row>
    <row r="473" spans="2:54" ht="13.95" customHeight="1">
      <c r="BA473" t="str">
        <f>'Analysis report'!A792</f>
        <v>Bricks (AAC)</v>
      </c>
      <c r="BB473" s="54">
        <f>'Analysis report'!F792</f>
        <v>7</v>
      </c>
    </row>
    <row r="474" spans="2:54" ht="13.95" customHeight="1">
      <c r="BA474" t="str">
        <f>'Analysis report'!A793</f>
        <v>Tiles (Vitrified)</v>
      </c>
      <c r="BB474" s="54">
        <f>'Analysis report'!F793</f>
        <v>39.597979746446661</v>
      </c>
    </row>
    <row r="475" spans="2:54" ht="13.95" customHeight="1">
      <c r="BA475" t="str">
        <f>'Analysis report'!A794</f>
        <v>Plywood (Marine)</v>
      </c>
      <c r="BB475" s="54">
        <f>'Analysis report'!F794</f>
        <v>18.272018680667625</v>
      </c>
    </row>
    <row r="476" spans="2:54" ht="13.95" customHeight="1">
      <c r="BA476" t="str">
        <f>'Analysis report'!A795</f>
        <v>Waterproofing Membrane</v>
      </c>
      <c r="BB476" s="54">
        <f>'Analysis report'!F795</f>
        <v>12.342339054382418</v>
      </c>
    </row>
    <row r="477" spans="2:54" ht="13.95" customHeight="1">
      <c r="BA477" t="str">
        <f>'Analysis report'!A796</f>
        <v>PVC Conduits</v>
      </c>
      <c r="BB477" s="54">
        <f>'Analysis report'!F796</f>
        <v>17.953644012660313</v>
      </c>
    </row>
    <row r="478" spans="2:54" ht="13.95" customHeight="1">
      <c r="BA478" t="str">
        <f>'Analysis report'!A797</f>
        <v>MS Pipes</v>
      </c>
      <c r="BB478" s="54">
        <f>'Analysis report'!F797</f>
        <v>21.213203435596427</v>
      </c>
    </row>
    <row r="479" spans="2:54" ht="13.95" customHeight="1">
      <c r="BA479" t="str">
        <f>'Analysis report'!A798</f>
        <v>Copper Wiring</v>
      </c>
      <c r="BB479" s="54" t="str">
        <f>'Analysis report'!F798</f>
        <v>-</v>
      </c>
    </row>
    <row r="480" spans="2:54" ht="13.95" customHeight="1"/>
    <row r="481" spans="2:55" ht="13.95" customHeight="1">
      <c r="BA481" s="86" t="s">
        <v>1945</v>
      </c>
    </row>
    <row r="482" spans="2:55" ht="13.95" customHeight="1">
      <c r="B482" s="88" t="str">
        <f>'Analysis report'!A681</f>
        <v>Q4. Benchmark table — Project Type × Country, average cost per sqm (USD)</v>
      </c>
      <c r="C482" s="88"/>
      <c r="D482" s="88"/>
      <c r="E482" s="88"/>
      <c r="F482" s="88"/>
      <c r="G482" s="88"/>
      <c r="I482" s="88" t="str">
        <f>'Analysis report'!A696</f>
        <v>Q5. Outliers — projects where cost/sqm is more than 1.5× the average for that type in that country</v>
      </c>
      <c r="J482" s="88"/>
      <c r="K482" s="88"/>
      <c r="L482" s="88"/>
      <c r="M482" s="88"/>
      <c r="N482" s="88"/>
      <c r="P482" s="88" t="str">
        <f>'Analysis report'!A707</f>
        <v>Q6. Budget estimate for a 50,000 sqm Data Centre in Mumbai</v>
      </c>
      <c r="Q482" s="88"/>
      <c r="R482" s="88"/>
      <c r="S482" s="88"/>
      <c r="T482" s="88"/>
      <c r="U482" s="88"/>
      <c r="BA482" s="36" t="s">
        <v>1524</v>
      </c>
      <c r="BB482" s="36" t="s">
        <v>1525</v>
      </c>
    </row>
    <row r="483" spans="2:55" ht="13.95" customHeight="1">
      <c r="B483" s="88"/>
      <c r="C483" s="88"/>
      <c r="D483" s="88"/>
      <c r="E483" s="88"/>
      <c r="F483" s="88"/>
      <c r="G483" s="88"/>
      <c r="I483" s="88"/>
      <c r="J483" s="88"/>
      <c r="K483" s="88"/>
      <c r="L483" s="88"/>
      <c r="M483" s="88"/>
      <c r="N483" s="88"/>
      <c r="P483" s="88"/>
      <c r="Q483" s="88"/>
      <c r="R483" s="88"/>
      <c r="S483" s="88"/>
      <c r="T483" s="88"/>
      <c r="U483" s="88"/>
      <c r="BA483" t="s">
        <v>1946</v>
      </c>
      <c r="BB483" s="48">
        <f>'Analysis report'!B848</f>
        <v>41713158</v>
      </c>
    </row>
    <row r="484" spans="2:55" ht="13.95" customHeight="1">
      <c r="B484" s="89" t="str">
        <f>'Analysis report'!A694</f>
        <v>ANSWER: The grid above is the benchmark table (blank = no project of that type in that country). The most expensive combination is $4,790/sqm and the cheapest is $440/sqm. Use the relevant cell as the rate base when pricing a new pursuit, then adjust for year (Q3) and specification.</v>
      </c>
      <c r="C484" s="90"/>
      <c r="D484" s="90"/>
      <c r="E484" s="90"/>
      <c r="F484" s="90"/>
      <c r="G484" s="90"/>
      <c r="I484" s="89" t="str">
        <f>'Analysis report'!A705</f>
        <v>ANSWER: No project exceeds 1.5x the average cost/sqm for its type and country — cost performance is consistent across the benchmark set. The highest ratio recorded is 1.39x.</v>
      </c>
      <c r="J484" s="90"/>
      <c r="K484" s="90"/>
      <c r="L484" s="90"/>
      <c r="M484" s="90"/>
      <c r="N484" s="90"/>
      <c r="P484" s="89" t="str">
        <f>'Analysis report'!A712</f>
        <v>ANSWER: Indian Data Centre benchmarks average $614/sqm across 5 project(s), so a 50,000 sqm data centre in Mumbai should be budgeted at roughly $3,07,20,000, with a range of $2,03,50,000 (low) to $3,99,00,000 (high). Add escalation — Indian cost/sqm has moved 81.6% between 2022 and 2025 — plus site-specific loadings for power, cooling and redundancy.</v>
      </c>
      <c r="Q484" s="90"/>
      <c r="R484" s="90"/>
      <c r="S484" s="90"/>
      <c r="T484" s="90"/>
      <c r="U484" s="90"/>
      <c r="BA484" t="s">
        <v>1947</v>
      </c>
      <c r="BB484" s="48">
        <f>'Analysis report'!D848</f>
        <v>29856300</v>
      </c>
    </row>
    <row r="485" spans="2:55" ht="13.95" customHeight="1">
      <c r="B485" s="90"/>
      <c r="C485" s="90"/>
      <c r="D485" s="90"/>
      <c r="E485" s="90"/>
      <c r="F485" s="90"/>
      <c r="G485" s="90"/>
      <c r="I485" s="90"/>
      <c r="J485" s="90"/>
      <c r="K485" s="90"/>
      <c r="L485" s="90"/>
      <c r="M485" s="90"/>
      <c r="N485" s="90"/>
      <c r="P485" s="90"/>
      <c r="Q485" s="90"/>
      <c r="R485" s="90"/>
      <c r="S485" s="90"/>
      <c r="T485" s="90"/>
      <c r="U485" s="90"/>
      <c r="BA485" t="s">
        <v>1948</v>
      </c>
      <c r="BB485" s="48">
        <f>'Analysis report'!F848</f>
        <v>11856858</v>
      </c>
    </row>
    <row r="486" spans="2:55" ht="13.95" customHeight="1">
      <c r="B486" s="90"/>
      <c r="C486" s="90"/>
      <c r="D486" s="90"/>
      <c r="E486" s="90"/>
      <c r="F486" s="90"/>
      <c r="G486" s="90"/>
      <c r="I486" s="90"/>
      <c r="J486" s="90"/>
      <c r="K486" s="90"/>
      <c r="L486" s="90"/>
      <c r="M486" s="90"/>
      <c r="N486" s="90"/>
      <c r="P486" s="90"/>
      <c r="Q486" s="90"/>
      <c r="R486" s="90"/>
      <c r="S486" s="90"/>
      <c r="T486" s="90"/>
      <c r="U486" s="90"/>
    </row>
    <row r="487" spans="2:55" ht="13.95" customHeight="1">
      <c r="B487" s="90"/>
      <c r="C487" s="90"/>
      <c r="D487" s="90"/>
      <c r="E487" s="90"/>
      <c r="F487" s="90"/>
      <c r="G487" s="90"/>
      <c r="I487" s="90"/>
      <c r="J487" s="90"/>
      <c r="K487" s="90"/>
      <c r="L487" s="90"/>
      <c r="M487" s="90"/>
      <c r="N487" s="90"/>
      <c r="P487" s="90"/>
      <c r="Q487" s="90"/>
      <c r="R487" s="90"/>
      <c r="S487" s="90"/>
      <c r="T487" s="90"/>
      <c r="U487" s="90"/>
      <c r="BA487" s="86" t="s">
        <v>1949</v>
      </c>
    </row>
    <row r="488" spans="2:55" ht="13.95" customHeight="1">
      <c r="BA488" s="36" t="s">
        <v>512</v>
      </c>
      <c r="BB488" s="36" t="s">
        <v>1700</v>
      </c>
      <c r="BC488" s="36" t="s">
        <v>1950</v>
      </c>
    </row>
    <row r="489" spans="2:55" ht="13.95" customHeight="1">
      <c r="BA489" t="str">
        <f>'Analysis report'!A853</f>
        <v>GPT Group</v>
      </c>
      <c r="BB489" s="48">
        <f>'Analysis report'!E853</f>
        <v>725333</v>
      </c>
      <c r="BC489" s="48">
        <f>'Analysis report'!F853</f>
        <v>3341941</v>
      </c>
    </row>
    <row r="490" spans="2:55" ht="13.95" customHeight="1">
      <c r="BA490" t="str">
        <f>'Analysis report'!A854</f>
        <v>Ascendas REIT</v>
      </c>
      <c r="BB490" s="48">
        <f>'Analysis report'!E854</f>
        <v>1145957</v>
      </c>
      <c r="BC490" s="48">
        <f>'Analysis report'!F854</f>
        <v>4622054</v>
      </c>
    </row>
    <row r="491" spans="2:55" ht="13.95" customHeight="1">
      <c r="BA491" t="str">
        <f>'Analysis report'!A855</f>
        <v>Goodman Group</v>
      </c>
      <c r="BB491" s="48">
        <f>'Analysis report'!E855</f>
        <v>850225</v>
      </c>
      <c r="BC491" s="48">
        <f>'Analysis report'!F855</f>
        <v>2880469</v>
      </c>
    </row>
    <row r="492" spans="2:55" ht="13.95" customHeight="1">
      <c r="BA492" t="str">
        <f>'Analysis report'!A856</f>
        <v>Tata Realty</v>
      </c>
      <c r="BB492" s="48">
        <f>'Analysis report'!E856</f>
        <v>2912761</v>
      </c>
      <c r="BC492" s="48">
        <f>'Analysis report'!F856</f>
        <v>4145611</v>
      </c>
    </row>
    <row r="493" spans="2:55" ht="13.95" customHeight="1">
      <c r="BA493" t="str">
        <f>'Analysis report'!A857</f>
        <v>Brookfield</v>
      </c>
      <c r="BB493" s="48">
        <f>'Analysis report'!E857</f>
        <v>4135698</v>
      </c>
      <c r="BC493" s="48">
        <f>'Analysis report'!F857</f>
        <v>4423250</v>
      </c>
    </row>
    <row r="494" spans="2:55" ht="13.95" customHeight="1">
      <c r="BA494" t="str">
        <f>'Analysis report'!A858</f>
        <v>Dexus</v>
      </c>
      <c r="BB494" s="48">
        <f>'Analysis report'!E858</f>
        <v>189837</v>
      </c>
      <c r="BC494" s="48">
        <f>'Analysis report'!F858</f>
        <v>2364281</v>
      </c>
    </row>
    <row r="495" spans="2:55" ht="13.95" customHeight="1">
      <c r="BA495" t="str">
        <f>'Analysis report'!A859</f>
        <v>Stockland</v>
      </c>
      <c r="BB495" s="48">
        <f>'Analysis report'!E859</f>
        <v>0</v>
      </c>
      <c r="BC495" s="48">
        <f>'Analysis report'!F859</f>
        <v>1861221</v>
      </c>
    </row>
    <row r="496" spans="2:55" ht="13.95" customHeight="1">
      <c r="BA496" t="str">
        <f>'Analysis report'!A860</f>
        <v>Embassy Group</v>
      </c>
      <c r="BB496" s="48">
        <f>'Analysis report'!E860</f>
        <v>606457</v>
      </c>
      <c r="BC496" s="48">
        <f>'Analysis report'!F860</f>
        <v>0</v>
      </c>
    </row>
    <row r="497" spans="2:55" ht="13.95" customHeight="1">
      <c r="BA497" t="str">
        <f>'Analysis report'!A861</f>
        <v>Mirvac</v>
      </c>
      <c r="BB497" s="48">
        <f>'Analysis report'!E861</f>
        <v>603256</v>
      </c>
      <c r="BC497" s="48">
        <f>'Analysis report'!F861</f>
        <v>2280472</v>
      </c>
    </row>
    <row r="498" spans="2:55" ht="13.95" customHeight="1">
      <c r="BA498" t="str">
        <f>'Analysis report'!A862</f>
        <v>Lendlease</v>
      </c>
      <c r="BB498" s="48">
        <f>'Analysis report'!E862</f>
        <v>687334</v>
      </c>
      <c r="BC498" s="48">
        <f>'Analysis report'!F862</f>
        <v>1180273</v>
      </c>
    </row>
    <row r="499" spans="2:55" ht="13.95" customHeight="1"/>
    <row r="500" spans="2:55" ht="13.95" customHeight="1">
      <c r="BA500" s="86" t="s">
        <v>1951</v>
      </c>
    </row>
    <row r="501" spans="2:55" ht="13.95" customHeight="1">
      <c r="BA501" s="36" t="s">
        <v>1952</v>
      </c>
      <c r="BB501" s="36" t="s">
        <v>1700</v>
      </c>
    </row>
    <row r="502" spans="2:55" ht="13.95" customHeight="1">
      <c r="BA502" t="str">
        <f>'Analysis report'!A869</f>
        <v>0–30 days</v>
      </c>
      <c r="BB502" s="48">
        <f>'Analysis report'!C869</f>
        <v>998469</v>
      </c>
    </row>
    <row r="503" spans="2:55" ht="13.95" customHeight="1">
      <c r="BA503" t="str">
        <f>'Analysis report'!A870</f>
        <v>31–60 days</v>
      </c>
      <c r="BB503" s="48">
        <f>'Analysis report'!C870</f>
        <v>3071180</v>
      </c>
    </row>
    <row r="504" spans="2:55" ht="13.95" customHeight="1">
      <c r="BA504" t="str">
        <f>'Analysis report'!A871</f>
        <v>61–90 days</v>
      </c>
      <c r="BB504" s="48">
        <f>'Analysis report'!C871</f>
        <v>0</v>
      </c>
    </row>
    <row r="505" spans="2:55" ht="22.05" customHeight="1">
      <c r="B505" s="93" t="str">
        <f>'Analysis report'!A714</f>
        <v>PROBLEM 12 — Earned Value Management (EVM)    |    Source sheet: P12-EVM (36 monthly periods, BAC $25m)</v>
      </c>
      <c r="C505" s="90"/>
      <c r="D505" s="90"/>
      <c r="E505" s="90"/>
      <c r="F505" s="90"/>
      <c r="G505" s="90"/>
      <c r="H505" s="90"/>
      <c r="I505" s="90"/>
      <c r="J505" s="90"/>
      <c r="K505" s="90"/>
      <c r="L505" s="90"/>
      <c r="M505" s="90"/>
      <c r="N505" s="90"/>
      <c r="O505" s="90"/>
      <c r="P505" s="90"/>
      <c r="Q505" s="90"/>
      <c r="R505" s="90"/>
      <c r="S505" s="90"/>
      <c r="T505" s="90"/>
      <c r="U505" s="90"/>
      <c r="BA505" t="str">
        <f>'Analysis report'!A872</f>
        <v>90+ days</v>
      </c>
      <c r="BB505" s="48">
        <f>'Analysis report'!C872</f>
        <v>6831506</v>
      </c>
    </row>
    <row r="506" spans="2:55" ht="13.95" customHeight="1"/>
    <row r="507" spans="2:55" ht="13.95" customHeight="1">
      <c r="B507" s="88" t="str">
        <f>'Analysis report'!A715</f>
        <v>Q1. In which month does the project first show a negative Schedule Variance (SV)?</v>
      </c>
      <c r="C507" s="88"/>
      <c r="D507" s="88"/>
      <c r="E507" s="88"/>
      <c r="F507" s="88"/>
      <c r="G507" s="88"/>
      <c r="I507" s="88" t="str">
        <f>'Analysis report'!A720</f>
        <v>Q2. What is the CPI trend? Is the project getting more or less cost-efficient over time?</v>
      </c>
      <c r="J507" s="88"/>
      <c r="K507" s="88"/>
      <c r="L507" s="88"/>
      <c r="M507" s="88"/>
      <c r="N507" s="88"/>
      <c r="P507" s="88" t="str">
        <f>'Analysis report'!A725</f>
        <v>Q3. Based on EAC at Month 36, what is the projected cost overrun?</v>
      </c>
      <c r="Q507" s="88"/>
      <c r="R507" s="88"/>
      <c r="S507" s="88"/>
      <c r="T507" s="88"/>
      <c r="U507" s="88"/>
      <c r="BA507" s="86" t="s">
        <v>1953</v>
      </c>
    </row>
    <row r="508" spans="2:55" ht="13.95" customHeight="1">
      <c r="B508" s="88"/>
      <c r="C508" s="88"/>
      <c r="D508" s="88"/>
      <c r="E508" s="88"/>
      <c r="F508" s="88"/>
      <c r="G508" s="88"/>
      <c r="I508" s="88"/>
      <c r="J508" s="88"/>
      <c r="K508" s="88"/>
      <c r="L508" s="88"/>
      <c r="M508" s="88"/>
      <c r="N508" s="88"/>
      <c r="P508" s="88"/>
      <c r="Q508" s="88"/>
      <c r="R508" s="88"/>
      <c r="S508" s="88"/>
      <c r="T508" s="88"/>
      <c r="U508" s="88"/>
      <c r="BA508" s="36" t="s">
        <v>512</v>
      </c>
      <c r="BB508" s="36" t="s">
        <v>1954</v>
      </c>
      <c r="BC508" s="36" t="s">
        <v>1955</v>
      </c>
    </row>
    <row r="509" spans="2:55" ht="13.95" customHeight="1">
      <c r="B509" s="89" t="str">
        <f>'Analysis report'!A718</f>
        <v>ANSWER: Schedule Variance first turns negative in Month 1 (SV = -$1,30,878, SPI 0.82). In total 31 of 36 months run a negative SV, and the deepest point is Month 32 at -$49,41,717.</v>
      </c>
      <c r="C509" s="90"/>
      <c r="D509" s="90"/>
      <c r="E509" s="90"/>
      <c r="F509" s="90"/>
      <c r="G509" s="90"/>
      <c r="I509" s="89" t="str">
        <f>'Analysis report'!A723</f>
        <v>ANSWER: CPI moves from 1.042 in Month 1 to 0.900 in Month 36, a trend of -0.0004 per month — the project is getting LESS cost-efficient over time. Average CPI is 0.954 and 25 of 36 months sit below 1.00, so cost performance is structurally over budget.</v>
      </c>
      <c r="J509" s="90"/>
      <c r="K509" s="90"/>
      <c r="L509" s="90"/>
      <c r="M509" s="90"/>
      <c r="N509" s="90"/>
      <c r="P509" s="89" t="str">
        <f>'Analysis report'!A728</f>
        <v>ANSWER: EAC at Month 36 is $2,77,85,221 against a BAC of $2,50,00,000 — a projected OVERRUN of $27,85,221 (11.1%). Variance at Completion is -$27,85,221.</v>
      </c>
      <c r="Q509" s="90"/>
      <c r="R509" s="90"/>
      <c r="S509" s="90"/>
      <c r="T509" s="90"/>
      <c r="U509" s="90"/>
      <c r="BA509" t="str">
        <f>'Analysis report'!A878</f>
        <v>GPT Group</v>
      </c>
      <c r="BB509" s="60">
        <f>'Analysis report'!C878</f>
        <v>53.666666666666664</v>
      </c>
      <c r="BC509" s="60">
        <f>'Analysis report'!D878</f>
        <v>67</v>
      </c>
    </row>
    <row r="510" spans="2:55" ht="13.95" customHeight="1">
      <c r="B510" s="90"/>
      <c r="C510" s="90"/>
      <c r="D510" s="90"/>
      <c r="E510" s="90"/>
      <c r="F510" s="90"/>
      <c r="G510" s="90"/>
      <c r="I510" s="90"/>
      <c r="J510" s="90"/>
      <c r="K510" s="90"/>
      <c r="L510" s="90"/>
      <c r="M510" s="90"/>
      <c r="N510" s="90"/>
      <c r="P510" s="90"/>
      <c r="Q510" s="90"/>
      <c r="R510" s="90"/>
      <c r="S510" s="90"/>
      <c r="T510" s="90"/>
      <c r="U510" s="90"/>
      <c r="BA510" t="str">
        <f>'Analysis report'!A879</f>
        <v>Ascendas REIT</v>
      </c>
      <c r="BB510" s="60">
        <f>'Analysis report'!C879</f>
        <v>71</v>
      </c>
      <c r="BC510" s="60">
        <f>'Analysis report'!D879</f>
        <v>88</v>
      </c>
    </row>
    <row r="511" spans="2:55" ht="13.95" customHeight="1">
      <c r="B511" s="90"/>
      <c r="C511" s="90"/>
      <c r="D511" s="90"/>
      <c r="E511" s="90"/>
      <c r="F511" s="90"/>
      <c r="G511" s="90"/>
      <c r="I511" s="90"/>
      <c r="J511" s="90"/>
      <c r="K511" s="90"/>
      <c r="L511" s="90"/>
      <c r="M511" s="90"/>
      <c r="N511" s="90"/>
      <c r="P511" s="90"/>
      <c r="Q511" s="90"/>
      <c r="R511" s="90"/>
      <c r="S511" s="90"/>
      <c r="T511" s="90"/>
      <c r="U511" s="90"/>
      <c r="BA511" t="str">
        <f>'Analysis report'!A880</f>
        <v>Goodman Group</v>
      </c>
      <c r="BB511" s="60">
        <f>'Analysis report'!C880</f>
        <v>57</v>
      </c>
      <c r="BC511" s="60">
        <f>'Analysis report'!D880</f>
        <v>76</v>
      </c>
    </row>
    <row r="512" spans="2:55" ht="13.95" customHeight="1">
      <c r="B512" s="90"/>
      <c r="C512" s="90"/>
      <c r="D512" s="90"/>
      <c r="E512" s="90"/>
      <c r="F512" s="90"/>
      <c r="G512" s="90"/>
      <c r="I512" s="90"/>
      <c r="J512" s="90"/>
      <c r="K512" s="90"/>
      <c r="L512" s="90"/>
      <c r="M512" s="90"/>
      <c r="N512" s="90"/>
      <c r="P512" s="90"/>
      <c r="Q512" s="90"/>
      <c r="R512" s="90"/>
      <c r="S512" s="90"/>
      <c r="T512" s="90"/>
      <c r="U512" s="90"/>
      <c r="BA512" t="str">
        <f>'Analysis report'!A881</f>
        <v>Tata Realty</v>
      </c>
      <c r="BB512" s="60">
        <f>'Analysis report'!C881</f>
        <v>53</v>
      </c>
      <c r="BC512" s="60">
        <f>'Analysis report'!D881</f>
        <v>69</v>
      </c>
    </row>
    <row r="513" spans="53:55" ht="13.95" customHeight="1">
      <c r="BA513" t="str">
        <f>'Analysis report'!A882</f>
        <v>Brookfield</v>
      </c>
      <c r="BB513" s="60">
        <f>'Analysis report'!C882</f>
        <v>64.428571428571431</v>
      </c>
      <c r="BC513" s="60">
        <f>'Analysis report'!D882</f>
        <v>89</v>
      </c>
    </row>
    <row r="514" spans="53:55" ht="13.95" customHeight="1">
      <c r="BA514" t="str">
        <f>'Analysis report'!A883</f>
        <v>Dexus</v>
      </c>
      <c r="BB514" s="60">
        <f>'Analysis report'!C883</f>
        <v>53</v>
      </c>
      <c r="BC514" s="60">
        <f>'Analysis report'!D883</f>
        <v>58</v>
      </c>
    </row>
    <row r="515" spans="53:55" ht="13.95" customHeight="1">
      <c r="BA515" t="str">
        <f>'Analysis report'!A884</f>
        <v>Stockland</v>
      </c>
      <c r="BB515" s="60">
        <f>'Analysis report'!C884</f>
        <v>38</v>
      </c>
      <c r="BC515" s="60">
        <f>'Analysis report'!D884</f>
        <v>47</v>
      </c>
    </row>
    <row r="516" spans="53:55" ht="13.95" customHeight="1">
      <c r="BA516" t="str">
        <f>'Analysis report'!A885</f>
        <v>Embassy Group</v>
      </c>
      <c r="BB516" s="60">
        <f>'Analysis report'!C885</f>
        <v>28</v>
      </c>
      <c r="BC516" s="60">
        <f>'Analysis report'!D885</f>
        <v>28</v>
      </c>
    </row>
    <row r="517" spans="53:55" ht="13.95" customHeight="1">
      <c r="BA517" t="str">
        <f>'Analysis report'!A886</f>
        <v>Mirvac</v>
      </c>
      <c r="BB517" s="60">
        <f>'Analysis report'!C886</f>
        <v>70</v>
      </c>
      <c r="BC517" s="60">
        <f>'Analysis report'!D886</f>
        <v>84</v>
      </c>
    </row>
    <row r="518" spans="53:55" ht="13.95" customHeight="1">
      <c r="BA518" t="str">
        <f>'Analysis report'!A887</f>
        <v>Lendlease</v>
      </c>
      <c r="BB518" s="60">
        <f>'Analysis report'!C887</f>
        <v>44</v>
      </c>
      <c r="BC518" s="60">
        <f>'Analysis report'!D887</f>
        <v>44</v>
      </c>
    </row>
    <row r="519" spans="53:55" ht="13.95" customHeight="1"/>
    <row r="520" spans="53:55" ht="13.95" customHeight="1">
      <c r="BA520" s="86" t="s">
        <v>1956</v>
      </c>
    </row>
    <row r="521" spans="53:55" ht="13.95" customHeight="1">
      <c r="BA521" s="36" t="s">
        <v>1698</v>
      </c>
      <c r="BB521" s="36" t="s">
        <v>1957</v>
      </c>
    </row>
    <row r="522" spans="53:55" ht="13.95" customHeight="1">
      <c r="BA522" t="str">
        <f>'Analysis report'!A892</f>
        <v>WT-DC-MUM-01</v>
      </c>
      <c r="BB522" s="39">
        <f>'Analysis report'!E892</f>
        <v>0.58447554547103464</v>
      </c>
    </row>
    <row r="523" spans="53:55" ht="13.95" customHeight="1">
      <c r="BA523" t="str">
        <f>'Analysis report'!A893</f>
        <v>WT-OFF-SYD-02</v>
      </c>
      <c r="BB523" s="39">
        <f>'Analysis report'!E893</f>
        <v>0.80679119734313376</v>
      </c>
    </row>
    <row r="524" spans="53:55" ht="13.95" customHeight="1">
      <c r="BA524" t="str">
        <f>'Analysis report'!A894</f>
        <v>WT-HOS-AKL-03</v>
      </c>
      <c r="BB524" s="39">
        <f>'Analysis report'!E894</f>
        <v>0.69397819742576694</v>
      </c>
    </row>
    <row r="525" spans="53:55" ht="13.95" customHeight="1">
      <c r="BA525" t="str">
        <f>'Analysis report'!A895</f>
        <v>WT-ITP-BLR-04</v>
      </c>
      <c r="BB525" s="39">
        <f>'Analysis report'!E895</f>
        <v>0.92458517539849328</v>
      </c>
    </row>
    <row r="526" spans="53:55" ht="13.95" customHeight="1">
      <c r="BA526" t="str">
        <f>'Analysis report'!A896</f>
        <v>WT-RES-MEL-05</v>
      </c>
      <c r="BB526" s="39">
        <f>'Analysis report'!E896</f>
        <v>0.71872266873675383</v>
      </c>
    </row>
    <row r="527" spans="53:55" ht="13.95" customHeight="1"/>
    <row r="528" spans="53:55" ht="13.95" customHeight="1">
      <c r="BA528" s="86" t="s">
        <v>1958</v>
      </c>
    </row>
    <row r="529" spans="2:54" ht="13.95" customHeight="1">
      <c r="B529" s="88" t="str">
        <f>'Analysis report'!A730</f>
        <v>Q4. PV, EV and AC — the classic S-curve (line chart to the right)</v>
      </c>
      <c r="C529" s="88"/>
      <c r="D529" s="88"/>
      <c r="E529" s="88"/>
      <c r="F529" s="88"/>
      <c r="G529" s="88"/>
      <c r="I529" s="88" t="str">
        <f>'Analysis report'!A770</f>
        <v>Q5. At what month does SPI drop below 0.90 (critical schedule delay)?</v>
      </c>
      <c r="J529" s="88"/>
      <c r="K529" s="88"/>
      <c r="L529" s="88"/>
      <c r="M529" s="88"/>
      <c r="N529" s="88"/>
      <c r="P529" s="88" t="str">
        <f>'Analysis report'!A775</f>
        <v>Q6. If management wants CPI ≥ 1.0 by Month 24, how much cost needs to be recovered?</v>
      </c>
      <c r="Q529" s="88"/>
      <c r="R529" s="88"/>
      <c r="S529" s="88"/>
      <c r="T529" s="88"/>
      <c r="U529" s="88"/>
      <c r="BA529" s="36" t="s">
        <v>512</v>
      </c>
      <c r="BB529" s="36" t="s">
        <v>1959</v>
      </c>
    </row>
    <row r="530" spans="2:54" ht="13.95" customHeight="1">
      <c r="B530" s="88"/>
      <c r="C530" s="88"/>
      <c r="D530" s="88"/>
      <c r="E530" s="88"/>
      <c r="F530" s="88"/>
      <c r="G530" s="88"/>
      <c r="I530" s="88"/>
      <c r="J530" s="88"/>
      <c r="K530" s="88"/>
      <c r="L530" s="88"/>
      <c r="M530" s="88"/>
      <c r="N530" s="88"/>
      <c r="P530" s="88"/>
      <c r="Q530" s="88"/>
      <c r="R530" s="88"/>
      <c r="S530" s="88"/>
      <c r="T530" s="88"/>
      <c r="U530" s="88"/>
      <c r="BA530" t="str">
        <f>'Analysis report'!A903</f>
        <v>GPT Group</v>
      </c>
      <c r="BB530" s="48">
        <f>'Analysis report'!D903</f>
        <v>54399.974999999991</v>
      </c>
    </row>
    <row r="531" spans="2:54" ht="13.95" customHeight="1">
      <c r="B531" s="89" t="str">
        <f>'Analysis report'!A768</f>
        <v>ANSWER: The S-curve to the right plots PV, EV and AC over 36 months. At Month 36: PV $2,38,98,889, EV $1,89,83,212, AC $2,10,98,110. EV sits -$49,15,677 against plan and AC is $21,14,898 above value earned — the classic signature of a project that is both behind schedule and over cost.</v>
      </c>
      <c r="C531" s="90"/>
      <c r="D531" s="90"/>
      <c r="E531" s="90"/>
      <c r="F531" s="90"/>
      <c r="G531" s="90"/>
      <c r="I531" s="89" t="str">
        <f>'Analysis report'!A773</f>
        <v>ANSWER: SPI first falls below 0.90 in Month 1, and is below 0.90 in 15 of the 36 months. The low point is 0.765 in Month 7, and the project closes Month 36 at SPI 0.794 — schedule recovery has not happened.</v>
      </c>
      <c r="J531" s="90"/>
      <c r="K531" s="90"/>
      <c r="L531" s="90"/>
      <c r="M531" s="90"/>
      <c r="N531" s="90"/>
      <c r="P531" s="89" t="str">
        <f>'Analysis report'!A779</f>
        <v>ANSWER: At Month 24, EV is $1,67,07,135 against AC of $1,97,86,940 (CPI 0.844). To reach CPI = 1.00 the actual cost would have to be no more than $1,67,07,135, so $30,79,805 (15.6% of spend to date) must be recovered — through value engineering, claim recovery or productivity gains — or the target must be reset.</v>
      </c>
      <c r="Q531" s="90"/>
      <c r="R531" s="90"/>
      <c r="S531" s="90"/>
      <c r="T531" s="90"/>
      <c r="U531" s="90"/>
      <c r="BA531" t="str">
        <f>'Analysis report'!A904</f>
        <v>Ascendas REIT</v>
      </c>
      <c r="BB531" s="48">
        <f>'Analysis report'!D904</f>
        <v>29900.297500000001</v>
      </c>
    </row>
    <row r="532" spans="2:54" ht="13.95" customHeight="1">
      <c r="B532" s="90"/>
      <c r="C532" s="90"/>
      <c r="D532" s="90"/>
      <c r="E532" s="90"/>
      <c r="F532" s="90"/>
      <c r="G532" s="90"/>
      <c r="I532" s="90"/>
      <c r="J532" s="90"/>
      <c r="K532" s="90"/>
      <c r="L532" s="90"/>
      <c r="M532" s="90"/>
      <c r="N532" s="90"/>
      <c r="P532" s="90"/>
      <c r="Q532" s="90"/>
      <c r="R532" s="90"/>
      <c r="S532" s="90"/>
      <c r="T532" s="90"/>
      <c r="U532" s="90"/>
      <c r="BA532" t="str">
        <f>'Analysis report'!A905</f>
        <v>Goodman Group</v>
      </c>
      <c r="BB532" s="48">
        <f>'Analysis report'!D905</f>
        <v>25506.75</v>
      </c>
    </row>
    <row r="533" spans="2:54" ht="13.95" customHeight="1">
      <c r="B533" s="90"/>
      <c r="C533" s="90"/>
      <c r="D533" s="90"/>
      <c r="E533" s="90"/>
      <c r="F533" s="90"/>
      <c r="G533" s="90"/>
      <c r="I533" s="90"/>
      <c r="J533" s="90"/>
      <c r="K533" s="90"/>
      <c r="L533" s="90"/>
      <c r="M533" s="90"/>
      <c r="N533" s="90"/>
      <c r="P533" s="90"/>
      <c r="Q533" s="90"/>
      <c r="R533" s="90"/>
      <c r="S533" s="90"/>
      <c r="T533" s="90"/>
      <c r="U533" s="90"/>
      <c r="BA533" t="str">
        <f>'Analysis report'!A906</f>
        <v>Tata Realty</v>
      </c>
      <c r="BB533" s="48">
        <f>'Analysis report'!D906</f>
        <v>270697.55249999999</v>
      </c>
    </row>
    <row r="534" spans="2:54" ht="13.95" customHeight="1">
      <c r="B534" s="90"/>
      <c r="C534" s="90"/>
      <c r="D534" s="90"/>
      <c r="E534" s="90"/>
      <c r="F534" s="90"/>
      <c r="G534" s="90"/>
      <c r="I534" s="90"/>
      <c r="J534" s="90"/>
      <c r="K534" s="90"/>
      <c r="L534" s="90"/>
      <c r="M534" s="90"/>
      <c r="N534" s="90"/>
      <c r="P534" s="90"/>
      <c r="Q534" s="90"/>
      <c r="R534" s="90"/>
      <c r="S534" s="90"/>
      <c r="T534" s="90"/>
      <c r="U534" s="90"/>
      <c r="BA534" t="str">
        <f>'Analysis report'!A907</f>
        <v>Brookfield</v>
      </c>
      <c r="BB534" s="48">
        <f>'Analysis report'!D907</f>
        <v>378457.24599999998</v>
      </c>
    </row>
    <row r="535" spans="2:54" ht="13.95" customHeight="1">
      <c r="BA535" t="str">
        <f>'Analysis report'!A908</f>
        <v>Dexus</v>
      </c>
      <c r="BB535" s="48">
        <f>'Analysis report'!D908</f>
        <v>13383.5085</v>
      </c>
    </row>
    <row r="536" spans="2:54" ht="13.95" customHeight="1">
      <c r="BA536" t="str">
        <f>'Analysis report'!A909</f>
        <v>Stockland</v>
      </c>
      <c r="BB536" s="48">
        <f>'Analysis report'!D909</f>
        <v>0</v>
      </c>
    </row>
    <row r="537" spans="2:54" ht="13.95" customHeight="1">
      <c r="BA537" t="str">
        <f>'Analysis report'!A910</f>
        <v>Embassy Group</v>
      </c>
      <c r="BB537" s="48">
        <f>'Analysis report'!D910</f>
        <v>0</v>
      </c>
    </row>
    <row r="538" spans="2:54" ht="13.95" customHeight="1">
      <c r="BA538" t="str">
        <f>'Analysis report'!A911</f>
        <v>Mirvac</v>
      </c>
      <c r="BB538" s="48">
        <f>'Analysis report'!D911</f>
        <v>7842.3280000000004</v>
      </c>
    </row>
    <row r="539" spans="2:54" ht="13.95" customHeight="1">
      <c r="BA539" t="str">
        <f>'Analysis report'!A912</f>
        <v>Lendlease</v>
      </c>
      <c r="BB539" s="48">
        <f>'Analysis report'!D912</f>
        <v>17527.017</v>
      </c>
    </row>
    <row r="540" spans="2:54" ht="13.95" customHeight="1"/>
    <row r="541" spans="2:54" ht="13.95" customHeight="1">
      <c r="BA541" s="86" t="s">
        <v>1960</v>
      </c>
    </row>
    <row r="542" spans="2:54" ht="13.95" customHeight="1">
      <c r="BA542" s="36" t="s">
        <v>1524</v>
      </c>
      <c r="BB542" s="36" t="s">
        <v>1525</v>
      </c>
    </row>
    <row r="543" spans="2:54" ht="13.95" customHeight="1">
      <c r="BA543" t="s">
        <v>1961</v>
      </c>
      <c r="BB543" s="48">
        <f>'Analysis report'!B927</f>
        <v>1425725823</v>
      </c>
    </row>
    <row r="544" spans="2:54" ht="13.95" customHeight="1">
      <c r="BA544" t="s">
        <v>1962</v>
      </c>
      <c r="BB544" s="48">
        <f>'Analysis report'!D927</f>
        <v>690772336</v>
      </c>
    </row>
    <row r="545" spans="2:55" ht="13.95" customHeight="1">
      <c r="BA545" t="s">
        <v>1963</v>
      </c>
      <c r="BB545" s="48">
        <f>'Analysis report'!D928</f>
        <v>734953487</v>
      </c>
    </row>
    <row r="546" spans="2:55" ht="13.95" customHeight="1"/>
    <row r="547" spans="2:55" ht="13.95" customHeight="1">
      <c r="BA547" s="86" t="s">
        <v>1964</v>
      </c>
    </row>
    <row r="548" spans="2:55" ht="13.95" customHeight="1">
      <c r="BA548" s="36" t="s">
        <v>1965</v>
      </c>
      <c r="BB548" s="36" t="s">
        <v>840</v>
      </c>
      <c r="BC548" s="36" t="s">
        <v>841</v>
      </c>
    </row>
    <row r="549" spans="2:55" ht="13.95" customHeight="1">
      <c r="BA549" t="str">
        <f>'Analysis report'!C934</f>
        <v>IT Park Sydney</v>
      </c>
      <c r="BB549" s="22">
        <f>'Analysis report'!E934</f>
        <v>0.78</v>
      </c>
      <c r="BC549" s="22">
        <f>'Analysis report'!F934</f>
        <v>0.86</v>
      </c>
    </row>
    <row r="550" spans="2:55" ht="13.95" customHeight="1">
      <c r="BA550" t="str">
        <f>'Analysis report'!C935</f>
        <v>Shopping Mall Canberra</v>
      </c>
      <c r="BB550" s="22">
        <f>'Analysis report'!E935</f>
        <v>0.88</v>
      </c>
      <c r="BC550" s="22">
        <f>'Analysis report'!F935</f>
        <v>0.83</v>
      </c>
    </row>
    <row r="551" spans="2:55" ht="13.95" customHeight="1">
      <c r="BA551" t="str">
        <f>'Analysis report'!C936</f>
        <v>Hospital Bangalore</v>
      </c>
      <c r="BB551" s="22">
        <f>'Analysis report'!E936</f>
        <v>0.78</v>
      </c>
      <c r="BC551" s="22">
        <f>'Analysis report'!F936</f>
        <v>0.89</v>
      </c>
    </row>
    <row r="552" spans="2:55" ht="22.05" customHeight="1">
      <c r="B552" s="93" t="str">
        <f>'Analysis report'!A781</f>
        <v>PROBLEM 13 — Procurement Lead Time Analysis    |    Source sheet: P13-LeadTime (50 purchase orders, 10 suppliers)</v>
      </c>
      <c r="C552" s="90"/>
      <c r="D552" s="90"/>
      <c r="E552" s="90"/>
      <c r="F552" s="90"/>
      <c r="G552" s="90"/>
      <c r="H552" s="90"/>
      <c r="I552" s="90"/>
      <c r="J552" s="90"/>
      <c r="K552" s="90"/>
      <c r="L552" s="90"/>
      <c r="M552" s="90"/>
      <c r="N552" s="90"/>
      <c r="O552" s="90"/>
      <c r="P552" s="90"/>
      <c r="Q552" s="90"/>
      <c r="R552" s="90"/>
      <c r="S552" s="90"/>
      <c r="T552" s="90"/>
      <c r="U552" s="90"/>
    </row>
    <row r="553" spans="2:55" ht="13.95" customHeight="1">
      <c r="BA553" s="86" t="s">
        <v>1966</v>
      </c>
    </row>
    <row r="554" spans="2:55" ht="13.95" customHeight="1">
      <c r="B554" s="88" t="str">
        <f>'Analysis report'!A782</f>
        <v>Q1. Average lead time (order date to actual delivery) by material</v>
      </c>
      <c r="C554" s="88"/>
      <c r="D554" s="88"/>
      <c r="E554" s="88"/>
      <c r="F554" s="88"/>
      <c r="G554" s="88"/>
      <c r="I554" s="88" t="str">
        <f>'Analysis report'!A801</f>
        <v>Q2. Which supplier has the worst on-time delivery rate?</v>
      </c>
      <c r="J554" s="88"/>
      <c r="K554" s="88"/>
      <c r="L554" s="88"/>
      <c r="M554" s="88"/>
      <c r="N554" s="88"/>
      <c r="P554" s="88" t="str">
        <f>'Analysis report'!A815</f>
        <v>Q3. How many POs were delivered late? What is the average delay?</v>
      </c>
      <c r="Q554" s="88"/>
      <c r="R554" s="88"/>
      <c r="S554" s="88"/>
      <c r="T554" s="88"/>
      <c r="U554" s="88"/>
      <c r="BA554" s="36" t="s">
        <v>71</v>
      </c>
      <c r="BB554" s="36" t="s">
        <v>1967</v>
      </c>
    </row>
    <row r="555" spans="2:55" ht="13.95" customHeight="1">
      <c r="B555" s="88"/>
      <c r="C555" s="88"/>
      <c r="D555" s="88"/>
      <c r="E555" s="88"/>
      <c r="F555" s="88"/>
      <c r="G555" s="88"/>
      <c r="I555" s="88"/>
      <c r="J555" s="88"/>
      <c r="K555" s="88"/>
      <c r="L555" s="88"/>
      <c r="M555" s="88"/>
      <c r="N555" s="88"/>
      <c r="P555" s="88"/>
      <c r="Q555" s="88"/>
      <c r="R555" s="88"/>
      <c r="S555" s="88"/>
      <c r="T555" s="88"/>
      <c r="U555" s="88"/>
      <c r="BA555" t="str">
        <f>'Analysis report'!A981</f>
        <v>India</v>
      </c>
      <c r="BB555" s="39">
        <f>'Analysis report'!C981</f>
        <v>0.41333333333333333</v>
      </c>
    </row>
    <row r="556" spans="2:55" ht="13.95" customHeight="1">
      <c r="B556" s="89" t="str">
        <f>'Analysis report'!A799</f>
        <v>ANSWER: Average lead time across all 50 POs is 36.9 days. The longest is Copper Wiring at 69.0 days and the shortest is Plywood (Marine) at 21.7 days — plan procurement call-offs accordingly.</v>
      </c>
      <c r="C556" s="90"/>
      <c r="D556" s="90"/>
      <c r="E556" s="90"/>
      <c r="F556" s="90"/>
      <c r="G556" s="90"/>
      <c r="I556" s="89" t="str">
        <f>'Analysis report'!A813</f>
        <v>ANSWER: Supplier-B has the worst on-time delivery rate at 0.0% (0 of 1 POs on time, average 12.0 days late). Best performer: Supplier-J at 42.9%.</v>
      </c>
      <c r="J556" s="90"/>
      <c r="K556" s="90"/>
      <c r="L556" s="90"/>
      <c r="M556" s="90"/>
      <c r="N556" s="90"/>
      <c r="P556" s="89" t="str">
        <f>'Analysis report'!A818</f>
        <v>ANSWER: 35 of 50 POs (70.0%) were delivered after the expected date. Late POs run 9.6 days late on average; across the whole book the average slippage is 5.9 days, with a worst case of 20 days.</v>
      </c>
      <c r="Q556" s="90"/>
      <c r="R556" s="90"/>
      <c r="S556" s="90"/>
      <c r="T556" s="90"/>
      <c r="U556" s="90"/>
      <c r="BA556" t="str">
        <f>'Analysis report'!A982</f>
        <v>Australia</v>
      </c>
      <c r="BB556" s="39">
        <f>'Analysis report'!C982</f>
        <v>0.627</v>
      </c>
    </row>
    <row r="557" spans="2:55" ht="13.95" customHeight="1">
      <c r="B557" s="90"/>
      <c r="C557" s="90"/>
      <c r="D557" s="90"/>
      <c r="E557" s="90"/>
      <c r="F557" s="90"/>
      <c r="G557" s="90"/>
      <c r="I557" s="90"/>
      <c r="J557" s="90"/>
      <c r="K557" s="90"/>
      <c r="L557" s="90"/>
      <c r="M557" s="90"/>
      <c r="N557" s="90"/>
      <c r="P557" s="90"/>
      <c r="Q557" s="90"/>
      <c r="R557" s="90"/>
      <c r="S557" s="90"/>
      <c r="T557" s="90"/>
      <c r="U557" s="90"/>
      <c r="BA557" t="str">
        <f>'Analysis report'!A983</f>
        <v>New Zealand</v>
      </c>
      <c r="BB557" s="39">
        <f>'Analysis report'!C983</f>
        <v>0.40333333333333338</v>
      </c>
    </row>
    <row r="558" spans="2:55" ht="13.95" customHeight="1">
      <c r="B558" s="90"/>
      <c r="C558" s="90"/>
      <c r="D558" s="90"/>
      <c r="E558" s="90"/>
      <c r="F558" s="90"/>
      <c r="G558" s="90"/>
      <c r="I558" s="90"/>
      <c r="J558" s="90"/>
      <c r="K558" s="90"/>
      <c r="L558" s="90"/>
      <c r="M558" s="90"/>
      <c r="N558" s="90"/>
      <c r="P558" s="90"/>
      <c r="Q558" s="90"/>
      <c r="R558" s="90"/>
      <c r="S558" s="90"/>
      <c r="T558" s="90"/>
      <c r="U558" s="90"/>
      <c r="BA558" t="str">
        <f>'Analysis report'!A984</f>
        <v>PORTFOLIO</v>
      </c>
      <c r="BB558" s="39">
        <f>'Analysis report'!C984</f>
        <v>0.49759999999999999</v>
      </c>
    </row>
    <row r="559" spans="2:55" ht="13.95" customHeight="1">
      <c r="B559" s="90"/>
      <c r="C559" s="90"/>
      <c r="D559" s="90"/>
      <c r="E559" s="90"/>
      <c r="F559" s="90"/>
      <c r="G559" s="90"/>
      <c r="I559" s="90"/>
      <c r="J559" s="90"/>
      <c r="K559" s="90"/>
      <c r="L559" s="90"/>
      <c r="M559" s="90"/>
      <c r="N559" s="90"/>
      <c r="P559" s="90"/>
      <c r="Q559" s="90"/>
      <c r="R559" s="90"/>
      <c r="S559" s="90"/>
      <c r="T559" s="90"/>
      <c r="U559" s="90"/>
    </row>
    <row r="560" spans="2:55" ht="13.95" customHeight="1">
      <c r="BA560" s="86" t="s">
        <v>1968</v>
      </c>
    </row>
    <row r="561" spans="2:54" ht="13.95" customHeight="1">
      <c r="BA561" s="36" t="s">
        <v>1969</v>
      </c>
      <c r="BB561" s="36" t="s">
        <v>1316</v>
      </c>
    </row>
    <row r="562" spans="2:54" ht="13.95" customHeight="1">
      <c r="BA562" t="str">
        <f>'Analysis report'!A989</f>
        <v>GREEN</v>
      </c>
      <c r="BB562" s="60">
        <f>'Analysis report'!C989</f>
        <v>4</v>
      </c>
    </row>
    <row r="563" spans="2:54" ht="13.95" customHeight="1">
      <c r="BA563" t="str">
        <f>'Analysis report'!A990</f>
        <v>RED</v>
      </c>
      <c r="BB563" s="60">
        <f>'Analysis report'!C990</f>
        <v>3</v>
      </c>
    </row>
    <row r="564" spans="2:54" ht="13.95" customHeight="1">
      <c r="BA564" t="str">
        <f>'Analysis report'!A991</f>
        <v>AMBER</v>
      </c>
      <c r="BB564" s="60">
        <f>'Analysis report'!C991</f>
        <v>18</v>
      </c>
    </row>
    <row r="565" spans="2:54" ht="13.95" customHeight="1"/>
    <row r="566" spans="2:54" ht="13.95" customHeight="1">
      <c r="BA566" s="86" t="s">
        <v>1970</v>
      </c>
    </row>
    <row r="567" spans="2:54" ht="13.95" customHeight="1">
      <c r="BA567" s="36" t="s">
        <v>1756</v>
      </c>
      <c r="BB567" s="36" t="s">
        <v>1316</v>
      </c>
    </row>
    <row r="568" spans="2:54" ht="13.95" customHeight="1">
      <c r="BA568" t="str">
        <f>'Analysis report'!A972</f>
        <v>Star</v>
      </c>
      <c r="BB568" s="60">
        <f>'Analysis report'!C972</f>
        <v>4</v>
      </c>
    </row>
    <row r="569" spans="2:54" ht="13.95" customHeight="1">
      <c r="BA569" t="str">
        <f>'Analysis report'!A973</f>
        <v>On time, over cost</v>
      </c>
      <c r="BB569" s="60">
        <f>'Analysis report'!C973</f>
        <v>6</v>
      </c>
    </row>
    <row r="570" spans="2:54" ht="13.95" customHeight="1">
      <c r="BA570" t="str">
        <f>'Analysis report'!A974</f>
        <v>Late, on cost</v>
      </c>
      <c r="BB570" s="60">
        <f>'Analysis report'!C974</f>
        <v>4</v>
      </c>
    </row>
    <row r="571" spans="2:54" ht="13.95" customHeight="1">
      <c r="BA571" t="str">
        <f>'Analysis report'!A975</f>
        <v>Late and over cost</v>
      </c>
      <c r="BB571" s="60">
        <f>'Analysis report'!C975</f>
        <v>11</v>
      </c>
    </row>
    <row r="572" spans="2:54" ht="13.95" customHeight="1"/>
    <row r="573" spans="2:54" ht="13.95" customHeight="1"/>
    <row r="574" spans="2:54" ht="13.95" customHeight="1"/>
    <row r="575" spans="2:54" ht="13.95" customHeight="1"/>
    <row r="576" spans="2:54" ht="13.95" customHeight="1">
      <c r="B576" s="88" t="str">
        <f>'Analysis report'!A820</f>
        <v>Q4. Is there a country-level difference in procurement lead times?</v>
      </c>
      <c r="C576" s="88"/>
      <c r="D576" s="88"/>
      <c r="E576" s="88"/>
      <c r="F576" s="88"/>
      <c r="G576" s="88"/>
      <c r="I576" s="88" t="str">
        <f>'Analysis report'!A827</f>
        <v>Q5. Which material has the longest and most unpredictable lead time?</v>
      </c>
      <c r="J576" s="88"/>
      <c r="K576" s="88"/>
      <c r="L576" s="88"/>
      <c r="M576" s="88"/>
      <c r="N576" s="88"/>
      <c r="P576" s="88" t="str">
        <f>'Analysis report'!A832</f>
        <v>Q6. Supplier reliability scorecard (ranked by on-time delivery %)</v>
      </c>
      <c r="Q576" s="88"/>
      <c r="R576" s="88"/>
      <c r="S576" s="88"/>
      <c r="T576" s="88"/>
      <c r="U576" s="88"/>
    </row>
    <row r="577" spans="2:21" ht="13.95" customHeight="1">
      <c r="B577" s="88"/>
      <c r="C577" s="88"/>
      <c r="D577" s="88"/>
      <c r="E577" s="88"/>
      <c r="F577" s="88"/>
      <c r="G577" s="88"/>
      <c r="I577" s="88"/>
      <c r="J577" s="88"/>
      <c r="K577" s="88"/>
      <c r="L577" s="88"/>
      <c r="M577" s="88"/>
      <c r="N577" s="88"/>
      <c r="P577" s="88"/>
      <c r="Q577" s="88"/>
      <c r="R577" s="88"/>
      <c r="S577" s="88"/>
      <c r="T577" s="88"/>
      <c r="U577" s="88"/>
    </row>
    <row r="578" spans="2:21" ht="13.95" customHeight="1">
      <c r="B578" s="89" t="str">
        <f>'Analysis report'!A825</f>
        <v>ANSWER: Lead times range from 35.9 days in India to 38.3 days in New Zealand — a 2.5 day spread. On-time performance is best in Australia (38.5%) and worst in India (19.0%).</v>
      </c>
      <c r="C578" s="90"/>
      <c r="D578" s="90"/>
      <c r="E578" s="90"/>
      <c r="F578" s="90"/>
      <c r="G578" s="90"/>
      <c r="I578" s="89" t="str">
        <f>'Analysis report'!A830</f>
        <v>ANSWER: Copper Wiring has the longest average lead time at 69.0 days. Tiles (Vitrified) is the most unpredictable, with a standard deviation of 39.6 days and deliveries ranging 18 – 74 days. Carry buffer stock or dual-source those two.</v>
      </c>
      <c r="J578" s="90"/>
      <c r="K578" s="90"/>
      <c r="L578" s="90"/>
      <c r="M578" s="90"/>
      <c r="N578" s="90"/>
      <c r="P578" s="89" t="str">
        <f>'Analysis report'!A844</f>
        <v>ANSWER: The scorecard above ranks all 10 suppliers. 0 rate A (90%+ on time), 0 rate B, 0 are watch-list and 10 should be replaced. Portfolio on-time performance is 30.0%.</v>
      </c>
      <c r="Q578" s="90"/>
      <c r="R578" s="90"/>
      <c r="S578" s="90"/>
      <c r="T578" s="90"/>
      <c r="U578" s="90"/>
    </row>
    <row r="579" spans="2:21" ht="13.95" customHeight="1">
      <c r="B579" s="90"/>
      <c r="C579" s="90"/>
      <c r="D579" s="90"/>
      <c r="E579" s="90"/>
      <c r="F579" s="90"/>
      <c r="G579" s="90"/>
      <c r="I579" s="90"/>
      <c r="J579" s="90"/>
      <c r="K579" s="90"/>
      <c r="L579" s="90"/>
      <c r="M579" s="90"/>
      <c r="N579" s="90"/>
      <c r="P579" s="90"/>
      <c r="Q579" s="90"/>
      <c r="R579" s="90"/>
      <c r="S579" s="90"/>
      <c r="T579" s="90"/>
      <c r="U579" s="90"/>
    </row>
    <row r="580" spans="2:21" ht="13.95" customHeight="1">
      <c r="B580" s="90"/>
      <c r="C580" s="90"/>
      <c r="D580" s="90"/>
      <c r="E580" s="90"/>
      <c r="F580" s="90"/>
      <c r="G580" s="90"/>
      <c r="I580" s="90"/>
      <c r="J580" s="90"/>
      <c r="K580" s="90"/>
      <c r="L580" s="90"/>
      <c r="M580" s="90"/>
      <c r="N580" s="90"/>
      <c r="P580" s="90"/>
      <c r="Q580" s="90"/>
      <c r="R580" s="90"/>
      <c r="S580" s="90"/>
      <c r="T580" s="90"/>
      <c r="U580" s="90"/>
    </row>
    <row r="581" spans="2:21" ht="13.95" customHeight="1">
      <c r="B581" s="90"/>
      <c r="C581" s="90"/>
      <c r="D581" s="90"/>
      <c r="E581" s="90"/>
      <c r="F581" s="90"/>
      <c r="G581" s="90"/>
      <c r="I581" s="90"/>
      <c r="J581" s="90"/>
      <c r="K581" s="90"/>
      <c r="L581" s="90"/>
      <c r="M581" s="90"/>
      <c r="N581" s="90"/>
      <c r="P581" s="90"/>
      <c r="Q581" s="90"/>
      <c r="R581" s="90"/>
      <c r="S581" s="90"/>
      <c r="T581" s="90"/>
      <c r="U581" s="90"/>
    </row>
    <row r="582" spans="2:21" ht="13.95" customHeight="1"/>
    <row r="583" spans="2:21" ht="13.95" customHeight="1"/>
    <row r="584" spans="2:21" ht="13.95" customHeight="1"/>
    <row r="585" spans="2:21" ht="13.95" customHeight="1"/>
    <row r="586" spans="2:21" ht="13.95" customHeight="1"/>
    <row r="587" spans="2:21" ht="13.95" customHeight="1"/>
    <row r="588" spans="2:21" ht="13.95" customHeight="1"/>
    <row r="589" spans="2:21" ht="13.95" customHeight="1"/>
    <row r="590" spans="2:21" ht="13.95" customHeight="1"/>
    <row r="591" spans="2:21" ht="13.95" customHeight="1"/>
    <row r="592" spans="2:21" ht="13.95" customHeight="1"/>
    <row r="593" spans="2:21" ht="13.95" customHeight="1"/>
    <row r="594" spans="2:21" ht="13.95" customHeight="1"/>
    <row r="595" spans="2:21" ht="13.95" customHeight="1"/>
    <row r="596" spans="2:21" ht="13.95" customHeight="1"/>
    <row r="597" spans="2:21" ht="13.95" customHeight="1"/>
    <row r="598" spans="2:21" ht="13.95" customHeight="1"/>
    <row r="599" spans="2:21" ht="22.05" customHeight="1">
      <c r="B599" s="93" t="str">
        <f>'Analysis report'!A846</f>
        <v>PROBLEM 14 — Client Payment Aging Tracker    |    Source sheet: P14-PaymentAging (40 invoices, 10 clients, 5 projects)</v>
      </c>
      <c r="C599" s="90"/>
      <c r="D599" s="90"/>
      <c r="E599" s="90"/>
      <c r="F599" s="90"/>
      <c r="G599" s="90"/>
      <c r="H599" s="90"/>
      <c r="I599" s="90"/>
      <c r="J599" s="90"/>
      <c r="K599" s="90"/>
      <c r="L599" s="90"/>
      <c r="M599" s="90"/>
      <c r="N599" s="90"/>
      <c r="O599" s="90"/>
      <c r="P599" s="90"/>
      <c r="Q599" s="90"/>
      <c r="R599" s="90"/>
      <c r="S599" s="90"/>
      <c r="T599" s="90"/>
      <c r="U599" s="90"/>
    </row>
    <row r="600" spans="2:21" ht="13.95" customHeight="1"/>
    <row r="601" spans="2:21" ht="13.95" customHeight="1">
      <c r="B601" s="88" t="str">
        <f>'Analysis report'!A847</f>
        <v>Q1. What is the total outstanding amount across all projects?</v>
      </c>
      <c r="C601" s="88"/>
      <c r="D601" s="88"/>
      <c r="E601" s="88"/>
      <c r="F601" s="88"/>
      <c r="G601" s="88"/>
      <c r="I601" s="88" t="str">
        <f>'Analysis report'!A851</f>
        <v>Q2. Which client has the highest overdue amount (paid after due date / still unpaid)?</v>
      </c>
      <c r="J601" s="88"/>
      <c r="K601" s="88"/>
      <c r="L601" s="88"/>
      <c r="M601" s="88"/>
      <c r="N601" s="88"/>
      <c r="P601" s="88" t="str">
        <f>'Analysis report'!A866</f>
        <v>Q3. Aging bucket analysis of outstanding balances</v>
      </c>
      <c r="Q601" s="88"/>
      <c r="R601" s="88"/>
      <c r="S601" s="88"/>
      <c r="T601" s="88"/>
      <c r="U601" s="88"/>
    </row>
    <row r="602" spans="2:21" ht="13.95" customHeight="1">
      <c r="B602" s="88"/>
      <c r="C602" s="88"/>
      <c r="D602" s="88"/>
      <c r="E602" s="88"/>
      <c r="F602" s="88"/>
      <c r="G602" s="88"/>
      <c r="I602" s="88"/>
      <c r="J602" s="88"/>
      <c r="K602" s="88"/>
      <c r="L602" s="88"/>
      <c r="M602" s="88"/>
      <c r="N602" s="88"/>
      <c r="P602" s="88"/>
      <c r="Q602" s="88"/>
      <c r="R602" s="88"/>
      <c r="S602" s="88"/>
      <c r="T602" s="88"/>
      <c r="U602" s="88"/>
    </row>
    <row r="603" spans="2:21" ht="13.95" customHeight="1">
      <c r="B603" s="89" t="str">
        <f>'Analysis report'!A849</f>
        <v>ANSWER: Total outstanding across all projects is $1,18,56,858 on $4,17,13,158 invoiced — a collection rate of 71.6%. 19 of 40 invoices carry a balance.</v>
      </c>
      <c r="C603" s="90"/>
      <c r="D603" s="90"/>
      <c r="E603" s="90"/>
      <c r="F603" s="90"/>
      <c r="G603" s="90"/>
      <c r="I603" s="89" t="str">
        <f>'Analysis report'!A864</f>
        <v>ANSWER: Ascendas REIT has the largest value paid after the due date — $46,22,054. On money still unpaid, the biggest exposure is Brookfield at $41,35,698 outstanding.</v>
      </c>
      <c r="J603" s="90"/>
      <c r="K603" s="90"/>
      <c r="L603" s="90"/>
      <c r="M603" s="90"/>
      <c r="N603" s="90"/>
      <c r="P603" s="89" t="str">
        <f>'Analysis report'!A874</f>
        <v>ANSWER: Of $1,18,56,858 outstanding, $1,09,01,155 is past due and splits as: $9,98,469 (9.2%) 0–30 days, $30,71,180 (28.2%) 31–60 days, $0 (0.0%) 61–90 days and $68,31,506 (62.7%) 90+ days. The remaining $9,55,703 is not yet due. Average age of past-due debt: 80 days.</v>
      </c>
      <c r="Q603" s="90"/>
      <c r="R603" s="90"/>
      <c r="S603" s="90"/>
      <c r="T603" s="90"/>
      <c r="U603" s="90"/>
    </row>
    <row r="604" spans="2:21" ht="13.95" customHeight="1">
      <c r="B604" s="90"/>
      <c r="C604" s="90"/>
      <c r="D604" s="90"/>
      <c r="E604" s="90"/>
      <c r="F604" s="90"/>
      <c r="G604" s="90"/>
      <c r="I604" s="90"/>
      <c r="J604" s="90"/>
      <c r="K604" s="90"/>
      <c r="L604" s="90"/>
      <c r="M604" s="90"/>
      <c r="N604" s="90"/>
      <c r="P604" s="90"/>
      <c r="Q604" s="90"/>
      <c r="R604" s="90"/>
      <c r="S604" s="90"/>
      <c r="T604" s="90"/>
      <c r="U604" s="90"/>
    </row>
    <row r="605" spans="2:21" ht="13.95" customHeight="1">
      <c r="B605" s="90"/>
      <c r="C605" s="90"/>
      <c r="D605" s="90"/>
      <c r="E605" s="90"/>
      <c r="F605" s="90"/>
      <c r="G605" s="90"/>
      <c r="I605" s="90"/>
      <c r="J605" s="90"/>
      <c r="K605" s="90"/>
      <c r="L605" s="90"/>
      <c r="M605" s="90"/>
      <c r="N605" s="90"/>
      <c r="P605" s="90"/>
      <c r="Q605" s="90"/>
      <c r="R605" s="90"/>
      <c r="S605" s="90"/>
      <c r="T605" s="90"/>
      <c r="U605" s="90"/>
    </row>
    <row r="606" spans="2:21" ht="13.95" customHeight="1">
      <c r="B606" s="90"/>
      <c r="C606" s="90"/>
      <c r="D606" s="90"/>
      <c r="E606" s="90"/>
      <c r="F606" s="90"/>
      <c r="G606" s="90"/>
      <c r="I606" s="90"/>
      <c r="J606" s="90"/>
      <c r="K606" s="90"/>
      <c r="L606" s="90"/>
      <c r="M606" s="90"/>
      <c r="N606" s="90"/>
      <c r="P606" s="90"/>
      <c r="Q606" s="90"/>
      <c r="R606" s="90"/>
      <c r="S606" s="90"/>
      <c r="T606" s="90"/>
      <c r="U606" s="90"/>
    </row>
    <row r="607" spans="2:21" ht="13.95" customHeight="1"/>
    <row r="608" spans="2:21" ht="13.95" customHeight="1"/>
    <row r="609" spans="2:21" ht="13.95" customHeight="1"/>
    <row r="610" spans="2:21" ht="13.95" customHeight="1"/>
    <row r="611" spans="2:21" ht="13.95" customHeight="1"/>
    <row r="612" spans="2:21" ht="13.95" customHeight="1"/>
    <row r="613" spans="2:21" ht="13.95" customHeight="1"/>
    <row r="614" spans="2:21" ht="13.95" customHeight="1"/>
    <row r="615" spans="2:21" ht="13.95" customHeight="1"/>
    <row r="616" spans="2:21" ht="13.95" customHeight="1"/>
    <row r="617" spans="2:21" ht="13.95" customHeight="1"/>
    <row r="618" spans="2:21" ht="13.95" customHeight="1"/>
    <row r="619" spans="2:21" ht="13.95" customHeight="1"/>
    <row r="620" spans="2:21" ht="13.95" customHeight="1"/>
    <row r="621" spans="2:21" ht="13.95" customHeight="1"/>
    <row r="622" spans="2:21" ht="13.95" customHeight="1"/>
    <row r="623" spans="2:21" ht="13.95" customHeight="1">
      <c r="B623" s="88" t="str">
        <f>'Analysis report'!A876</f>
        <v>Q4. Average days-to-pay by client (payment date minus invoice date)</v>
      </c>
      <c r="C623" s="88"/>
      <c r="D623" s="88"/>
      <c r="E623" s="88"/>
      <c r="F623" s="88"/>
      <c r="G623" s="88"/>
      <c r="I623" s="88" t="str">
        <f>'Analysis report'!A890</f>
        <v>Q5. Which project has the worst collection rate (Paid ÷ Invoiced)?</v>
      </c>
      <c r="J623" s="88"/>
      <c r="K623" s="88"/>
      <c r="L623" s="88"/>
      <c r="M623" s="88"/>
      <c r="N623" s="88"/>
      <c r="P623" s="88" t="str">
        <f>'Analysis report'!A900</f>
        <v>Q6. Interest receivable on overdue amounts at 1.5% per month</v>
      </c>
      <c r="Q623" s="88"/>
      <c r="R623" s="88"/>
      <c r="S623" s="88"/>
      <c r="T623" s="88"/>
      <c r="U623" s="88"/>
    </row>
    <row r="624" spans="2:21" ht="13.95" customHeight="1">
      <c r="B624" s="88"/>
      <c r="C624" s="88"/>
      <c r="D624" s="88"/>
      <c r="E624" s="88"/>
      <c r="F624" s="88"/>
      <c r="G624" s="88"/>
      <c r="I624" s="88"/>
      <c r="J624" s="88"/>
      <c r="K624" s="88"/>
      <c r="L624" s="88"/>
      <c r="M624" s="88"/>
      <c r="N624" s="88"/>
      <c r="P624" s="88"/>
      <c r="Q624" s="88"/>
      <c r="R624" s="88"/>
      <c r="S624" s="88"/>
      <c r="T624" s="88"/>
      <c r="U624" s="88"/>
    </row>
    <row r="625" spans="2:21" ht="13.95" customHeight="1">
      <c r="B625" s="89" t="str">
        <f>'Analysis report'!A888</f>
        <v>ANSWER: The slowest payer is Ascendas REIT at 71 days from invoice to payment; the fastest is Embassy Group at 28 days. Portfolio average: 58 days against payment terms of roughly 30 days.</v>
      </c>
      <c r="C625" s="90"/>
      <c r="D625" s="90"/>
      <c r="E625" s="90"/>
      <c r="F625" s="90"/>
      <c r="G625" s="90"/>
      <c r="I625" s="89" t="str">
        <f>'Analysis report'!A898</f>
        <v>ANSWER: WT-DC-MUM-01 has the worst collection rate at 58.4% ($46,25,307 outstanding); the best is WT-ITP-BLR-04 at 92.5%. Portfolio collection rate: 71.6%.</v>
      </c>
      <c r="J625" s="90"/>
      <c r="K625" s="90"/>
      <c r="L625" s="90"/>
      <c r="M625" s="90"/>
      <c r="N625" s="90"/>
      <c r="P625" s="89" t="str">
        <f>'Analysis report'!A914</f>
        <v>ANSWER: At 1.5% per month, the $1,09,01,155 of overdue balances (average 96 days past due) carries $7,97,715 of interest receivable. The largest single claim is against Brookfield at $3,78,457. Aging is measured to 23-May-2025 (latest payment date in the data).</v>
      </c>
      <c r="Q625" s="90"/>
      <c r="R625" s="90"/>
      <c r="S625" s="90"/>
      <c r="T625" s="90"/>
      <c r="U625" s="90"/>
    </row>
    <row r="626" spans="2:21" ht="13.95" customHeight="1">
      <c r="B626" s="90"/>
      <c r="C626" s="90"/>
      <c r="D626" s="90"/>
      <c r="E626" s="90"/>
      <c r="F626" s="90"/>
      <c r="G626" s="90"/>
      <c r="I626" s="90"/>
      <c r="J626" s="90"/>
      <c r="K626" s="90"/>
      <c r="L626" s="90"/>
      <c r="M626" s="90"/>
      <c r="N626" s="90"/>
      <c r="P626" s="90"/>
      <c r="Q626" s="90"/>
      <c r="R626" s="90"/>
      <c r="S626" s="90"/>
      <c r="T626" s="90"/>
      <c r="U626" s="90"/>
    </row>
    <row r="627" spans="2:21" ht="13.95" customHeight="1">
      <c r="B627" s="90"/>
      <c r="C627" s="90"/>
      <c r="D627" s="90"/>
      <c r="E627" s="90"/>
      <c r="F627" s="90"/>
      <c r="G627" s="90"/>
      <c r="I627" s="90"/>
      <c r="J627" s="90"/>
      <c r="K627" s="90"/>
      <c r="L627" s="90"/>
      <c r="M627" s="90"/>
      <c r="N627" s="90"/>
      <c r="P627" s="90"/>
      <c r="Q627" s="90"/>
      <c r="R627" s="90"/>
      <c r="S627" s="90"/>
      <c r="T627" s="90"/>
      <c r="U627" s="90"/>
    </row>
    <row r="628" spans="2:21" ht="13.95" customHeight="1">
      <c r="B628" s="90"/>
      <c r="C628" s="90"/>
      <c r="D628" s="90"/>
      <c r="E628" s="90"/>
      <c r="F628" s="90"/>
      <c r="G628" s="90"/>
      <c r="I628" s="90"/>
      <c r="J628" s="90"/>
      <c r="K628" s="90"/>
      <c r="L628" s="90"/>
      <c r="M628" s="90"/>
      <c r="N628" s="90"/>
      <c r="P628" s="90"/>
      <c r="Q628" s="90"/>
      <c r="R628" s="90"/>
      <c r="S628" s="90"/>
      <c r="T628" s="90"/>
      <c r="U628" s="90"/>
    </row>
    <row r="629" spans="2:21" ht="13.95" customHeight="1"/>
    <row r="630" spans="2:21" ht="13.95" customHeight="1"/>
    <row r="631" spans="2:21" ht="13.95" customHeight="1"/>
    <row r="632" spans="2:21" ht="13.95" customHeight="1"/>
    <row r="633" spans="2:21" ht="13.95" customHeight="1"/>
    <row r="634" spans="2:21" ht="13.95" customHeight="1"/>
    <row r="635" spans="2:21" ht="13.95" customHeight="1"/>
    <row r="636" spans="2:21" ht="13.95" customHeight="1"/>
    <row r="637" spans="2:21" ht="13.95" customHeight="1"/>
    <row r="638" spans="2:21" ht="13.95" customHeight="1"/>
    <row r="639" spans="2:21" ht="13.95" customHeight="1"/>
    <row r="640" spans="2:21" ht="13.95" customHeight="1"/>
    <row r="641" spans="2:21" ht="13.95" customHeight="1"/>
    <row r="642" spans="2:21" ht="13.95" customHeight="1"/>
    <row r="643" spans="2:21" ht="13.95" customHeight="1"/>
    <row r="644" spans="2:21" ht="13.95" customHeight="1"/>
    <row r="645" spans="2:21" ht="13.95" customHeight="1"/>
    <row r="646" spans="2:21" ht="22.05" customHeight="1">
      <c r="B646" s="93" t="str">
        <f>'Analysis report'!A916</f>
        <v>PROBLEM 15 — Multi-Project Portfolio Dashboard    |    Source sheet: P15-Portfolio (25 projects, 3 countries)</v>
      </c>
      <c r="C646" s="90"/>
      <c r="D646" s="90"/>
      <c r="E646" s="90"/>
      <c r="F646" s="90"/>
      <c r="G646" s="90"/>
      <c r="H646" s="90"/>
      <c r="I646" s="90"/>
      <c r="J646" s="90"/>
      <c r="K646" s="90"/>
      <c r="L646" s="90"/>
      <c r="M646" s="90"/>
      <c r="N646" s="90"/>
      <c r="O646" s="90"/>
      <c r="P646" s="90"/>
      <c r="Q646" s="90"/>
      <c r="R646" s="90"/>
      <c r="S646" s="90"/>
      <c r="T646" s="90"/>
      <c r="U646" s="90"/>
    </row>
    <row r="647" spans="2:21" ht="13.95" customHeight="1"/>
    <row r="648" spans="2:21" ht="13.95" customHeight="1">
      <c r="B648" s="88" t="str">
        <f>'Analysis report'!A917</f>
        <v>Q1. How many projects are In Progress, On Hold, Completed and Planning? (pie chart to the right)</v>
      </c>
      <c r="C648" s="88"/>
      <c r="D648" s="88"/>
      <c r="E648" s="88"/>
      <c r="F648" s="88"/>
      <c r="G648" s="88"/>
      <c r="I648" s="88" t="str">
        <f>'Analysis report'!A926</f>
        <v>Q2. Total portfolio budget and spend, and overall budget variance</v>
      </c>
      <c r="J648" s="88"/>
      <c r="K648" s="88"/>
      <c r="L648" s="88"/>
      <c r="M648" s="88"/>
      <c r="N648" s="88"/>
      <c r="P648" s="88" t="str">
        <f>'Analysis report'!A931</f>
        <v>Q3. Red-zone projects — CPI &lt; 0.90 AND SPI &lt; 0.90</v>
      </c>
      <c r="Q648" s="88"/>
      <c r="R648" s="88"/>
      <c r="S648" s="88"/>
      <c r="T648" s="88"/>
      <c r="U648" s="88"/>
    </row>
    <row r="649" spans="2:21" ht="13.95" customHeight="1">
      <c r="B649" s="88"/>
      <c r="C649" s="88"/>
      <c r="D649" s="88"/>
      <c r="E649" s="88"/>
      <c r="F649" s="88"/>
      <c r="G649" s="88"/>
      <c r="I649" s="88"/>
      <c r="J649" s="88"/>
      <c r="K649" s="88"/>
      <c r="L649" s="88"/>
      <c r="M649" s="88"/>
      <c r="N649" s="88"/>
      <c r="P649" s="88"/>
      <c r="Q649" s="88"/>
      <c r="R649" s="88"/>
      <c r="S649" s="88"/>
      <c r="T649" s="88"/>
      <c r="U649" s="88"/>
    </row>
    <row r="650" spans="2:21" ht="13.95" customHeight="1">
      <c r="B650" s="89" t="str">
        <f>'Analysis report'!A924</f>
        <v>ANSWER: The portfolio splits 4 In Progress, 8 On Hold, 8 Completed and 5 in Planning (25 projects total). On Hold is the largest group at 32.0% of projects. On-hold projects alone tie up $50,58,48,491 of budget.</v>
      </c>
      <c r="C650" s="90"/>
      <c r="D650" s="90"/>
      <c r="E650" s="90"/>
      <c r="F650" s="90"/>
      <c r="G650" s="90"/>
      <c r="I650" s="89" t="str">
        <f>'Analysis report'!A929</f>
        <v>ANSWER: Portfolio budget is $1,42,57,25,823 and spend to date is $69,07,72,336 — 48.5% of budget drawn against 49.8% average completion, leaving $73,49,53,487 unspent. On the source sheet's own Budget_Variance column the portfolio is $3,61,50,438 adrift, and 12 of 25 projects show an adverse variance.</v>
      </c>
      <c r="J650" s="90"/>
      <c r="K650" s="90"/>
      <c r="L650" s="90"/>
      <c r="M650" s="90"/>
      <c r="N650" s="90"/>
      <c r="P650" s="89" t="str">
        <f>'Analysis report'!A942</f>
        <v>ANSWER: 3 of 25 projects are in the red zone (both CPI and SPI below 0.90) and are listed above. Separately 11 projects have CPI below 0.90 and 9 have SPI below 0.90. These need recovery plans before any new work is taken on.</v>
      </c>
      <c r="Q650" s="90"/>
      <c r="R650" s="90"/>
      <c r="S650" s="90"/>
      <c r="T650" s="90"/>
      <c r="U650" s="90"/>
    </row>
    <row r="651" spans="2:21" ht="13.95" customHeight="1">
      <c r="B651" s="90"/>
      <c r="C651" s="90"/>
      <c r="D651" s="90"/>
      <c r="E651" s="90"/>
      <c r="F651" s="90"/>
      <c r="G651" s="90"/>
      <c r="I651" s="90"/>
      <c r="J651" s="90"/>
      <c r="K651" s="90"/>
      <c r="L651" s="90"/>
      <c r="M651" s="90"/>
      <c r="N651" s="90"/>
      <c r="P651" s="90"/>
      <c r="Q651" s="90"/>
      <c r="R651" s="90"/>
      <c r="S651" s="90"/>
      <c r="T651" s="90"/>
      <c r="U651" s="90"/>
    </row>
    <row r="652" spans="2:21" ht="13.95" customHeight="1">
      <c r="B652" s="90"/>
      <c r="C652" s="90"/>
      <c r="D652" s="90"/>
      <c r="E652" s="90"/>
      <c r="F652" s="90"/>
      <c r="G652" s="90"/>
      <c r="I652" s="90"/>
      <c r="J652" s="90"/>
      <c r="K652" s="90"/>
      <c r="L652" s="90"/>
      <c r="M652" s="90"/>
      <c r="N652" s="90"/>
      <c r="P652" s="90"/>
      <c r="Q652" s="90"/>
      <c r="R652" s="90"/>
      <c r="S652" s="90"/>
      <c r="T652" s="90"/>
      <c r="U652" s="90"/>
    </row>
    <row r="653" spans="2:21" ht="13.95" customHeight="1">
      <c r="B653" s="90"/>
      <c r="C653" s="90"/>
      <c r="D653" s="90"/>
      <c r="E653" s="90"/>
      <c r="F653" s="90"/>
      <c r="G653" s="90"/>
      <c r="I653" s="90"/>
      <c r="J653" s="90"/>
      <c r="K653" s="90"/>
      <c r="L653" s="90"/>
      <c r="M653" s="90"/>
      <c r="N653" s="90"/>
      <c r="P653" s="90"/>
      <c r="Q653" s="90"/>
      <c r="R653" s="90"/>
      <c r="S653" s="90"/>
      <c r="T653" s="90"/>
      <c r="U653" s="90"/>
    </row>
    <row r="654" spans="2:21" ht="13.95" customHeight="1"/>
    <row r="655" spans="2:21" ht="13.95" customHeight="1"/>
    <row r="656" spans="2:21" ht="13.95" customHeight="1"/>
    <row r="657" spans="2:21" ht="13.95" customHeight="1"/>
    <row r="658" spans="2:21" ht="13.95" customHeight="1"/>
    <row r="659" spans="2:21" ht="13.95" customHeight="1"/>
    <row r="660" spans="2:21" ht="13.95" customHeight="1"/>
    <row r="661" spans="2:21" ht="13.95" customHeight="1"/>
    <row r="662" spans="2:21" ht="13.95" customHeight="1"/>
    <row r="663" spans="2:21" ht="13.95" customHeight="1"/>
    <row r="664" spans="2:21" ht="13.95" customHeight="1"/>
    <row r="665" spans="2:21" ht="13.95" customHeight="1"/>
    <row r="666" spans="2:21" ht="13.95" customHeight="1"/>
    <row r="667" spans="2:21" ht="13.95" customHeight="1"/>
    <row r="668" spans="2:21" ht="13.95" customHeight="1"/>
    <row r="669" spans="2:21" ht="13.95" customHeight="1"/>
    <row r="670" spans="2:21" ht="13.95" customHeight="1">
      <c r="B670" s="88" t="str">
        <f>'Analysis report'!A944</f>
        <v>Q4. Bubble view — X = SPI, Y = CPI, bubble size = Budget (chart to the right)</v>
      </c>
      <c r="C670" s="88"/>
      <c r="D670" s="88"/>
      <c r="E670" s="88"/>
      <c r="F670" s="88"/>
      <c r="G670" s="88"/>
      <c r="I670" s="88" t="str">
        <f>'Analysis report'!A979</f>
        <v>Q5. Average completion % by country</v>
      </c>
      <c r="J670" s="88"/>
      <c r="K670" s="88"/>
      <c r="L670" s="88"/>
      <c r="M670" s="88"/>
      <c r="N670" s="88"/>
      <c r="P670" s="88" t="str">
        <f>'Analysis report'!A987</f>
        <v>Q6. Traffic-light summary — Green (CPI≥1 and SPI≥1), Red (both &lt; 0.9), Amber (everything else)</v>
      </c>
      <c r="Q670" s="88"/>
      <c r="R670" s="88"/>
      <c r="S670" s="88"/>
      <c r="T670" s="88"/>
      <c r="U670" s="88"/>
    </row>
    <row r="671" spans="2:21" ht="13.95" customHeight="1">
      <c r="B671" s="88"/>
      <c r="C671" s="88"/>
      <c r="D671" s="88"/>
      <c r="E671" s="88"/>
      <c r="F671" s="88"/>
      <c r="G671" s="88"/>
      <c r="I671" s="88"/>
      <c r="J671" s="88"/>
      <c r="K671" s="88"/>
      <c r="L671" s="88"/>
      <c r="M671" s="88"/>
      <c r="N671" s="88"/>
      <c r="P671" s="88"/>
      <c r="Q671" s="88"/>
      <c r="R671" s="88"/>
      <c r="S671" s="88"/>
      <c r="T671" s="88"/>
      <c r="U671" s="88"/>
    </row>
    <row r="672" spans="2:21" ht="13.95" customHeight="1">
      <c r="B672" s="89" t="str">
        <f>'Analysis report'!A977</f>
        <v>ANSWER: The busiest quadrant is "Late and over cost" with 11 of 25 projects (44.0%) and $63,55,84,316 of budget. Only 4 projects are true stars (both indices at or above 1.00).</v>
      </c>
      <c r="C672" s="90"/>
      <c r="D672" s="90"/>
      <c r="E672" s="90"/>
      <c r="F672" s="90"/>
      <c r="G672" s="90"/>
      <c r="I672" s="89" t="str">
        <f>'Analysis report'!A985</f>
        <v>ANSWER: Australia is furthest advanced at 62.7% average completion, while New Zealand trails at 40.3%. Portfolio average completion is 49.8%.</v>
      </c>
      <c r="J672" s="90"/>
      <c r="K672" s="90"/>
      <c r="L672" s="90"/>
      <c r="M672" s="90"/>
      <c r="N672" s="90"/>
      <c r="P672" s="89" t="str">
        <f>'Analysis report'!A993</f>
        <v>ANSWER: 4 projects are GREEN (16.0%), 18 AMBER (72.0%) and 3 RED (12.0%). Red projects carry $8,75,29,465 of budget — that is the portion of the portfolio needing intervention now.</v>
      </c>
      <c r="Q672" s="90"/>
      <c r="R672" s="90"/>
      <c r="S672" s="90"/>
      <c r="T672" s="90"/>
      <c r="U672" s="90"/>
    </row>
    <row r="673" spans="2:21" ht="13.95" customHeight="1">
      <c r="B673" s="90"/>
      <c r="C673" s="90"/>
      <c r="D673" s="90"/>
      <c r="E673" s="90"/>
      <c r="F673" s="90"/>
      <c r="G673" s="90"/>
      <c r="I673" s="90"/>
      <c r="J673" s="90"/>
      <c r="K673" s="90"/>
      <c r="L673" s="90"/>
      <c r="M673" s="90"/>
      <c r="N673" s="90"/>
      <c r="P673" s="90"/>
      <c r="Q673" s="90"/>
      <c r="R673" s="90"/>
      <c r="S673" s="90"/>
      <c r="T673" s="90"/>
      <c r="U673" s="90"/>
    </row>
    <row r="674" spans="2:21" ht="13.95" customHeight="1">
      <c r="B674" s="90"/>
      <c r="C674" s="90"/>
      <c r="D674" s="90"/>
      <c r="E674" s="90"/>
      <c r="F674" s="90"/>
      <c r="G674" s="90"/>
      <c r="I674" s="90"/>
      <c r="J674" s="90"/>
      <c r="K674" s="90"/>
      <c r="L674" s="90"/>
      <c r="M674" s="90"/>
      <c r="N674" s="90"/>
      <c r="P674" s="90"/>
      <c r="Q674" s="90"/>
      <c r="R674" s="90"/>
      <c r="S674" s="90"/>
      <c r="T674" s="90"/>
      <c r="U674" s="90"/>
    </row>
    <row r="675" spans="2:21" ht="13.95" customHeight="1">
      <c r="B675" s="90"/>
      <c r="C675" s="90"/>
      <c r="D675" s="90"/>
      <c r="E675" s="90"/>
      <c r="F675" s="90"/>
      <c r="G675" s="90"/>
      <c r="I675" s="90"/>
      <c r="J675" s="90"/>
      <c r="K675" s="90"/>
      <c r="L675" s="90"/>
      <c r="M675" s="90"/>
      <c r="N675" s="90"/>
      <c r="P675" s="90"/>
      <c r="Q675" s="90"/>
      <c r="R675" s="90"/>
      <c r="S675" s="90"/>
      <c r="T675" s="90"/>
      <c r="U675" s="90"/>
    </row>
    <row r="676" spans="2:21" ht="13.95" customHeight="1"/>
    <row r="677" spans="2:21" ht="13.95" customHeight="1"/>
    <row r="678" spans="2:21" ht="13.95" customHeight="1"/>
    <row r="679" spans="2:21" ht="13.95" customHeight="1"/>
    <row r="680" spans="2:21" ht="13.95" customHeight="1"/>
    <row r="681" spans="2:21" ht="13.95" customHeight="1"/>
    <row r="682" spans="2:21" ht="13.95" customHeight="1"/>
    <row r="683" spans="2:21" ht="13.95" customHeight="1"/>
    <row r="684" spans="2:21" ht="13.95" customHeight="1"/>
    <row r="685" spans="2:21" ht="13.95" customHeight="1"/>
    <row r="686" spans="2:21" ht="13.95" customHeight="1"/>
    <row r="687" spans="2:21" ht="13.95" customHeight="1"/>
    <row r="688" spans="2:21" ht="13.95" customHeight="1"/>
    <row r="689" spans="2:7" ht="13.95" customHeight="1"/>
    <row r="690" spans="2:7" ht="13.95" customHeight="1"/>
    <row r="691" spans="2:7" ht="13.95" customHeight="1"/>
    <row r="692" spans="2:7" ht="13.95" customHeight="1">
      <c r="B692" s="88" t="str">
        <f>'Analysis report'!A995</f>
        <v>Q7. Three-line executive summary for the board</v>
      </c>
      <c r="C692" s="88"/>
      <c r="D692" s="88"/>
      <c r="E692" s="88"/>
      <c r="F692" s="88"/>
      <c r="G692" s="88"/>
    </row>
    <row r="693" spans="2:7" ht="13.95" customHeight="1">
      <c r="B693" s="88"/>
      <c r="C693" s="88"/>
      <c r="D693" s="88"/>
      <c r="E693" s="88"/>
      <c r="F693" s="88"/>
      <c r="G693" s="88"/>
    </row>
    <row r="694" spans="2:7" ht="13.95" customHeight="1">
      <c r="B694" s="89" t="str">
        <f>'Analysis report'!A999</f>
        <v>ANSWER: The three lines above are the board summary — scale, performance and the action required.</v>
      </c>
      <c r="C694" s="90"/>
      <c r="D694" s="90"/>
      <c r="E694" s="90"/>
      <c r="F694" s="90"/>
      <c r="G694" s="90"/>
    </row>
    <row r="695" spans="2:7" ht="13.95" customHeight="1">
      <c r="B695" s="90"/>
      <c r="C695" s="90"/>
      <c r="D695" s="90"/>
      <c r="E695" s="90"/>
      <c r="F695" s="90"/>
      <c r="G695" s="90"/>
    </row>
    <row r="696" spans="2:7" ht="13.95" customHeight="1">
      <c r="B696" s="90"/>
      <c r="C696" s="90"/>
      <c r="D696" s="90"/>
      <c r="E696" s="90"/>
      <c r="F696" s="90"/>
      <c r="G696" s="90"/>
    </row>
    <row r="697" spans="2:7" ht="13.95" customHeight="1">
      <c r="B697" s="90"/>
      <c r="C697" s="90"/>
      <c r="D697" s="90"/>
      <c r="E697" s="90"/>
      <c r="F697" s="90"/>
      <c r="G697" s="90"/>
    </row>
    <row r="698" spans="2:7" ht="13.95" customHeight="1"/>
    <row r="699" spans="2:7" ht="13.95" customHeight="1"/>
    <row r="700" spans="2:7" ht="13.95" customHeight="1"/>
    <row r="701" spans="2:7" ht="13.95" customHeight="1"/>
    <row r="702" spans="2:7" ht="13.95" customHeight="1"/>
    <row r="703" spans="2:7" ht="13.95" customHeight="1"/>
    <row r="704" spans="2:7" ht="13.95" customHeight="1"/>
    <row r="705" ht="13.95" customHeight="1"/>
    <row r="706" ht="13.95" customHeight="1"/>
    <row r="707" ht="13.95" customHeight="1"/>
    <row r="708" ht="13.95" customHeight="1"/>
    <row r="709" ht="13.95" customHeight="1"/>
    <row r="710" ht="13.95" customHeight="1"/>
    <row r="711" ht="13.95" customHeight="1"/>
    <row r="712" ht="13.95" customHeight="1"/>
    <row r="713" ht="13.95" customHeight="1"/>
    <row r="714" ht="13.95" customHeight="1"/>
    <row r="715" ht="13.95" customHeight="1"/>
    <row r="716" ht="13.95" customHeight="1"/>
    <row r="717" ht="13.95" customHeight="1"/>
    <row r="718" ht="13.95" customHeight="1"/>
    <row r="719" ht="13.95" customHeight="1"/>
    <row r="720" ht="13.95" customHeight="1"/>
    <row r="721" ht="13.95" customHeight="1"/>
    <row r="722" ht="13.95" customHeight="1"/>
    <row r="723" ht="13.95" customHeight="1"/>
    <row r="724" ht="13.95" customHeight="1"/>
    <row r="725" ht="13.95" customHeight="1"/>
    <row r="726" ht="13.95" customHeight="1"/>
    <row r="727" ht="13.95" customHeight="1"/>
    <row r="728" ht="13.95" customHeight="1"/>
    <row r="729" ht="13.95" customHeight="1"/>
    <row r="730" ht="13.95" customHeight="1"/>
    <row r="731" ht="13.95" customHeight="1"/>
    <row r="732" ht="13.95" customHeight="1"/>
    <row r="733" ht="13.95" customHeight="1"/>
    <row r="734" ht="13.95" customHeight="1"/>
    <row r="735" ht="13.95" customHeight="1"/>
    <row r="736" ht="13.95" customHeight="1"/>
    <row r="737" ht="13.95" customHeight="1"/>
    <row r="738" ht="13.95" customHeight="1"/>
    <row r="739" ht="13.95" customHeight="1"/>
    <row r="740" ht="13.95" customHeight="1"/>
    <row r="741" ht="13.95" customHeight="1"/>
    <row r="742" ht="13.95" customHeight="1"/>
    <row r="743" ht="13.95" customHeight="1"/>
    <row r="744" ht="13.95" customHeight="1"/>
    <row r="745" ht="13.95" customHeight="1"/>
    <row r="746" ht="13.95" customHeight="1"/>
    <row r="747" ht="13.95" customHeight="1"/>
    <row r="748" ht="13.95" customHeight="1"/>
    <row r="749" ht="13.95" customHeight="1"/>
    <row r="750" ht="13.95" customHeight="1"/>
    <row r="751" ht="13.95" customHeight="1"/>
    <row r="752" ht="13.95" customHeight="1"/>
    <row r="753" ht="13.95" customHeight="1"/>
    <row r="754" ht="13.95" customHeight="1"/>
    <row r="755" ht="13.95" customHeight="1"/>
    <row r="756" ht="13.95" customHeight="1"/>
    <row r="757" ht="13.95" customHeight="1"/>
    <row r="758" ht="13.95" customHeight="1"/>
    <row r="759" ht="13.95" customHeight="1"/>
    <row r="760" ht="13.95" customHeight="1"/>
  </sheetData>
  <mergeCells count="188">
    <mergeCell ref="B37:G38"/>
    <mergeCell ref="B39:G42"/>
    <mergeCell ref="I37:N38"/>
    <mergeCell ref="I39:N42"/>
    <mergeCell ref="B13:U13"/>
    <mergeCell ref="I247:N248"/>
    <mergeCell ref="I249:N252"/>
    <mergeCell ref="B223:U223"/>
    <mergeCell ref="B200:G201"/>
    <mergeCell ref="B202:G205"/>
    <mergeCell ref="I200:N201"/>
    <mergeCell ref="I202:N205"/>
    <mergeCell ref="B176:U176"/>
    <mergeCell ref="B153:G154"/>
    <mergeCell ref="B155:G158"/>
    <mergeCell ref="I153:N154"/>
    <mergeCell ref="I155:N158"/>
    <mergeCell ref="I435:N436"/>
    <mergeCell ref="I437:N440"/>
    <mergeCell ref="B411:U411"/>
    <mergeCell ref="B388:G389"/>
    <mergeCell ref="B390:G393"/>
    <mergeCell ref="I388:N389"/>
    <mergeCell ref="I390:N393"/>
    <mergeCell ref="B364:U364"/>
    <mergeCell ref="B341:G342"/>
    <mergeCell ref="B343:G346"/>
    <mergeCell ref="I341:N342"/>
    <mergeCell ref="I343:N346"/>
    <mergeCell ref="B1:U1"/>
    <mergeCell ref="B3:U3"/>
    <mergeCell ref="B15:G16"/>
    <mergeCell ref="B17:G20"/>
    <mergeCell ref="I15:N16"/>
    <mergeCell ref="I17:N20"/>
    <mergeCell ref="P15:U16"/>
    <mergeCell ref="P17:U20"/>
    <mergeCell ref="B670:G671"/>
    <mergeCell ref="I670:N671"/>
    <mergeCell ref="B646:U646"/>
    <mergeCell ref="B623:G624"/>
    <mergeCell ref="B625:G628"/>
    <mergeCell ref="I623:N624"/>
    <mergeCell ref="I625:N628"/>
    <mergeCell ref="B599:U599"/>
    <mergeCell ref="B576:G577"/>
    <mergeCell ref="B578:G581"/>
    <mergeCell ref="I576:N577"/>
    <mergeCell ref="I578:N581"/>
    <mergeCell ref="B552:U552"/>
    <mergeCell ref="B529:G530"/>
    <mergeCell ref="B531:G534"/>
    <mergeCell ref="I529:N530"/>
    <mergeCell ref="P106:U107"/>
    <mergeCell ref="P108:U111"/>
    <mergeCell ref="B131:G132"/>
    <mergeCell ref="B133:G136"/>
    <mergeCell ref="I131:N132"/>
    <mergeCell ref="I133:N136"/>
    <mergeCell ref="P131:U132"/>
    <mergeCell ref="P133:U136"/>
    <mergeCell ref="P37:U38"/>
    <mergeCell ref="P39:U42"/>
    <mergeCell ref="B59:G60"/>
    <mergeCell ref="B61:G64"/>
    <mergeCell ref="B84:G85"/>
    <mergeCell ref="B86:G89"/>
    <mergeCell ref="I84:N85"/>
    <mergeCell ref="I86:N89"/>
    <mergeCell ref="P84:U85"/>
    <mergeCell ref="P86:U89"/>
    <mergeCell ref="B129:U129"/>
    <mergeCell ref="B106:G107"/>
    <mergeCell ref="B108:G111"/>
    <mergeCell ref="I106:N107"/>
    <mergeCell ref="I108:N111"/>
    <mergeCell ref="B82:U82"/>
    <mergeCell ref="P200:U201"/>
    <mergeCell ref="P202:U205"/>
    <mergeCell ref="B225:G226"/>
    <mergeCell ref="B227:G230"/>
    <mergeCell ref="I225:N226"/>
    <mergeCell ref="I227:N230"/>
    <mergeCell ref="P225:U226"/>
    <mergeCell ref="P227:U230"/>
    <mergeCell ref="P153:U154"/>
    <mergeCell ref="P155:U158"/>
    <mergeCell ref="B178:G179"/>
    <mergeCell ref="B180:G183"/>
    <mergeCell ref="I178:N179"/>
    <mergeCell ref="I180:N183"/>
    <mergeCell ref="P178:U179"/>
    <mergeCell ref="P180:U183"/>
    <mergeCell ref="P294:U295"/>
    <mergeCell ref="P296:U299"/>
    <mergeCell ref="B319:G320"/>
    <mergeCell ref="B321:G324"/>
    <mergeCell ref="I319:N320"/>
    <mergeCell ref="I321:N324"/>
    <mergeCell ref="P319:U320"/>
    <mergeCell ref="P321:U324"/>
    <mergeCell ref="P247:U248"/>
    <mergeCell ref="P249:U252"/>
    <mergeCell ref="B272:G273"/>
    <mergeCell ref="B274:G277"/>
    <mergeCell ref="I272:N273"/>
    <mergeCell ref="I274:N277"/>
    <mergeCell ref="P272:U273"/>
    <mergeCell ref="P274:U277"/>
    <mergeCell ref="B317:U317"/>
    <mergeCell ref="B294:G295"/>
    <mergeCell ref="B296:G299"/>
    <mergeCell ref="I294:N295"/>
    <mergeCell ref="I296:N299"/>
    <mergeCell ref="B270:U270"/>
    <mergeCell ref="B247:G248"/>
    <mergeCell ref="B249:G252"/>
    <mergeCell ref="P388:U389"/>
    <mergeCell ref="P390:U393"/>
    <mergeCell ref="B413:G414"/>
    <mergeCell ref="B415:G418"/>
    <mergeCell ref="I413:N414"/>
    <mergeCell ref="I415:N418"/>
    <mergeCell ref="P413:U414"/>
    <mergeCell ref="P415:U418"/>
    <mergeCell ref="P341:U342"/>
    <mergeCell ref="P343:U346"/>
    <mergeCell ref="B366:G367"/>
    <mergeCell ref="B368:G371"/>
    <mergeCell ref="I366:N367"/>
    <mergeCell ref="I368:N371"/>
    <mergeCell ref="P366:U367"/>
    <mergeCell ref="P368:U371"/>
    <mergeCell ref="P482:U483"/>
    <mergeCell ref="P484:U487"/>
    <mergeCell ref="B507:G508"/>
    <mergeCell ref="B509:G512"/>
    <mergeCell ref="I507:N508"/>
    <mergeCell ref="I509:N512"/>
    <mergeCell ref="P507:U508"/>
    <mergeCell ref="P509:U512"/>
    <mergeCell ref="P435:U436"/>
    <mergeCell ref="P437:U440"/>
    <mergeCell ref="B460:G461"/>
    <mergeCell ref="B462:G465"/>
    <mergeCell ref="I460:N461"/>
    <mergeCell ref="I462:N465"/>
    <mergeCell ref="P460:U461"/>
    <mergeCell ref="P462:U465"/>
    <mergeCell ref="B505:U505"/>
    <mergeCell ref="B482:G483"/>
    <mergeCell ref="B484:G487"/>
    <mergeCell ref="I482:N483"/>
    <mergeCell ref="I484:N487"/>
    <mergeCell ref="B458:U458"/>
    <mergeCell ref="B435:G436"/>
    <mergeCell ref="B437:G440"/>
    <mergeCell ref="P576:U577"/>
    <mergeCell ref="P578:U581"/>
    <mergeCell ref="B601:G602"/>
    <mergeCell ref="B603:G606"/>
    <mergeCell ref="I601:N602"/>
    <mergeCell ref="I603:N606"/>
    <mergeCell ref="P601:U602"/>
    <mergeCell ref="P603:U606"/>
    <mergeCell ref="P529:U530"/>
    <mergeCell ref="P531:U534"/>
    <mergeCell ref="B554:G555"/>
    <mergeCell ref="B556:G559"/>
    <mergeCell ref="I554:N555"/>
    <mergeCell ref="I556:N559"/>
    <mergeCell ref="P554:U555"/>
    <mergeCell ref="P556:U559"/>
    <mergeCell ref="I531:N534"/>
    <mergeCell ref="P670:U671"/>
    <mergeCell ref="P672:U675"/>
    <mergeCell ref="B692:G693"/>
    <mergeCell ref="B694:G697"/>
    <mergeCell ref="P623:U624"/>
    <mergeCell ref="P625:U628"/>
    <mergeCell ref="B648:G649"/>
    <mergeCell ref="B650:G653"/>
    <mergeCell ref="I648:N649"/>
    <mergeCell ref="I650:N653"/>
    <mergeCell ref="P648:U649"/>
    <mergeCell ref="P650:U653"/>
    <mergeCell ref="B672:G675"/>
    <mergeCell ref="I672:N67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Index</vt:lpstr>
      <vt:lpstr>Analysis Dashboard </vt:lpstr>
      <vt:lpstr>Data Story</vt:lpstr>
      <vt:lpstr>KPI Dashboard</vt:lpstr>
      <vt:lpstr>P01-CostOverrun</vt:lpstr>
      <vt:lpstr>P01</vt:lpstr>
      <vt:lpstr>P02-MaterialPrice</vt:lpstr>
      <vt:lpstr>P02</vt:lpstr>
      <vt:lpstr>P03-BOQVariance</vt:lpstr>
      <vt:lpstr>P03</vt:lpstr>
      <vt:lpstr>P04-LabourProd</vt:lpstr>
      <vt:lpstr>P05-TenderBid</vt:lpstr>
      <vt:lpstr>P06-DelayRCA</vt:lpstr>
      <vt:lpstr>P07-CashFlow</vt:lpstr>
      <vt:lpstr>P08-ChangeOrder</vt:lpstr>
      <vt:lpstr>P09-SubconScore</vt:lpstr>
      <vt:lpstr>P10-Benchmark</vt:lpstr>
      <vt:lpstr>P12-EVM</vt:lpstr>
      <vt:lpstr>P13-LeadTime</vt:lpstr>
      <vt:lpstr>P14-PaymentAging</vt:lpstr>
      <vt:lpstr>P15-Portfolio</vt:lpstr>
      <vt:lpstr>Analysis report</vt:lpstr>
      <vt:lpstr>Q&amp;A Chart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Gulzar Ahmed</cp:lastModifiedBy>
  <cp:revision>0</cp:revision>
  <cp:lastPrinted>2026-09-21T05:50:46Z</cp:lastPrinted>
  <dcterms:created xsi:type="dcterms:W3CDTF">2026-09-11T13:55:21Z</dcterms:created>
  <dcterms:modified xsi:type="dcterms:W3CDTF">2026-09-21T05:54:53Z</dcterms:modified>
  <dc:language>en-US</dc:language>
</cp:coreProperties>
</file>