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y.perez\Desktop\"/>
    </mc:Choice>
  </mc:AlternateContent>
  <bookViews>
    <workbookView xWindow="0" yWindow="0" windowWidth="20490" windowHeight="7455" activeTab="4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Q8" i="5"/>
  <c r="P8" i="5" s="1"/>
  <c r="O8" i="5"/>
  <c r="H17" i="5"/>
  <c r="H16" i="5"/>
  <c r="L32" i="5"/>
  <c r="J32" i="5"/>
  <c r="G14" i="5" l="1"/>
  <c r="L9" i="5"/>
  <c r="M9" i="5"/>
  <c r="K9" i="5"/>
  <c r="K8" i="5"/>
  <c r="H13" i="5"/>
  <c r="H12" i="4"/>
  <c r="G13" i="5"/>
  <c r="L8" i="5"/>
  <c r="M8" i="5"/>
  <c r="H9" i="5"/>
  <c r="J36" i="5"/>
  <c r="F25" i="5"/>
  <c r="F24" i="5"/>
  <c r="H19" i="5"/>
  <c r="H15" i="5"/>
  <c r="H12" i="5"/>
  <c r="H11" i="5"/>
  <c r="H10" i="5"/>
  <c r="P4" i="5"/>
  <c r="M4" i="5"/>
  <c r="H21" i="4"/>
  <c r="H19" i="4"/>
  <c r="G19" i="4"/>
  <c r="K35" i="4"/>
  <c r="L35" i="4"/>
  <c r="J35" i="4"/>
  <c r="G15" i="4"/>
  <c r="H15" i="4" s="1"/>
  <c r="K31" i="4"/>
  <c r="L31" i="4"/>
  <c r="J31" i="4"/>
  <c r="L11" i="4"/>
  <c r="L10" i="4"/>
  <c r="K10" i="4"/>
  <c r="M10" i="4" s="1"/>
  <c r="K9" i="4"/>
  <c r="F24" i="4"/>
  <c r="F23" i="4"/>
  <c r="H18" i="4"/>
  <c r="H16" i="4"/>
  <c r="H14" i="4"/>
  <c r="K11" i="4"/>
  <c r="H11" i="4"/>
  <c r="H10" i="4"/>
  <c r="L9" i="4"/>
  <c r="M9" i="4"/>
  <c r="H9" i="4"/>
  <c r="O8" i="4"/>
  <c r="L8" i="4"/>
  <c r="K8" i="4"/>
  <c r="M8" i="4" s="1"/>
  <c r="P4" i="4"/>
  <c r="G17" i="4" s="1"/>
  <c r="M4" i="4"/>
  <c r="F26" i="5" l="1"/>
  <c r="M11" i="4"/>
  <c r="G12" i="4" s="1"/>
  <c r="G13" i="4" s="1"/>
  <c r="F25" i="4"/>
  <c r="M24" i="4"/>
  <c r="P8" i="3"/>
  <c r="O8" i="3"/>
  <c r="K11" i="3"/>
  <c r="M4" i="3"/>
  <c r="F24" i="3"/>
  <c r="F23" i="3"/>
  <c r="H18" i="3"/>
  <c r="P4" i="3"/>
  <c r="H16" i="3"/>
  <c r="H15" i="3"/>
  <c r="H14" i="3"/>
  <c r="H11" i="2"/>
  <c r="G11" i="2"/>
  <c r="H10" i="2"/>
  <c r="H11" i="3"/>
  <c r="L10" i="3"/>
  <c r="M10" i="3" s="1"/>
  <c r="H10" i="3"/>
  <c r="L9" i="3"/>
  <c r="K9" i="3"/>
  <c r="H9" i="3"/>
  <c r="L8" i="3"/>
  <c r="K8" i="3"/>
  <c r="M8" i="3" s="1"/>
  <c r="N16" i="2"/>
  <c r="M16" i="2"/>
  <c r="M17" i="2"/>
  <c r="L20" i="2"/>
  <c r="M15" i="2"/>
  <c r="H15" i="2"/>
  <c r="L10" i="2"/>
  <c r="K10" i="2"/>
  <c r="K9" i="1"/>
  <c r="M10" i="2"/>
  <c r="M9" i="1"/>
  <c r="M8" i="1"/>
  <c r="M9" i="2"/>
  <c r="M7" i="2"/>
  <c r="M8" i="2"/>
  <c r="L9" i="2"/>
  <c r="F16" i="2"/>
  <c r="F15" i="2"/>
  <c r="F17" i="2" s="1"/>
  <c r="H9" i="2"/>
  <c r="L8" i="2"/>
  <c r="K8" i="2"/>
  <c r="H8" i="2"/>
  <c r="L7" i="2"/>
  <c r="K7" i="2"/>
  <c r="M3" i="2"/>
  <c r="H8" i="1"/>
  <c r="M25" i="5" l="1"/>
  <c r="M24" i="5"/>
  <c r="M23" i="4"/>
  <c r="H13" i="4"/>
  <c r="N24" i="4"/>
  <c r="M24" i="3"/>
  <c r="M9" i="3"/>
  <c r="M11" i="3" s="1"/>
  <c r="F25" i="3"/>
  <c r="F14" i="1"/>
  <c r="M3" i="1"/>
  <c r="M7" i="1"/>
  <c r="F15" i="1"/>
  <c r="L8" i="1"/>
  <c r="L7" i="1"/>
  <c r="K8" i="1"/>
  <c r="K7" i="1"/>
  <c r="H9" i="1"/>
  <c r="H14" i="5" l="1"/>
  <c r="L28" i="4"/>
  <c r="M25" i="4"/>
  <c r="H24" i="4"/>
  <c r="Q8" i="4"/>
  <c r="P8" i="4" s="1"/>
  <c r="H17" i="4" s="1"/>
  <c r="H23" i="4" s="1"/>
  <c r="H25" i="4" s="1"/>
  <c r="G25" i="4" s="1"/>
  <c r="G27" i="4" s="1"/>
  <c r="M23" i="3"/>
  <c r="L11" i="3"/>
  <c r="G12" i="2"/>
  <c r="F16" i="1"/>
  <c r="K32" i="5" l="1"/>
  <c r="G16" i="5" s="1"/>
  <c r="N25" i="5"/>
  <c r="G12" i="3"/>
  <c r="N24" i="3" s="1"/>
  <c r="H12" i="2"/>
  <c r="H16" i="2" s="1"/>
  <c r="L9" i="1"/>
  <c r="L29" i="5" l="1"/>
  <c r="M26" i="5"/>
  <c r="G13" i="3"/>
  <c r="H13" i="3" s="1"/>
  <c r="H24" i="3" s="1"/>
  <c r="H12" i="3"/>
  <c r="M25" i="3"/>
  <c r="G10" i="1"/>
  <c r="H10" i="1" s="1"/>
  <c r="H14" i="1" s="1"/>
  <c r="H17" i="2"/>
  <c r="G17" i="2" s="1"/>
  <c r="G19" i="2" s="1"/>
  <c r="H25" i="5" l="1"/>
  <c r="H24" i="5"/>
  <c r="L36" i="5"/>
  <c r="K36" i="5" s="1"/>
  <c r="H20" i="5" s="1"/>
  <c r="H22" i="5" s="1"/>
  <c r="L28" i="3"/>
  <c r="Q8" i="3"/>
  <c r="G17" i="3" s="1"/>
  <c r="H17" i="3" s="1"/>
  <c r="H23" i="3" s="1"/>
  <c r="H25" i="3" s="1"/>
  <c r="G25" i="3" s="1"/>
  <c r="G27" i="3" s="1"/>
  <c r="G11" i="1"/>
  <c r="H11" i="1" s="1"/>
  <c r="H15" i="1" s="1"/>
  <c r="H16" i="1" s="1"/>
  <c r="G16" i="1" s="1"/>
  <c r="H26" i="5" l="1"/>
  <c r="G26" i="5" s="1"/>
  <c r="G28" i="5" s="1"/>
  <c r="G18" i="1"/>
</calcChain>
</file>

<file path=xl/sharedStrings.xml><?xml version="1.0" encoding="utf-8"?>
<sst xmlns="http://schemas.openxmlformats.org/spreadsheetml/2006/main" count="223" uniqueCount="15">
  <si>
    <t>Tipo</t>
  </si>
  <si>
    <t>UFV</t>
  </si>
  <si>
    <t>FACTOR</t>
  </si>
  <si>
    <t>Costo</t>
  </si>
  <si>
    <t>Total</t>
  </si>
  <si>
    <t xml:space="preserve"> </t>
  </si>
  <si>
    <t>ING</t>
  </si>
  <si>
    <t>SAL</t>
  </si>
  <si>
    <t>Cantidad</t>
  </si>
  <si>
    <t>DIFERENCIA</t>
  </si>
  <si>
    <t>CANT</t>
  </si>
  <si>
    <t>PP</t>
  </si>
  <si>
    <t>SV</t>
  </si>
  <si>
    <t>INICIAL</t>
  </si>
  <si>
    <t>EN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</si>
</sst>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0000"/>
    <numFmt numFmtId="166" formatCode="0.00000"/>
    <numFmt numFmtId="167" formatCode="0.0"/>
    <numFmt numFmtId="168" formatCode="#,##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8" fontId="0" fillId="0" borderId="0" xfId="0" applyNumberFormat="1"/>
    <xf numFmtId="0" fontId="1" fillId="2" borderId="0" xfId="0" applyFont="1" applyFill="1"/>
    <xf numFmtId="0" fontId="0" fillId="2" borderId="0" xfId="0" applyFill="1"/>
    <xf numFmtId="165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3" borderId="0" xfId="0" applyFill="1"/>
    <xf numFmtId="14" fontId="0" fillId="0" borderId="0" xfId="0" applyNumberFormat="1"/>
    <xf numFmtId="0" fontId="2" fillId="0" borderId="0" xfId="0" applyFont="1" applyAlignment="1">
      <alignment horizontal="center"/>
    </xf>
    <xf numFmtId="164" fontId="0" fillId="2" borderId="0" xfId="0" applyNumberFormat="1" applyFill="1"/>
    <xf numFmtId="0" fontId="0" fillId="4" borderId="0" xfId="0" applyFill="1"/>
    <xf numFmtId="14" fontId="0" fillId="5" borderId="0" xfId="0" applyNumberFormat="1" applyFill="1"/>
    <xf numFmtId="0" fontId="1" fillId="5" borderId="0" xfId="0" applyFont="1" applyFill="1"/>
    <xf numFmtId="0" fontId="0" fillId="5" borderId="0" xfId="0" applyFill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workbookViewId="0">
      <selection activeCell="G11" sqref="G11"/>
    </sheetView>
  </sheetViews>
  <sheetFormatPr baseColWidth="10" defaultRowHeight="15" x14ac:dyDescent="0.25"/>
  <cols>
    <col min="4" max="4" width="12.28515625" customWidth="1"/>
    <col min="8" max="8" width="12" bestFit="1" customWidth="1"/>
  </cols>
  <sheetData>
    <row r="1" spans="2:16" x14ac:dyDescent="0.25">
      <c r="K1" t="s">
        <v>5</v>
      </c>
      <c r="L1" s="3" t="s">
        <v>1</v>
      </c>
      <c r="M1">
        <v>2.3912900000000001</v>
      </c>
    </row>
    <row r="2" spans="2:16" x14ac:dyDescent="0.25">
      <c r="M2">
        <v>2.3914200000000001</v>
      </c>
    </row>
    <row r="3" spans="2:16" x14ac:dyDescent="0.25">
      <c r="L3" s="3" t="s">
        <v>2</v>
      </c>
      <c r="M3">
        <f>M2/M1</f>
        <v>1.0000543639625474</v>
      </c>
    </row>
    <row r="7" spans="2:16" x14ac:dyDescent="0.25">
      <c r="D7" t="s">
        <v>5</v>
      </c>
      <c r="E7" s="3" t="s">
        <v>0</v>
      </c>
      <c r="F7" s="3" t="s">
        <v>8</v>
      </c>
      <c r="G7" s="3" t="s">
        <v>3</v>
      </c>
      <c r="H7" s="3" t="s">
        <v>4</v>
      </c>
      <c r="K7">
        <f>F8</f>
        <v>5000</v>
      </c>
      <c r="L7">
        <f>G8</f>
        <v>15.232200000000001</v>
      </c>
      <c r="M7">
        <f>ROUND((K7*L7),2)</f>
        <v>76161</v>
      </c>
    </row>
    <row r="8" spans="2:16" x14ac:dyDescent="0.25">
      <c r="E8" s="3" t="s">
        <v>6</v>
      </c>
      <c r="F8">
        <v>5000</v>
      </c>
      <c r="G8" s="2">
        <v>15.232200000000001</v>
      </c>
      <c r="H8">
        <f>F8*G8</f>
        <v>76161</v>
      </c>
      <c r="K8">
        <f>F9</f>
        <v>2000</v>
      </c>
      <c r="L8">
        <f>G9</f>
        <v>15.3322</v>
      </c>
      <c r="M8">
        <f>ROUND((K8*L8),2)</f>
        <v>30664.400000000001</v>
      </c>
    </row>
    <row r="9" spans="2:16" x14ac:dyDescent="0.25">
      <c r="E9" s="3" t="s">
        <v>6</v>
      </c>
      <c r="F9">
        <v>2000</v>
      </c>
      <c r="G9" s="2">
        <v>15.3322</v>
      </c>
      <c r="H9">
        <f>F9*G9</f>
        <v>30664.400000000001</v>
      </c>
      <c r="K9">
        <f>SUM(K7:K8)</f>
        <v>7000</v>
      </c>
      <c r="L9">
        <f>ROUND((M9/K9),6)</f>
        <v>15.260771</v>
      </c>
      <c r="M9">
        <f>SUM(M7:M8)</f>
        <v>106825.4</v>
      </c>
    </row>
    <row r="10" spans="2:16" x14ac:dyDescent="0.25">
      <c r="B10" t="s">
        <v>5</v>
      </c>
      <c r="C10" t="s">
        <v>5</v>
      </c>
      <c r="D10" s="4">
        <v>4.1666666666666664E-2</v>
      </c>
      <c r="E10" s="5" t="s">
        <v>1</v>
      </c>
      <c r="F10" s="6">
        <v>0</v>
      </c>
      <c r="G10" s="7">
        <f>ROUND((L9*M3),6)</f>
        <v>15.261601000000001</v>
      </c>
      <c r="H10" s="6">
        <f>K9*(G10-L9)</f>
        <v>5.8100000000038676</v>
      </c>
    </row>
    <row r="11" spans="2:16" x14ac:dyDescent="0.25">
      <c r="E11" s="3" t="s">
        <v>7</v>
      </c>
      <c r="F11">
        <v>500</v>
      </c>
      <c r="G11" s="2">
        <f>G10</f>
        <v>15.261601000000001</v>
      </c>
      <c r="H11">
        <f>F11*G11</f>
        <v>7630.8005000000003</v>
      </c>
      <c r="K11" t="s">
        <v>5</v>
      </c>
      <c r="L11" t="s">
        <v>5</v>
      </c>
      <c r="M11" t="s">
        <v>5</v>
      </c>
    </row>
    <row r="12" spans="2:16" x14ac:dyDescent="0.25">
      <c r="E12" s="3"/>
      <c r="G12" s="2"/>
      <c r="L12" t="s">
        <v>5</v>
      </c>
      <c r="M12" t="s">
        <v>5</v>
      </c>
      <c r="O12" t="s">
        <v>5</v>
      </c>
      <c r="P12" s="2" t="s">
        <v>5</v>
      </c>
    </row>
    <row r="13" spans="2:16" x14ac:dyDescent="0.25">
      <c r="E13" s="3"/>
      <c r="G13" s="2"/>
      <c r="K13" t="s">
        <v>5</v>
      </c>
      <c r="L13" s="2" t="s">
        <v>5</v>
      </c>
      <c r="P13" t="s">
        <v>5</v>
      </c>
    </row>
    <row r="14" spans="2:16" x14ac:dyDescent="0.25">
      <c r="E14" s="3" t="s">
        <v>6</v>
      </c>
      <c r="F14">
        <f>SUM(F8:F10)</f>
        <v>7000</v>
      </c>
      <c r="G14" s="2"/>
      <c r="H14">
        <f>SUM(H8:H10)</f>
        <v>106831.20999999999</v>
      </c>
      <c r="L14" t="s">
        <v>5</v>
      </c>
      <c r="O14" t="s">
        <v>5</v>
      </c>
      <c r="P14" t="s">
        <v>5</v>
      </c>
    </row>
    <row r="15" spans="2:16" x14ac:dyDescent="0.25">
      <c r="E15" s="3" t="s">
        <v>7</v>
      </c>
      <c r="F15">
        <f>F11</f>
        <v>500</v>
      </c>
      <c r="G15" s="2"/>
      <c r="H15">
        <f>H11</f>
        <v>7630.8005000000003</v>
      </c>
      <c r="M15" t="s">
        <v>5</v>
      </c>
    </row>
    <row r="16" spans="2:16" x14ac:dyDescent="0.25">
      <c r="E16" s="3"/>
      <c r="F16">
        <f>F14-F15</f>
        <v>6500</v>
      </c>
      <c r="G16" s="2">
        <f>ROUND((H16/F16),6)</f>
        <v>15.261601000000001</v>
      </c>
      <c r="H16">
        <f>H14-H15</f>
        <v>99200.409499999994</v>
      </c>
      <c r="L16" t="s">
        <v>5</v>
      </c>
      <c r="P16" s="2" t="s">
        <v>5</v>
      </c>
    </row>
    <row r="17" spans="5:10" x14ac:dyDescent="0.25">
      <c r="E17" s="3"/>
      <c r="G17" s="2"/>
    </row>
    <row r="18" spans="5:10" x14ac:dyDescent="0.25">
      <c r="E18" s="3"/>
      <c r="F18" t="s">
        <v>9</v>
      </c>
      <c r="G18" s="2">
        <f>G11-G16</f>
        <v>0</v>
      </c>
      <c r="H18" t="s">
        <v>5</v>
      </c>
    </row>
    <row r="19" spans="5:10" x14ac:dyDescent="0.25">
      <c r="E19" s="3"/>
      <c r="G19" s="2"/>
      <c r="H19" t="s">
        <v>5</v>
      </c>
    </row>
    <row r="20" spans="5:10" x14ac:dyDescent="0.25">
      <c r="E20" s="3"/>
      <c r="G20" s="2"/>
      <c r="H20" t="s">
        <v>5</v>
      </c>
    </row>
    <row r="21" spans="5:10" x14ac:dyDescent="0.25">
      <c r="E21" s="3"/>
      <c r="G21" s="2"/>
      <c r="I21" s="1" t="s">
        <v>5</v>
      </c>
      <c r="J21" t="s">
        <v>5</v>
      </c>
    </row>
    <row r="22" spans="5:10" x14ac:dyDescent="0.25">
      <c r="G22" s="2"/>
    </row>
    <row r="23" spans="5:10" x14ac:dyDescent="0.25">
      <c r="G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workbookViewId="0">
      <selection activeCell="G12" sqref="G12"/>
    </sheetView>
  </sheetViews>
  <sheetFormatPr baseColWidth="10" defaultRowHeight="15" x14ac:dyDescent="0.25"/>
  <sheetData>
    <row r="1" spans="2:16" x14ac:dyDescent="0.25">
      <c r="K1" t="s">
        <v>5</v>
      </c>
      <c r="L1" s="3" t="s">
        <v>1</v>
      </c>
      <c r="M1" s="10">
        <v>2.1000999999999999</v>
      </c>
      <c r="N1" s="10">
        <v>2.1000999999999999</v>
      </c>
    </row>
    <row r="2" spans="2:16" x14ac:dyDescent="0.25">
      <c r="M2">
        <v>2.1101000000000001</v>
      </c>
      <c r="N2" s="8">
        <v>2.1101000000000001</v>
      </c>
    </row>
    <row r="3" spans="2:16" x14ac:dyDescent="0.25">
      <c r="L3" s="3" t="s">
        <v>2</v>
      </c>
      <c r="M3">
        <f>M2/M1</f>
        <v>1.0047616780153328</v>
      </c>
    </row>
    <row r="7" spans="2:16" x14ac:dyDescent="0.25">
      <c r="D7" t="s">
        <v>5</v>
      </c>
      <c r="E7" s="3" t="s">
        <v>0</v>
      </c>
      <c r="F7" s="3" t="s">
        <v>8</v>
      </c>
      <c r="G7" s="3" t="s">
        <v>3</v>
      </c>
      <c r="H7" s="3" t="s">
        <v>4</v>
      </c>
      <c r="K7">
        <f>F8</f>
        <v>600</v>
      </c>
      <c r="L7">
        <f>G8</f>
        <v>7.5</v>
      </c>
      <c r="M7">
        <f>ROUND((K7*L7),2)</f>
        <v>4500</v>
      </c>
    </row>
    <row r="8" spans="2:16" x14ac:dyDescent="0.25">
      <c r="C8">
        <v>1</v>
      </c>
      <c r="E8" s="3" t="s">
        <v>6</v>
      </c>
      <c r="F8">
        <v>600</v>
      </c>
      <c r="G8" s="2">
        <v>7.5</v>
      </c>
      <c r="H8">
        <f>F8*G8</f>
        <v>4500</v>
      </c>
      <c r="K8">
        <f>F9</f>
        <v>50</v>
      </c>
      <c r="L8">
        <f>G9</f>
        <v>7.1</v>
      </c>
      <c r="M8">
        <f>ROUND((K8*L8),2)</f>
        <v>355</v>
      </c>
    </row>
    <row r="9" spans="2:16" x14ac:dyDescent="0.25">
      <c r="C9">
        <v>1</v>
      </c>
      <c r="E9" s="3" t="s">
        <v>6</v>
      </c>
      <c r="F9">
        <v>50</v>
      </c>
      <c r="G9" s="2">
        <v>7.1</v>
      </c>
      <c r="H9">
        <f>F9*G9</f>
        <v>355</v>
      </c>
      <c r="K9">
        <v>80</v>
      </c>
      <c r="L9" s="9">
        <f>G10</f>
        <v>7.9</v>
      </c>
      <c r="M9">
        <f>ROUND((K9*L9),2)</f>
        <v>632</v>
      </c>
    </row>
    <row r="10" spans="2:16" x14ac:dyDescent="0.25">
      <c r="C10">
        <v>1</v>
      </c>
      <c r="E10" s="3" t="s">
        <v>6</v>
      </c>
      <c r="F10">
        <v>80</v>
      </c>
      <c r="G10" s="2">
        <v>7.9</v>
      </c>
      <c r="H10">
        <f>F10*G10</f>
        <v>632</v>
      </c>
      <c r="K10">
        <f>SUM(K7:K9)</f>
        <v>730</v>
      </c>
      <c r="L10">
        <f>M10/K10</f>
        <v>7.5164383561643833</v>
      </c>
      <c r="M10">
        <f>SUM(M7:M9)</f>
        <v>5487</v>
      </c>
    </row>
    <row r="11" spans="2:16" x14ac:dyDescent="0.25">
      <c r="B11" t="s">
        <v>5</v>
      </c>
      <c r="C11">
        <v>2</v>
      </c>
      <c r="D11" s="4">
        <v>4.1666666666666664E-2</v>
      </c>
      <c r="E11" s="5" t="s">
        <v>1</v>
      </c>
      <c r="F11" s="6">
        <v>0</v>
      </c>
      <c r="G11" s="7">
        <f>ROUND((L10*M3),6)</f>
        <v>7.5522289999999996</v>
      </c>
      <c r="H11" s="6">
        <f>K10*(G11-L10)</f>
        <v>26.127169999999946</v>
      </c>
    </row>
    <row r="12" spans="2:16" x14ac:dyDescent="0.25">
      <c r="C12">
        <v>2</v>
      </c>
      <c r="E12" s="3" t="s">
        <v>7</v>
      </c>
      <c r="F12">
        <v>100</v>
      </c>
      <c r="G12" s="2">
        <f>G11</f>
        <v>7.5522289999999996</v>
      </c>
      <c r="H12">
        <f>F12*G12</f>
        <v>755.22289999999998</v>
      </c>
      <c r="K12" t="s">
        <v>5</v>
      </c>
      <c r="L12" t="s">
        <v>5</v>
      </c>
      <c r="M12" t="s">
        <v>5</v>
      </c>
    </row>
    <row r="13" spans="2:16" x14ac:dyDescent="0.25">
      <c r="E13" s="3"/>
      <c r="G13" s="2"/>
      <c r="L13" t="s">
        <v>5</v>
      </c>
      <c r="M13" t="s">
        <v>5</v>
      </c>
      <c r="O13" t="s">
        <v>5</v>
      </c>
      <c r="P13" s="2" t="s">
        <v>5</v>
      </c>
    </row>
    <row r="14" spans="2:16" x14ac:dyDescent="0.25">
      <c r="E14" s="3"/>
      <c r="G14" s="2"/>
      <c r="K14" t="s">
        <v>5</v>
      </c>
      <c r="L14" s="2" t="s">
        <v>5</v>
      </c>
      <c r="P14" t="s">
        <v>5</v>
      </c>
    </row>
    <row r="15" spans="2:16" x14ac:dyDescent="0.25">
      <c r="E15" s="3" t="s">
        <v>6</v>
      </c>
      <c r="F15">
        <f>SUM(F8:F11)</f>
        <v>730</v>
      </c>
      <c r="G15" s="2"/>
      <c r="H15">
        <f>SUM(H8:H11)</f>
        <v>5513.1271699999998</v>
      </c>
      <c r="L15" t="s">
        <v>5</v>
      </c>
      <c r="M15">
        <f>(M10*M3)-M10</f>
        <v>26.127327270130991</v>
      </c>
      <c r="O15" t="s">
        <v>5</v>
      </c>
      <c r="P15" t="s">
        <v>5</v>
      </c>
    </row>
    <row r="16" spans="2:16" x14ac:dyDescent="0.25">
      <c r="E16" s="3" t="s">
        <v>7</v>
      </c>
      <c r="F16">
        <f>F12</f>
        <v>100</v>
      </c>
      <c r="G16" s="2"/>
      <c r="H16">
        <f>H12</f>
        <v>755.22289999999998</v>
      </c>
      <c r="M16">
        <f>(K10*M3)-K10</f>
        <v>3.476024951192926</v>
      </c>
      <c r="N16">
        <f>((M10*M3)-M10)/G11</f>
        <v>3.4595517787041405</v>
      </c>
    </row>
    <row r="17" spans="5:16" x14ac:dyDescent="0.25">
      <c r="E17" s="3"/>
      <c r="F17">
        <f>F15-F16</f>
        <v>630</v>
      </c>
      <c r="G17" s="2">
        <f>ROUND((H17/F17),6)</f>
        <v>7.5522289999999996</v>
      </c>
      <c r="H17">
        <f>H15-H16</f>
        <v>4757.90427</v>
      </c>
      <c r="L17" t="s">
        <v>5</v>
      </c>
      <c r="M17">
        <f>H11/G11</f>
        <v>3.4595309543712123</v>
      </c>
      <c r="P17" s="2" t="s">
        <v>5</v>
      </c>
    </row>
    <row r="18" spans="5:16" x14ac:dyDescent="0.25">
      <c r="E18" s="3"/>
      <c r="G18" s="2"/>
    </row>
    <row r="19" spans="5:16" x14ac:dyDescent="0.25">
      <c r="E19" s="3"/>
      <c r="F19" t="s">
        <v>9</v>
      </c>
      <c r="G19" s="2">
        <f>G12-G17</f>
        <v>0</v>
      </c>
      <c r="H19" t="s">
        <v>5</v>
      </c>
    </row>
    <row r="20" spans="5:16" x14ac:dyDescent="0.25">
      <c r="E20" s="3"/>
      <c r="G20" s="2"/>
      <c r="H20" t="s">
        <v>5</v>
      </c>
      <c r="L20" s="11">
        <f>H11/G11</f>
        <v>3.4595309543712123</v>
      </c>
    </row>
    <row r="21" spans="5:16" x14ac:dyDescent="0.25">
      <c r="E21" s="3"/>
      <c r="G21" s="2"/>
      <c r="H2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9"/>
  <sheetViews>
    <sheetView topLeftCell="B13" workbookViewId="0">
      <selection activeCell="B1" sqref="A1:XFD30"/>
    </sheetView>
  </sheetViews>
  <sheetFormatPr baseColWidth="10" defaultRowHeight="15" x14ac:dyDescent="0.25"/>
  <cols>
    <col min="6" max="6" width="11.85546875" bestFit="1" customWidth="1"/>
    <col min="7" max="7" width="12.5703125" bestFit="1" customWidth="1"/>
    <col min="14" max="14" width="12.140625" bestFit="1" customWidth="1"/>
  </cols>
  <sheetData>
    <row r="2" spans="2:17" x14ac:dyDescent="0.25">
      <c r="K2" t="s">
        <v>5</v>
      </c>
      <c r="L2" s="3" t="s">
        <v>1</v>
      </c>
      <c r="M2" s="10">
        <v>2.1000999999999999</v>
      </c>
      <c r="N2" s="12">
        <v>44866</v>
      </c>
      <c r="O2" s="3" t="s">
        <v>1</v>
      </c>
      <c r="P2">
        <v>2.1101000000000001</v>
      </c>
      <c r="Q2" s="12">
        <v>44867</v>
      </c>
    </row>
    <row r="3" spans="2:17" x14ac:dyDescent="0.25">
      <c r="M3">
        <v>2.1101000000000001</v>
      </c>
      <c r="N3" s="12">
        <v>44867</v>
      </c>
      <c r="P3">
        <v>2.1233</v>
      </c>
      <c r="Q3" s="12">
        <v>44868</v>
      </c>
    </row>
    <row r="4" spans="2:17" x14ac:dyDescent="0.25">
      <c r="L4" s="3" t="s">
        <v>2</v>
      </c>
      <c r="M4" s="15">
        <f>M3/M2</f>
        <v>1.0047616780153328</v>
      </c>
      <c r="O4" s="3" t="s">
        <v>2</v>
      </c>
      <c r="P4">
        <f>P3/P2</f>
        <v>1.0062556276953698</v>
      </c>
    </row>
    <row r="7" spans="2:17" x14ac:dyDescent="0.25">
      <c r="K7" s="13" t="s">
        <v>10</v>
      </c>
      <c r="L7" s="13" t="s">
        <v>11</v>
      </c>
      <c r="M7" s="13" t="s">
        <v>12</v>
      </c>
      <c r="O7" s="13" t="s">
        <v>10</v>
      </c>
      <c r="P7" s="13" t="s">
        <v>11</v>
      </c>
      <c r="Q7" s="13" t="s">
        <v>12</v>
      </c>
    </row>
    <row r="8" spans="2:17" x14ac:dyDescent="0.25">
      <c r="D8" t="s">
        <v>5</v>
      </c>
      <c r="E8" s="3" t="s">
        <v>0</v>
      </c>
      <c r="F8" s="3" t="s">
        <v>8</v>
      </c>
      <c r="G8" s="3" t="s">
        <v>3</v>
      </c>
      <c r="H8" s="3" t="s">
        <v>4</v>
      </c>
      <c r="K8">
        <f>F9</f>
        <v>600</v>
      </c>
      <c r="L8">
        <f>G9</f>
        <v>7.5</v>
      </c>
      <c r="M8">
        <f>ROUND((K8*L8),2)</f>
        <v>4500</v>
      </c>
      <c r="O8">
        <f>(F9+F10+F11+F14+F16)-(F13+F15)</f>
        <v>740</v>
      </c>
      <c r="P8" s="1">
        <f>ROUND((Q8/O8),6)</f>
        <v>7.5152539999999997</v>
      </c>
      <c r="Q8">
        <f>(SUM(H9:H12)+H14+H16)-(H13+H15)</f>
        <v>5561.2880299999997</v>
      </c>
    </row>
    <row r="9" spans="2:17" x14ac:dyDescent="0.25">
      <c r="D9" s="12">
        <v>44866</v>
      </c>
      <c r="E9" s="3" t="s">
        <v>6</v>
      </c>
      <c r="F9">
        <v>600</v>
      </c>
      <c r="G9" s="1">
        <v>7.5</v>
      </c>
      <c r="H9">
        <f>F9*G9</f>
        <v>4500</v>
      </c>
      <c r="K9">
        <f>F10</f>
        <v>50</v>
      </c>
      <c r="L9">
        <f>G10</f>
        <v>7.1</v>
      </c>
      <c r="M9">
        <f>ROUND((K9*L9),2)</f>
        <v>355</v>
      </c>
    </row>
    <row r="10" spans="2:17" x14ac:dyDescent="0.25">
      <c r="D10" s="12">
        <v>44866</v>
      </c>
      <c r="E10" s="3" t="s">
        <v>6</v>
      </c>
      <c r="F10">
        <v>50</v>
      </c>
      <c r="G10" s="1">
        <v>7.1</v>
      </c>
      <c r="H10">
        <f>F10*G10</f>
        <v>355</v>
      </c>
      <c r="K10">
        <v>80</v>
      </c>
      <c r="L10" s="9">
        <f>G11</f>
        <v>7.9</v>
      </c>
      <c r="M10">
        <f>ROUND((K10*L10),2)</f>
        <v>632</v>
      </c>
    </row>
    <row r="11" spans="2:17" x14ac:dyDescent="0.25">
      <c r="D11" s="12">
        <v>44866</v>
      </c>
      <c r="E11" s="3" t="s">
        <v>6</v>
      </c>
      <c r="F11">
        <v>80</v>
      </c>
      <c r="G11" s="1">
        <v>7.9</v>
      </c>
      <c r="H11">
        <f>F11*G11</f>
        <v>632</v>
      </c>
      <c r="K11">
        <f>SUM(K8:K10)</f>
        <v>730</v>
      </c>
      <c r="L11" s="1">
        <f>M11/K11</f>
        <v>7.5164383561643833</v>
      </c>
      <c r="M11">
        <f>SUM(M8:M10)</f>
        <v>5487</v>
      </c>
    </row>
    <row r="12" spans="2:17" x14ac:dyDescent="0.25">
      <c r="B12" t="s">
        <v>5</v>
      </c>
      <c r="C12" s="12">
        <v>44867</v>
      </c>
      <c r="D12" s="4">
        <v>4.1666666666666664E-2</v>
      </c>
      <c r="E12" s="5" t="s">
        <v>1</v>
      </c>
      <c r="F12" s="6">
        <v>0</v>
      </c>
      <c r="G12" s="14">
        <f>ROUND((L11*M4),6)</f>
        <v>7.5522289999999996</v>
      </c>
      <c r="H12" s="6">
        <f>K11*(G12-L11)</f>
        <v>26.127169999999946</v>
      </c>
    </row>
    <row r="13" spans="2:17" x14ac:dyDescent="0.25">
      <c r="D13" s="12">
        <v>44867</v>
      </c>
      <c r="E13" s="3" t="s">
        <v>7</v>
      </c>
      <c r="F13">
        <v>100</v>
      </c>
      <c r="G13" s="1">
        <f>G12</f>
        <v>7.5522289999999996</v>
      </c>
      <c r="H13">
        <f>F13*G13</f>
        <v>755.22289999999998</v>
      </c>
      <c r="K13" t="s">
        <v>5</v>
      </c>
      <c r="L13" t="s">
        <v>5</v>
      </c>
      <c r="M13" t="s">
        <v>5</v>
      </c>
    </row>
    <row r="14" spans="2:17" x14ac:dyDescent="0.25">
      <c r="D14" s="12">
        <v>44867</v>
      </c>
      <c r="E14" s="3" t="s">
        <v>6</v>
      </c>
      <c r="F14">
        <v>50</v>
      </c>
      <c r="G14" s="1">
        <v>7</v>
      </c>
      <c r="H14">
        <f>F14*G14</f>
        <v>350</v>
      </c>
      <c r="L14" t="s">
        <v>5</v>
      </c>
      <c r="M14" t="s">
        <v>5</v>
      </c>
      <c r="O14" t="s">
        <v>5</v>
      </c>
      <c r="P14" s="2" t="s">
        <v>5</v>
      </c>
    </row>
    <row r="15" spans="2:17" x14ac:dyDescent="0.25">
      <c r="D15" s="12">
        <v>44867</v>
      </c>
      <c r="E15" s="3" t="s">
        <v>7</v>
      </c>
      <c r="F15">
        <v>10</v>
      </c>
      <c r="G15" s="1">
        <v>7.5116240000000003</v>
      </c>
      <c r="H15">
        <f>F15*G15</f>
        <v>75.116240000000005</v>
      </c>
      <c r="K15" t="s">
        <v>5</v>
      </c>
      <c r="L15" s="2" t="s">
        <v>5</v>
      </c>
      <c r="P15" t="s">
        <v>5</v>
      </c>
    </row>
    <row r="16" spans="2:17" x14ac:dyDescent="0.25">
      <c r="D16" s="12">
        <v>44867</v>
      </c>
      <c r="E16" s="3" t="s">
        <v>6</v>
      </c>
      <c r="F16">
        <v>70</v>
      </c>
      <c r="G16" s="1">
        <v>7.55</v>
      </c>
      <c r="H16">
        <f>F16*G16</f>
        <v>528.5</v>
      </c>
      <c r="L16" s="2"/>
    </row>
    <row r="17" spans="3:16" x14ac:dyDescent="0.25">
      <c r="C17" s="12">
        <v>44868</v>
      </c>
      <c r="D17" s="4">
        <v>4.1666666666666664E-2</v>
      </c>
      <c r="E17" s="5" t="s">
        <v>1</v>
      </c>
      <c r="F17" s="6">
        <v>0</v>
      </c>
      <c r="G17" s="14">
        <f>P8*P4</f>
        <v>7.5622666310601385</v>
      </c>
      <c r="H17" s="6">
        <f>(G17-P8)*O8</f>
        <v>34.789346984502757</v>
      </c>
      <c r="L17" s="2"/>
    </row>
    <row r="18" spans="3:16" x14ac:dyDescent="0.25">
      <c r="D18" s="12">
        <v>44868</v>
      </c>
      <c r="E18" s="3" t="s">
        <v>6</v>
      </c>
      <c r="F18">
        <v>350</v>
      </c>
      <c r="G18" s="2">
        <v>7.15</v>
      </c>
      <c r="H18">
        <f>F18*G18</f>
        <v>2502.5</v>
      </c>
      <c r="L18" s="2"/>
    </row>
    <row r="19" spans="3:16" x14ac:dyDescent="0.25">
      <c r="D19" s="12">
        <v>44868</v>
      </c>
      <c r="E19" s="3" t="s">
        <v>7</v>
      </c>
      <c r="F19">
        <v>230</v>
      </c>
      <c r="G19" s="2"/>
      <c r="L19" s="2"/>
    </row>
    <row r="20" spans="3:16" x14ac:dyDescent="0.25">
      <c r="E20" s="3"/>
      <c r="G20" s="2"/>
      <c r="L20" s="2"/>
    </row>
    <row r="21" spans="3:16" x14ac:dyDescent="0.25">
      <c r="E21" s="3"/>
      <c r="G21" s="2"/>
      <c r="L21" s="2"/>
    </row>
    <row r="22" spans="3:16" x14ac:dyDescent="0.25">
      <c r="E22" s="3"/>
      <c r="G22" s="2"/>
      <c r="L22" s="2"/>
    </row>
    <row r="23" spans="3:16" x14ac:dyDescent="0.25">
      <c r="E23" s="3" t="s">
        <v>6</v>
      </c>
      <c r="F23">
        <f>F9+F10+F11+F14+F16+F18+F12</f>
        <v>1200</v>
      </c>
      <c r="G23" s="2"/>
      <c r="H23">
        <f>SUM(H9:H12)+H14+H16+H18+H17</f>
        <v>8928.9165169845019</v>
      </c>
      <c r="L23" t="s">
        <v>5</v>
      </c>
      <c r="M23">
        <f>(M11*M4)-M11</f>
        <v>26.127327270130991</v>
      </c>
      <c r="O23" t="s">
        <v>5</v>
      </c>
      <c r="P23" t="s">
        <v>5</v>
      </c>
    </row>
    <row r="24" spans="3:16" x14ac:dyDescent="0.25">
      <c r="E24" s="3" t="s">
        <v>7</v>
      </c>
      <c r="F24">
        <f>F13+F15</f>
        <v>110</v>
      </c>
      <c r="G24" s="2"/>
      <c r="H24">
        <f>H13+H15</f>
        <v>830.33914000000004</v>
      </c>
      <c r="M24">
        <f>(K11*M4)-K11</f>
        <v>3.476024951192926</v>
      </c>
      <c r="N24">
        <f>((M11*M4)-M11)/G12</f>
        <v>3.4595517787041405</v>
      </c>
    </row>
    <row r="25" spans="3:16" x14ac:dyDescent="0.25">
      <c r="E25" s="3"/>
      <c r="F25">
        <f>F23-F24</f>
        <v>1090</v>
      </c>
      <c r="G25" s="2">
        <f>ROUND((H25/F25),6)</f>
        <v>7.429888</v>
      </c>
      <c r="H25">
        <f>H23-H24</f>
        <v>8098.5773769845018</v>
      </c>
      <c r="L25" t="s">
        <v>5</v>
      </c>
      <c r="M25">
        <f>H12/G12</f>
        <v>3.4595309543712123</v>
      </c>
      <c r="P25" s="2" t="s">
        <v>5</v>
      </c>
    </row>
    <row r="26" spans="3:16" x14ac:dyDescent="0.25">
      <c r="E26" s="3"/>
      <c r="G26" s="2"/>
    </row>
    <row r="27" spans="3:16" x14ac:dyDescent="0.25">
      <c r="E27" s="3"/>
      <c r="F27" t="s">
        <v>9</v>
      </c>
      <c r="G27" s="2">
        <f>G13-G25</f>
        <v>0.12234099999999959</v>
      </c>
      <c r="H27" t="s">
        <v>5</v>
      </c>
    </row>
    <row r="28" spans="3:16" x14ac:dyDescent="0.25">
      <c r="E28" s="3"/>
      <c r="G28" s="2"/>
      <c r="H28" t="s">
        <v>5</v>
      </c>
      <c r="L28" s="11">
        <f>H12/G12</f>
        <v>3.4595309543712123</v>
      </c>
    </row>
    <row r="29" spans="3:16" x14ac:dyDescent="0.25">
      <c r="E29" s="3"/>
      <c r="G29" s="2"/>
      <c r="H29" t="s">
        <v>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5"/>
  <sheetViews>
    <sheetView topLeftCell="B1" workbookViewId="0">
      <selection activeCell="G13" sqref="G13"/>
    </sheetView>
  </sheetViews>
  <sheetFormatPr baseColWidth="10" defaultRowHeight="15" x14ac:dyDescent="0.25"/>
  <cols>
    <col min="7" max="7" width="13.5703125" bestFit="1" customWidth="1"/>
  </cols>
  <sheetData>
    <row r="2" spans="2:17" x14ac:dyDescent="0.25">
      <c r="K2" t="s">
        <v>5</v>
      </c>
      <c r="L2" s="3" t="s">
        <v>1</v>
      </c>
      <c r="M2" s="10">
        <v>2.3980999999999999</v>
      </c>
      <c r="N2" s="12">
        <v>44866</v>
      </c>
      <c r="O2" s="3" t="s">
        <v>1</v>
      </c>
      <c r="P2">
        <v>2.3982199999999998</v>
      </c>
      <c r="Q2" s="12">
        <v>44867</v>
      </c>
    </row>
    <row r="3" spans="2:17" x14ac:dyDescent="0.25">
      <c r="M3">
        <v>2.3982199999999998</v>
      </c>
      <c r="N3" s="12">
        <v>44867</v>
      </c>
      <c r="P3">
        <v>2.3983400000000001</v>
      </c>
      <c r="Q3" s="12">
        <v>44868</v>
      </c>
    </row>
    <row r="4" spans="2:17" x14ac:dyDescent="0.25">
      <c r="L4" s="3" t="s">
        <v>2</v>
      </c>
      <c r="M4" s="15">
        <f>M3/M2</f>
        <v>1.000050039614695</v>
      </c>
      <c r="O4" s="3" t="s">
        <v>2</v>
      </c>
      <c r="P4">
        <f>P3/P2</f>
        <v>1.0000500371108574</v>
      </c>
    </row>
    <row r="7" spans="2:17" x14ac:dyDescent="0.25">
      <c r="K7" s="13" t="s">
        <v>10</v>
      </c>
      <c r="L7" s="13" t="s">
        <v>11</v>
      </c>
      <c r="M7" s="13" t="s">
        <v>12</v>
      </c>
      <c r="O7" s="13" t="s">
        <v>10</v>
      </c>
      <c r="P7" s="13" t="s">
        <v>11</v>
      </c>
      <c r="Q7" s="13" t="s">
        <v>12</v>
      </c>
    </row>
    <row r="8" spans="2:17" x14ac:dyDescent="0.25">
      <c r="D8" t="s">
        <v>5</v>
      </c>
      <c r="E8" s="3" t="s">
        <v>0</v>
      </c>
      <c r="F8" s="3" t="s">
        <v>8</v>
      </c>
      <c r="G8" s="3" t="s">
        <v>3</v>
      </c>
      <c r="H8" s="3" t="s">
        <v>4</v>
      </c>
      <c r="K8">
        <f t="shared" ref="K8:L10" si="0">F9</f>
        <v>150</v>
      </c>
      <c r="L8">
        <f t="shared" si="0"/>
        <v>255</v>
      </c>
      <c r="M8">
        <f>ROUND((K8*L8),2)</f>
        <v>38250</v>
      </c>
      <c r="O8">
        <f>(F9+F10+F11+F14+F16)-(F13+F15)</f>
        <v>813</v>
      </c>
      <c r="P8" s="1">
        <f>ROUND((Q8/O8),6)</f>
        <v>253.59951799999999</v>
      </c>
      <c r="Q8">
        <f>(SUM(H9:H12)+H14+H16)-(H13+H15)</f>
        <v>206176.40805052628</v>
      </c>
    </row>
    <row r="9" spans="2:17" x14ac:dyDescent="0.25">
      <c r="D9" s="12">
        <v>44866</v>
      </c>
      <c r="E9" s="3" t="s">
        <v>6</v>
      </c>
      <c r="F9">
        <v>150</v>
      </c>
      <c r="G9" s="1">
        <v>255</v>
      </c>
      <c r="H9">
        <f>F9*G9</f>
        <v>38250</v>
      </c>
      <c r="K9">
        <f t="shared" si="0"/>
        <v>40</v>
      </c>
      <c r="L9">
        <f t="shared" si="0"/>
        <v>248</v>
      </c>
      <c r="M9">
        <f>ROUND((K9*L9),2)</f>
        <v>9920</v>
      </c>
    </row>
    <row r="10" spans="2:17" x14ac:dyDescent="0.25">
      <c r="D10" s="12">
        <v>44866</v>
      </c>
      <c r="E10" s="3" t="s">
        <v>6</v>
      </c>
      <c r="F10">
        <v>40</v>
      </c>
      <c r="G10" s="1">
        <v>248</v>
      </c>
      <c r="H10">
        <f>F10*G10</f>
        <v>9920</v>
      </c>
      <c r="K10">
        <f t="shared" si="0"/>
        <v>500</v>
      </c>
      <c r="L10" s="9">
        <f t="shared" si="0"/>
        <v>255.5</v>
      </c>
      <c r="M10">
        <f>ROUND((K10*L10),2)</f>
        <v>127750</v>
      </c>
    </row>
    <row r="11" spans="2:17" x14ac:dyDescent="0.25">
      <c r="D11" s="12">
        <v>44866</v>
      </c>
      <c r="E11" s="3" t="s">
        <v>6</v>
      </c>
      <c r="F11">
        <v>500</v>
      </c>
      <c r="G11" s="1">
        <v>255.5</v>
      </c>
      <c r="H11">
        <f>F11*G11</f>
        <v>127750</v>
      </c>
      <c r="K11">
        <f>SUM(K8:K10)</f>
        <v>690</v>
      </c>
      <c r="L11" s="1">
        <f>M11/K11</f>
        <v>254.95652173913044</v>
      </c>
      <c r="M11">
        <f>SUM(M8:M10)</f>
        <v>175920</v>
      </c>
    </row>
    <row r="12" spans="2:17" x14ac:dyDescent="0.25">
      <c r="B12" t="s">
        <v>5</v>
      </c>
      <c r="C12" s="12">
        <v>44867</v>
      </c>
      <c r="D12" s="4">
        <v>4.1666666666666664E-2</v>
      </c>
      <c r="E12" s="5" t="s">
        <v>1</v>
      </c>
      <c r="F12" s="6">
        <v>0</v>
      </c>
      <c r="G12" s="14">
        <f>ROUND((L11*M4),6)</f>
        <v>254.96928</v>
      </c>
      <c r="H12" s="6">
        <f>K11*(G12-L11)</f>
        <v>8.803199999996707</v>
      </c>
    </row>
    <row r="13" spans="2:17" x14ac:dyDescent="0.25">
      <c r="D13" s="12">
        <v>44867</v>
      </c>
      <c r="E13" s="3" t="s">
        <v>7</v>
      </c>
      <c r="F13">
        <v>100</v>
      </c>
      <c r="G13" s="1">
        <f>G12</f>
        <v>254.96928</v>
      </c>
      <c r="H13">
        <f>F13*G13</f>
        <v>25496.928</v>
      </c>
      <c r="K13" t="s">
        <v>5</v>
      </c>
      <c r="L13" t="s">
        <v>5</v>
      </c>
      <c r="M13" t="s">
        <v>5</v>
      </c>
    </row>
    <row r="14" spans="2:17" x14ac:dyDescent="0.25">
      <c r="D14" s="12">
        <v>44867</v>
      </c>
      <c r="E14" s="3" t="s">
        <v>6</v>
      </c>
      <c r="F14">
        <v>75</v>
      </c>
      <c r="G14" s="1">
        <v>261</v>
      </c>
      <c r="H14">
        <f>F14*G14</f>
        <v>19575</v>
      </c>
      <c r="L14" t="s">
        <v>5</v>
      </c>
      <c r="M14" t="s">
        <v>5</v>
      </c>
      <c r="O14" t="s">
        <v>5</v>
      </c>
      <c r="P14" s="2" t="s">
        <v>5</v>
      </c>
    </row>
    <row r="15" spans="2:17" x14ac:dyDescent="0.25">
      <c r="D15" s="12">
        <v>44867</v>
      </c>
      <c r="E15" s="3" t="s">
        <v>7</v>
      </c>
      <c r="F15">
        <v>147</v>
      </c>
      <c r="G15" s="1">
        <f>K31</f>
        <v>255.64943639097746</v>
      </c>
      <c r="H15">
        <f>F15*G15</f>
        <v>37580.467149473683</v>
      </c>
      <c r="K15" t="s">
        <v>5</v>
      </c>
      <c r="L15" s="2" t="s">
        <v>5</v>
      </c>
      <c r="P15" t="s">
        <v>5</v>
      </c>
    </row>
    <row r="16" spans="2:17" x14ac:dyDescent="0.25">
      <c r="D16" s="12">
        <v>44867</v>
      </c>
      <c r="E16" s="3" t="s">
        <v>6</v>
      </c>
      <c r="F16">
        <v>295</v>
      </c>
      <c r="G16" s="1">
        <v>250</v>
      </c>
      <c r="H16">
        <f>F16*G16</f>
        <v>73750</v>
      </c>
      <c r="L16" s="2"/>
    </row>
    <row r="17" spans="3:16" x14ac:dyDescent="0.25">
      <c r="C17" s="12">
        <v>44868</v>
      </c>
      <c r="D17" s="4">
        <v>4.1666666666666664E-2</v>
      </c>
      <c r="E17" s="5" t="s">
        <v>1</v>
      </c>
      <c r="F17" s="6">
        <v>0</v>
      </c>
      <c r="G17" s="14">
        <f>P8*P4</f>
        <v>253.61220738719553</v>
      </c>
      <c r="H17" s="6">
        <f>(G17-P8)*O8</f>
        <v>10.316471789970791</v>
      </c>
      <c r="L17" s="2"/>
    </row>
    <row r="18" spans="3:16" x14ac:dyDescent="0.25">
      <c r="D18" s="12">
        <v>44868</v>
      </c>
      <c r="E18" s="3" t="s">
        <v>6</v>
      </c>
      <c r="F18">
        <v>169</v>
      </c>
      <c r="G18" s="1">
        <v>241</v>
      </c>
      <c r="H18">
        <f>F18*G18</f>
        <v>40729</v>
      </c>
      <c r="L18" s="2"/>
    </row>
    <row r="19" spans="3:16" x14ac:dyDescent="0.25">
      <c r="D19" s="12">
        <v>44868</v>
      </c>
      <c r="E19" s="3" t="s">
        <v>7</v>
      </c>
      <c r="F19">
        <v>230</v>
      </c>
      <c r="G19" s="1">
        <f>K35</f>
        <v>251.44167466630984</v>
      </c>
      <c r="H19">
        <f>F19*G19</f>
        <v>57831.58517325126</v>
      </c>
      <c r="L19" s="2"/>
    </row>
    <row r="20" spans="3:16" x14ac:dyDescent="0.25">
      <c r="E20" s="3"/>
      <c r="G20" s="2"/>
      <c r="L20" s="2"/>
    </row>
    <row r="21" spans="3:16" x14ac:dyDescent="0.25">
      <c r="E21" s="3"/>
      <c r="G21" s="2"/>
      <c r="H21">
        <f>(H9+H10+H12-H13+H14-H15+H16+H17+H18-H19)</f>
        <v>61334.139349065015</v>
      </c>
      <c r="L21" s="2"/>
    </row>
    <row r="22" spans="3:16" x14ac:dyDescent="0.25">
      <c r="E22" s="3"/>
      <c r="G22" s="2"/>
      <c r="L22" s="2"/>
    </row>
    <row r="23" spans="3:16" x14ac:dyDescent="0.25">
      <c r="E23" s="3" t="s">
        <v>6</v>
      </c>
      <c r="F23">
        <f>F9+F10+F11+F14+F16+F18+F12</f>
        <v>1229</v>
      </c>
      <c r="G23" s="2"/>
      <c r="H23">
        <f>SUM(H9:H12)+H14+H16+H18+H17</f>
        <v>309993.11967178993</v>
      </c>
      <c r="L23" t="s">
        <v>5</v>
      </c>
      <c r="M23">
        <f>(M11*M4)-M11</f>
        <v>8.8029690171242692</v>
      </c>
      <c r="O23" t="s">
        <v>5</v>
      </c>
      <c r="P23" t="s">
        <v>5</v>
      </c>
    </row>
    <row r="24" spans="3:16" x14ac:dyDescent="0.25">
      <c r="E24" s="3" t="s">
        <v>7</v>
      </c>
      <c r="F24">
        <f>F13+F15</f>
        <v>247</v>
      </c>
      <c r="G24" s="2"/>
      <c r="H24">
        <f>H13+H15</f>
        <v>63077.395149473683</v>
      </c>
      <c r="M24">
        <f>(K11*M4)-K11</f>
        <v>3.4527334139511368E-2</v>
      </c>
      <c r="N24">
        <f>((M11*M4)-M11)/G12</f>
        <v>3.4525606446095265E-2</v>
      </c>
    </row>
    <row r="25" spans="3:16" x14ac:dyDescent="0.25">
      <c r="E25" s="3"/>
      <c r="F25">
        <f>F23-F24</f>
        <v>982</v>
      </c>
      <c r="G25" s="2">
        <f>ROUND((H25/F25),6)</f>
        <v>251.441675</v>
      </c>
      <c r="H25">
        <f>H23-H24</f>
        <v>246915.72452231625</v>
      </c>
      <c r="L25" t="s">
        <v>5</v>
      </c>
      <c r="M25">
        <f>H12/G12</f>
        <v>3.4526512370418531E-2</v>
      </c>
      <c r="P25" s="2" t="s">
        <v>5</v>
      </c>
    </row>
    <row r="26" spans="3:16" x14ac:dyDescent="0.25">
      <c r="E26" s="3"/>
      <c r="G26" s="2"/>
    </row>
    <row r="27" spans="3:16" x14ac:dyDescent="0.25">
      <c r="E27" s="3"/>
      <c r="F27" t="s">
        <v>9</v>
      </c>
      <c r="G27" s="2">
        <f>G13-G25</f>
        <v>3.5276049999999941</v>
      </c>
      <c r="H27" t="s">
        <v>5</v>
      </c>
    </row>
    <row r="28" spans="3:16" x14ac:dyDescent="0.25">
      <c r="E28" s="3"/>
      <c r="G28" s="2"/>
      <c r="H28" t="s">
        <v>5</v>
      </c>
      <c r="L28" s="11">
        <f>H12/G12</f>
        <v>3.4526512370418531E-2</v>
      </c>
    </row>
    <row r="29" spans="3:16" x14ac:dyDescent="0.25">
      <c r="E29" s="3"/>
      <c r="G29" s="2"/>
      <c r="H29" t="s">
        <v>5</v>
      </c>
    </row>
    <row r="31" spans="3:16" x14ac:dyDescent="0.25">
      <c r="J31">
        <f>(F9+F10+F11+F14)-(F13)</f>
        <v>665</v>
      </c>
      <c r="K31">
        <f>L31/J31</f>
        <v>255.64943639097746</v>
      </c>
      <c r="L31">
        <f>(H9+H10+H11+H12+H14)-H13</f>
        <v>170006.87520000001</v>
      </c>
    </row>
    <row r="35" spans="10:12" x14ac:dyDescent="0.25">
      <c r="J35">
        <f>(F9+F10+F11+F12+F14+F16+F18)-(F13+F15)</f>
        <v>982</v>
      </c>
      <c r="K35">
        <f>L35/J35</f>
        <v>251.44167466630984</v>
      </c>
      <c r="L35">
        <f>(H9+H10+H11+H12+H14+H16+H17+H18)-(H13+H15)</f>
        <v>246915.72452231625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tabSelected="1" topLeftCell="D1" workbookViewId="0">
      <selection activeCell="G19" sqref="G19"/>
    </sheetView>
  </sheetViews>
  <sheetFormatPr baseColWidth="10" defaultRowHeight="15" x14ac:dyDescent="0.25"/>
  <cols>
    <col min="7" max="7" width="14.5703125" bestFit="1" customWidth="1"/>
    <col min="8" max="8" width="16.28515625" customWidth="1"/>
    <col min="12" max="13" width="14.5703125" bestFit="1" customWidth="1"/>
    <col min="16" max="16" width="12.5703125" bestFit="1" customWidth="1"/>
    <col min="17" max="17" width="14.5703125" bestFit="1" customWidth="1"/>
  </cols>
  <sheetData>
    <row r="2" spans="2:17" x14ac:dyDescent="0.25">
      <c r="K2" t="s">
        <v>5</v>
      </c>
      <c r="L2" s="3" t="s">
        <v>1</v>
      </c>
      <c r="M2" s="10">
        <v>2.3980999999999999</v>
      </c>
      <c r="N2" s="12">
        <v>44866</v>
      </c>
      <c r="O2" s="3" t="s">
        <v>1</v>
      </c>
      <c r="P2">
        <v>2.3982199999999998</v>
      </c>
      <c r="Q2" s="12">
        <v>44867</v>
      </c>
    </row>
    <row r="3" spans="2:17" x14ac:dyDescent="0.25">
      <c r="M3">
        <v>2.3982199999999998</v>
      </c>
      <c r="N3" s="12">
        <v>44867</v>
      </c>
      <c r="P3">
        <v>2.3983400000000001</v>
      </c>
      <c r="Q3" s="12">
        <v>44868</v>
      </c>
    </row>
    <row r="4" spans="2:17" x14ac:dyDescent="0.25">
      <c r="L4" s="3" t="s">
        <v>2</v>
      </c>
      <c r="M4" s="15">
        <f>M3/M2</f>
        <v>1.000050039614695</v>
      </c>
      <c r="O4" s="3" t="s">
        <v>2</v>
      </c>
      <c r="P4">
        <f>P3/P2</f>
        <v>1.0000500371108574</v>
      </c>
    </row>
    <row r="7" spans="2:17" x14ac:dyDescent="0.25">
      <c r="K7" s="13" t="s">
        <v>10</v>
      </c>
      <c r="L7" s="13" t="s">
        <v>11</v>
      </c>
      <c r="M7" s="13" t="s">
        <v>12</v>
      </c>
      <c r="O7" s="13" t="s">
        <v>10</v>
      </c>
      <c r="P7" s="13" t="s">
        <v>11</v>
      </c>
      <c r="Q7" s="13" t="s">
        <v>12</v>
      </c>
    </row>
    <row r="8" spans="2:17" x14ac:dyDescent="0.25">
      <c r="D8" t="s">
        <v>5</v>
      </c>
      <c r="E8" s="3" t="s">
        <v>0</v>
      </c>
      <c r="F8" s="3" t="s">
        <v>8</v>
      </c>
      <c r="G8" s="3" t="s">
        <v>3</v>
      </c>
      <c r="H8" s="3" t="s">
        <v>4</v>
      </c>
      <c r="K8">
        <f>(F9+F10+F11+F12)</f>
        <v>28</v>
      </c>
      <c r="L8" s="1">
        <f>M8/K8</f>
        <v>56379.85111428571</v>
      </c>
      <c r="M8">
        <f>(H9+H10+H11+H12)</f>
        <v>1578635.8311999999</v>
      </c>
      <c r="O8">
        <f>(F10+F11+F12+F15+F17+F9)-(F14+F16)</f>
        <v>34</v>
      </c>
      <c r="P8" s="1">
        <f>ROUND((Q8/O8),6)</f>
        <v>57168.489182999998</v>
      </c>
      <c r="Q8" s="1">
        <f>(H9+H10+H11+H12+H13+H15+H17)-(H14+H16)</f>
        <v>1943728.6322142857</v>
      </c>
    </row>
    <row r="9" spans="2:17" x14ac:dyDescent="0.25">
      <c r="C9" t="s">
        <v>13</v>
      </c>
      <c r="D9" s="16">
        <v>44773</v>
      </c>
      <c r="E9" s="17" t="s">
        <v>6</v>
      </c>
      <c r="F9" s="17">
        <v>3</v>
      </c>
      <c r="G9" s="17">
        <v>56319.610399999998</v>
      </c>
      <c r="H9" s="18">
        <f>F9*G9</f>
        <v>168958.83119999999</v>
      </c>
      <c r="K9">
        <f>(F9+F10+F11+F12)</f>
        <v>28</v>
      </c>
      <c r="L9" s="1">
        <f>M9/K9</f>
        <v>56382.672339999997</v>
      </c>
      <c r="M9" s="1">
        <f>(H9+H10+H11+H12+H13)</f>
        <v>1578714.82552</v>
      </c>
      <c r="P9" s="1"/>
    </row>
    <row r="10" spans="2:17" x14ac:dyDescent="0.25">
      <c r="D10" s="12">
        <v>44866</v>
      </c>
      <c r="E10" s="3" t="s">
        <v>6</v>
      </c>
      <c r="F10">
        <v>10</v>
      </c>
      <c r="G10" s="1">
        <v>55987</v>
      </c>
      <c r="H10">
        <f>F10*G10</f>
        <v>559870</v>
      </c>
      <c r="L10" s="1"/>
    </row>
    <row r="11" spans="2:17" x14ac:dyDescent="0.25">
      <c r="D11" s="12">
        <v>44866</v>
      </c>
      <c r="E11" s="3" t="s">
        <v>6</v>
      </c>
      <c r="F11">
        <v>8</v>
      </c>
      <c r="G11" s="1">
        <v>56000</v>
      </c>
      <c r="H11">
        <f>F11*G11</f>
        <v>448000</v>
      </c>
      <c r="L11" s="9"/>
    </row>
    <row r="12" spans="2:17" x14ac:dyDescent="0.25">
      <c r="D12" s="12">
        <v>44866</v>
      </c>
      <c r="E12" s="3" t="s">
        <v>6</v>
      </c>
      <c r="F12">
        <v>7</v>
      </c>
      <c r="G12" s="1">
        <v>57401</v>
      </c>
      <c r="H12">
        <f>F12*G12</f>
        <v>401807</v>
      </c>
      <c r="L12" s="1"/>
    </row>
    <row r="13" spans="2:17" x14ac:dyDescent="0.25">
      <c r="B13" t="s">
        <v>5</v>
      </c>
      <c r="C13" s="12">
        <v>44867</v>
      </c>
      <c r="D13" s="4">
        <v>4.1666666666666664E-2</v>
      </c>
      <c r="E13" s="5" t="s">
        <v>1</v>
      </c>
      <c r="F13" s="6">
        <v>0</v>
      </c>
      <c r="G13" s="14">
        <f>ROUND((L8*M4),6)</f>
        <v>56382.672339999997</v>
      </c>
      <c r="H13" s="14">
        <f>(G13-L8)*K8</f>
        <v>78.994320000056177</v>
      </c>
    </row>
    <row r="14" spans="2:17" x14ac:dyDescent="0.25">
      <c r="D14" s="12">
        <v>44867</v>
      </c>
      <c r="E14" s="3" t="s">
        <v>7</v>
      </c>
      <c r="F14">
        <v>13</v>
      </c>
      <c r="G14" s="1">
        <f>G13</f>
        <v>56382.672339999997</v>
      </c>
      <c r="H14">
        <f>F14*G14</f>
        <v>732974.74041999993</v>
      </c>
      <c r="K14" t="s">
        <v>5</v>
      </c>
      <c r="L14" t="s">
        <v>5</v>
      </c>
      <c r="M14" t="s">
        <v>5</v>
      </c>
    </row>
    <row r="15" spans="2:17" x14ac:dyDescent="0.25">
      <c r="D15" s="12">
        <v>44867</v>
      </c>
      <c r="E15" s="3" t="s">
        <v>6</v>
      </c>
      <c r="F15">
        <v>20</v>
      </c>
      <c r="G15" s="1">
        <v>56100</v>
      </c>
      <c r="H15">
        <f>F15*G15</f>
        <v>1122000</v>
      </c>
      <c r="L15" t="s">
        <v>5</v>
      </c>
      <c r="M15" t="s">
        <v>5</v>
      </c>
      <c r="O15" t="s">
        <v>5</v>
      </c>
      <c r="P15" s="2" t="s">
        <v>5</v>
      </c>
    </row>
    <row r="16" spans="2:17" x14ac:dyDescent="0.25">
      <c r="D16" s="12">
        <v>44867</v>
      </c>
      <c r="E16" s="3" t="s">
        <v>7</v>
      </c>
      <c r="F16" s="19">
        <v>10</v>
      </c>
      <c r="G16" s="20">
        <f>K32</f>
        <v>56221.145288571432</v>
      </c>
      <c r="H16">
        <f>F16*G16</f>
        <v>562211.45288571436</v>
      </c>
      <c r="K16" t="s">
        <v>5</v>
      </c>
      <c r="L16" s="2" t="s">
        <v>5</v>
      </c>
      <c r="P16" t="s">
        <v>5</v>
      </c>
    </row>
    <row r="17" spans="3:16" x14ac:dyDescent="0.25">
      <c r="D17" s="12">
        <v>44867</v>
      </c>
      <c r="E17" s="3" t="s">
        <v>6</v>
      </c>
      <c r="F17">
        <v>9</v>
      </c>
      <c r="G17" s="1">
        <v>59800</v>
      </c>
      <c r="H17">
        <f>F17*G17</f>
        <v>538200</v>
      </c>
      <c r="L17" s="2"/>
    </row>
    <row r="18" spans="3:16" x14ac:dyDescent="0.25">
      <c r="C18" s="12">
        <v>44868</v>
      </c>
      <c r="D18" s="4">
        <v>4.1666666666666664E-2</v>
      </c>
      <c r="E18" s="5" t="s">
        <v>1</v>
      </c>
      <c r="F18" s="6">
        <v>0</v>
      </c>
      <c r="G18" s="14">
        <f>P8*P4</f>
        <v>57171.349729030793</v>
      </c>
      <c r="H18" s="6"/>
      <c r="L18" s="2"/>
    </row>
    <row r="19" spans="3:16" x14ac:dyDescent="0.25">
      <c r="D19" s="12">
        <v>44868</v>
      </c>
      <c r="E19" s="3" t="s">
        <v>6</v>
      </c>
      <c r="F19">
        <v>3</v>
      </c>
      <c r="G19" s="1">
        <v>54998</v>
      </c>
      <c r="H19">
        <f>F19*G19</f>
        <v>164994</v>
      </c>
      <c r="L19" s="2"/>
    </row>
    <row r="20" spans="3:16" x14ac:dyDescent="0.25">
      <c r="D20" s="12">
        <v>44868</v>
      </c>
      <c r="E20" s="3" t="s">
        <v>7</v>
      </c>
      <c r="G20" s="1"/>
      <c r="H20">
        <f>F20*G20</f>
        <v>0</v>
      </c>
      <c r="L20" s="2"/>
    </row>
    <row r="21" spans="3:16" x14ac:dyDescent="0.25">
      <c r="E21" s="3"/>
      <c r="G21" s="2"/>
      <c r="L21" s="2"/>
    </row>
    <row r="22" spans="3:16" x14ac:dyDescent="0.25">
      <c r="E22" s="3"/>
      <c r="G22" s="2"/>
      <c r="H22">
        <f>(H10+H11+H13-H14+H15-H16+H17+H18+H19-H20)</f>
        <v>1537956.8010142858</v>
      </c>
      <c r="L22" s="2"/>
    </row>
    <row r="23" spans="3:16" x14ac:dyDescent="0.25">
      <c r="E23" s="3"/>
      <c r="G23" s="2"/>
      <c r="L23" s="2"/>
    </row>
    <row r="24" spans="3:16" x14ac:dyDescent="0.25">
      <c r="E24" s="3" t="s">
        <v>6</v>
      </c>
      <c r="F24">
        <f>F10+F11+F12+F15+F17+F19+F13</f>
        <v>57</v>
      </c>
      <c r="G24" s="2"/>
      <c r="H24">
        <f>SUM(H10:H13)+H15+H17+H19+H18</f>
        <v>3234949.9943200001</v>
      </c>
      <c r="L24" t="s">
        <v>5</v>
      </c>
      <c r="M24">
        <f>(M12*M4)-M12</f>
        <v>0</v>
      </c>
      <c r="O24" t="s">
        <v>5</v>
      </c>
      <c r="P24" t="s">
        <v>5</v>
      </c>
    </row>
    <row r="25" spans="3:16" x14ac:dyDescent="0.25">
      <c r="E25" s="3" t="s">
        <v>7</v>
      </c>
      <c r="F25">
        <f>F14+F16</f>
        <v>23</v>
      </c>
      <c r="G25" s="2"/>
      <c r="H25">
        <f>H14+H16</f>
        <v>1295186.1933057143</v>
      </c>
      <c r="M25">
        <f>(K12*M4)-K12</f>
        <v>0</v>
      </c>
      <c r="N25">
        <f>((M12*M4)-M12)/G13</f>
        <v>0</v>
      </c>
    </row>
    <row r="26" spans="3:16" x14ac:dyDescent="0.25">
      <c r="E26" s="3"/>
      <c r="F26">
        <f>F24-F25</f>
        <v>34</v>
      </c>
      <c r="G26" s="2">
        <f>ROUND((H26/F26),6)</f>
        <v>57051.876499999998</v>
      </c>
      <c r="H26">
        <f>H24-H25</f>
        <v>1939763.8010142858</v>
      </c>
      <c r="L26" t="s">
        <v>5</v>
      </c>
      <c r="M26">
        <f>H13/G13</f>
        <v>1.4010389490534067E-3</v>
      </c>
      <c r="P26" s="2" t="s">
        <v>5</v>
      </c>
    </row>
    <row r="27" spans="3:16" x14ac:dyDescent="0.25">
      <c r="E27" s="3"/>
      <c r="G27" s="2"/>
    </row>
    <row r="28" spans="3:16" x14ac:dyDescent="0.25">
      <c r="E28" s="3"/>
      <c r="F28" t="s">
        <v>9</v>
      </c>
      <c r="G28" s="2">
        <f>G14-G26</f>
        <v>-669.20416000000114</v>
      </c>
      <c r="H28" t="s">
        <v>5</v>
      </c>
    </row>
    <row r="29" spans="3:16" x14ac:dyDescent="0.25">
      <c r="E29" s="3"/>
      <c r="G29" s="2"/>
      <c r="H29" t="s">
        <v>5</v>
      </c>
      <c r="L29" s="11">
        <f>H13/G13</f>
        <v>1.4010389490534067E-3</v>
      </c>
    </row>
    <row r="30" spans="3:16" x14ac:dyDescent="0.25">
      <c r="E30" s="3"/>
      <c r="G30" s="2"/>
      <c r="H30" t="s">
        <v>5</v>
      </c>
    </row>
    <row r="32" spans="3:16" x14ac:dyDescent="0.25">
      <c r="F32" s="19" t="s">
        <v>14</v>
      </c>
      <c r="G32" s="19">
        <v>56221.1443</v>
      </c>
      <c r="J32">
        <f>(F9+F10+F11+F12+F13+F15)-F14</f>
        <v>35</v>
      </c>
      <c r="K32">
        <f>L32/J32</f>
        <v>56221.145288571432</v>
      </c>
      <c r="L32" s="1">
        <f>((H10+H11+H12+H15+H9+H13)-H14)</f>
        <v>1967740.0851</v>
      </c>
    </row>
    <row r="36" spans="10:12" x14ac:dyDescent="0.25">
      <c r="J36">
        <f>(F10+F11+F12+F13+F15+F17+F19)-(F14+F16)</f>
        <v>34</v>
      </c>
      <c r="K36">
        <f>L36/J36</f>
        <v>57051.87650042017</v>
      </c>
      <c r="L36">
        <f>(H10+H11+H12+H13+H15+H17+H18+H19)-(H14+H16)</f>
        <v>1939763.8010142858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Castro De Ugarte</dc:creator>
  <cp:lastModifiedBy>Henry Perez Gumiel</cp:lastModifiedBy>
  <dcterms:created xsi:type="dcterms:W3CDTF">2022-11-08T12:32:23Z</dcterms:created>
  <dcterms:modified xsi:type="dcterms:W3CDTF">2022-12-12T14:58:55Z</dcterms:modified>
</cp:coreProperties>
</file>