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940" windowHeight="463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D23" i="1"/>
  <c r="D24"/>
  <c r="G18"/>
  <c r="D20"/>
  <c r="D19"/>
  <c r="M20"/>
  <c r="H28"/>
  <c r="G22"/>
  <c r="H22" s="1"/>
  <c r="H25" s="1"/>
  <c r="G19"/>
  <c r="L6"/>
  <c r="M14" s="1"/>
  <c r="M16" s="1"/>
  <c r="L9"/>
  <c r="C15"/>
  <c r="C20" s="1"/>
  <c r="C14"/>
  <c r="C19" s="1"/>
  <c r="G25" l="1"/>
  <c r="H30"/>
  <c r="G30"/>
  <c r="M22"/>
  <c r="L14"/>
  <c r="L22" s="1"/>
  <c r="C31" l="1"/>
  <c r="C34" s="1"/>
  <c r="D34" s="1"/>
  <c r="L29"/>
  <c r="L36"/>
  <c r="L40" s="1"/>
  <c r="L47" s="1"/>
  <c r="L16"/>
  <c r="C39" l="1"/>
  <c r="C42" s="1"/>
  <c r="H49"/>
  <c r="C35"/>
  <c r="D35" s="1"/>
  <c r="L45"/>
  <c r="L46"/>
  <c r="L30"/>
  <c r="G35" s="1"/>
  <c r="H35" s="1"/>
  <c r="G44" l="1"/>
  <c r="E48" s="1"/>
  <c r="H48"/>
  <c r="H51" s="1"/>
  <c r="C40"/>
  <c r="C43" s="1"/>
  <c r="C44" s="1"/>
  <c r="H50"/>
</calcChain>
</file>

<file path=xl/sharedStrings.xml><?xml version="1.0" encoding="utf-8"?>
<sst xmlns="http://schemas.openxmlformats.org/spreadsheetml/2006/main" count="103" uniqueCount="85">
  <si>
    <t>Iin</t>
  </si>
  <si>
    <t>Iout</t>
  </si>
  <si>
    <t>specifications</t>
  </si>
  <si>
    <t>core features</t>
  </si>
  <si>
    <t>type</t>
  </si>
  <si>
    <t>B</t>
  </si>
  <si>
    <t>steel</t>
  </si>
  <si>
    <t>B(T)</t>
  </si>
  <si>
    <t>H(At/m)</t>
  </si>
  <si>
    <t>Vin(V)</t>
  </si>
  <si>
    <t>Vout(V)</t>
  </si>
  <si>
    <t>Freq(Hz)</t>
  </si>
  <si>
    <t>temp(C)</t>
  </si>
  <si>
    <t>power(VA)</t>
  </si>
  <si>
    <t>design values</t>
  </si>
  <si>
    <t>N1/N2</t>
  </si>
  <si>
    <t>material</t>
  </si>
  <si>
    <t>m^2</t>
  </si>
  <si>
    <t>mm^2</t>
  </si>
  <si>
    <t>J(A/mm2)</t>
  </si>
  <si>
    <t>m</t>
  </si>
  <si>
    <t>mm</t>
  </si>
  <si>
    <t>cable cross sec(in)</t>
  </si>
  <si>
    <t>cable cross sec(out)</t>
  </si>
  <si>
    <t>cable radius(in)</t>
  </si>
  <si>
    <t>cable radius(out)</t>
  </si>
  <si>
    <t>inputs</t>
  </si>
  <si>
    <t>Core loss(W/kg),1T</t>
  </si>
  <si>
    <t>Ku(fill factor)</t>
  </si>
  <si>
    <t>window area</t>
  </si>
  <si>
    <t>N1(in)</t>
  </si>
  <si>
    <t>N2(out)</t>
  </si>
  <si>
    <t>req cross sec area</t>
  </si>
  <si>
    <t>cross section sizes</t>
  </si>
  <si>
    <t>window sizes(square,inner)</t>
  </si>
  <si>
    <t>cable lenght(in)</t>
  </si>
  <si>
    <t>cable lenght(out)</t>
  </si>
  <si>
    <t>x1(D)</t>
  </si>
  <si>
    <t>kare ise bu ikisi eşit</t>
  </si>
  <si>
    <t>sarım yapılan kenar</t>
  </si>
  <si>
    <t>y2(F)</t>
  </si>
  <si>
    <t>y1(G)</t>
  </si>
  <si>
    <t>Mean Length Turn radius</t>
  </si>
  <si>
    <t>cable features</t>
  </si>
  <si>
    <t>resistivity(ohm/m)</t>
  </si>
  <si>
    <t>copper</t>
  </si>
  <si>
    <t>Copper loss(W),in</t>
  </si>
  <si>
    <t>Copper loss(W),out</t>
  </si>
  <si>
    <t>Copper resistance(in) R1(ohm)</t>
  </si>
  <si>
    <t>Copper resistance(out) R2(ohm)</t>
  </si>
  <si>
    <t>core mass</t>
  </si>
  <si>
    <t>material density(g/cm^3)</t>
  </si>
  <si>
    <t>x2(E,R)</t>
  </si>
  <si>
    <t>A</t>
  </si>
  <si>
    <t>g</t>
  </si>
  <si>
    <t>kg</t>
  </si>
  <si>
    <t>core loss(W)</t>
  </si>
  <si>
    <t>efficiency</t>
  </si>
  <si>
    <t>power factor</t>
  </si>
  <si>
    <t>Total Copper loss(W)</t>
  </si>
  <si>
    <t>*Bop^2, laminasyona göre değişir</t>
  </si>
  <si>
    <t>Core permiability</t>
  </si>
  <si>
    <t>Core relative perm(ur)</t>
  </si>
  <si>
    <t>Core Effective Length</t>
  </si>
  <si>
    <t>x1(D),x2(E,R)</t>
  </si>
  <si>
    <t>copper yarıcapları akım density sabit alınarak heaplanmıştır,duruma göre ayarlanabilir, sağdaki densityden hesaplanan değer inputa yazılır</t>
  </si>
  <si>
    <t>y1(G),y2(F)</t>
  </si>
  <si>
    <t>Core Reluctance</t>
  </si>
  <si>
    <t>inner Inductance, L1(H)</t>
  </si>
  <si>
    <t>squere-core</t>
  </si>
  <si>
    <t>lamination type</t>
  </si>
  <si>
    <t>no lamination</t>
  </si>
  <si>
    <t>material cost ($/kg)</t>
  </si>
  <si>
    <t>outer inductance,L2(H)</t>
  </si>
  <si>
    <t>mutual inductance(H)</t>
  </si>
  <si>
    <t>core cost</t>
  </si>
  <si>
    <t>cable cost in($/m)</t>
  </si>
  <si>
    <t>cable cost out($/m)</t>
  </si>
  <si>
    <t>inner cable cost</t>
  </si>
  <si>
    <t>outer cable cost</t>
  </si>
  <si>
    <t>Total cost</t>
  </si>
  <si>
    <t xml:space="preserve">write by using B-H curve </t>
  </si>
  <si>
    <t>!! İf it is square this value can be write input at left</t>
  </si>
  <si>
    <t>next figure is using only figure dimensions.</t>
  </si>
  <si>
    <t xml:space="preserve">taking reference from dimension figure </t>
  </si>
</sst>
</file>

<file path=xl/styles.xml><?xml version="1.0" encoding="utf-8"?>
<styleSheet xmlns="http://schemas.openxmlformats.org/spreadsheetml/2006/main">
  <numFmts count="1">
    <numFmt numFmtId="166" formatCode="[$$-409]#,##0"/>
  </numFmts>
  <fonts count="4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8" borderId="0" xfId="0" applyFill="1"/>
    <xf numFmtId="0" fontId="0" fillId="6" borderId="0" xfId="0" applyFill="1" applyAlignment="1">
      <alignment horizontal="center"/>
    </xf>
    <xf numFmtId="0" fontId="1" fillId="4" borderId="1" xfId="1" applyFill="1"/>
    <xf numFmtId="0" fontId="2" fillId="4" borderId="2" xfId="2" applyFill="1"/>
    <xf numFmtId="0" fontId="2" fillId="8" borderId="2" xfId="2" applyFill="1"/>
    <xf numFmtId="2" fontId="2" fillId="8" borderId="2" xfId="2" applyNumberFormat="1" applyFill="1"/>
    <xf numFmtId="0" fontId="1" fillId="4" borderId="3" xfId="1" applyFill="1" applyBorder="1"/>
    <xf numFmtId="1" fontId="2" fillId="8" borderId="2" xfId="2" applyNumberFormat="1" applyFill="1"/>
    <xf numFmtId="1" fontId="1" fillId="4" borderId="1" xfId="1" applyNumberFormat="1" applyFill="1"/>
    <xf numFmtId="0" fontId="0" fillId="10" borderId="0" xfId="0" applyFill="1"/>
    <xf numFmtId="0" fontId="2" fillId="6" borderId="2" xfId="2" applyFill="1" applyAlignment="1">
      <alignment horizontal="center"/>
    </xf>
    <xf numFmtId="0" fontId="2" fillId="6" borderId="2" xfId="2" applyFill="1"/>
    <xf numFmtId="0" fontId="1" fillId="4" borderId="1" xfId="1" applyNumberFormat="1" applyFill="1"/>
    <xf numFmtId="0" fontId="2" fillId="8" borderId="2" xfId="2" applyNumberFormat="1" applyFill="1"/>
    <xf numFmtId="0" fontId="2" fillId="11" borderId="2" xfId="2" applyFill="1"/>
    <xf numFmtId="2" fontId="2" fillId="11" borderId="2" xfId="2" applyNumberFormat="1" applyFill="1"/>
    <xf numFmtId="0" fontId="1" fillId="4" borderId="3" xfId="1" applyNumberFormat="1" applyFill="1" applyBorder="1"/>
    <xf numFmtId="0" fontId="0" fillId="9" borderId="5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9" borderId="4" xfId="0" applyFill="1" applyBorder="1" applyAlignment="1">
      <alignment horizontal="center"/>
    </xf>
    <xf numFmtId="0" fontId="3" fillId="12" borderId="0" xfId="0" applyFont="1" applyFill="1" applyAlignment="1">
      <alignment wrapText="1"/>
    </xf>
    <xf numFmtId="166" fontId="2" fillId="11" borderId="2" xfId="2" applyNumberFormat="1" applyFill="1"/>
    <xf numFmtId="0" fontId="2" fillId="7" borderId="2" xfId="2" applyFill="1"/>
    <xf numFmtId="166" fontId="2" fillId="7" borderId="2" xfId="2" applyNumberFormat="1" applyFill="1"/>
  </cellXfs>
  <cellStyles count="3">
    <cellStyle name="Çıkış" xfId="2" builtinId="21"/>
    <cellStyle name="Giriş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59</xdr:row>
      <xdr:rowOff>133350</xdr:rowOff>
    </xdr:from>
    <xdr:to>
      <xdr:col>5</xdr:col>
      <xdr:colOff>523875</xdr:colOff>
      <xdr:row>78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11496675"/>
          <a:ext cx="481965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1009650</xdr:colOff>
      <xdr:row>57</xdr:row>
      <xdr:rowOff>19050</xdr:rowOff>
    </xdr:from>
    <xdr:to>
      <xdr:col>10</xdr:col>
      <xdr:colOff>1152525</xdr:colOff>
      <xdr:row>75</xdr:row>
      <xdr:rowOff>152400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39100" y="11001375"/>
          <a:ext cx="536257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7"/>
  <sheetViews>
    <sheetView tabSelected="1" workbookViewId="0">
      <selection activeCell="F55" sqref="F55"/>
    </sheetView>
  </sheetViews>
  <sheetFormatPr defaultRowHeight="15"/>
  <cols>
    <col min="2" max="2" width="30" bestFit="1" customWidth="1"/>
    <col min="3" max="3" width="12.5703125" customWidth="1"/>
    <col min="4" max="4" width="13.7109375" customWidth="1"/>
    <col min="5" max="5" width="15.140625" customWidth="1"/>
    <col min="6" max="6" width="24.85546875" bestFit="1" customWidth="1"/>
    <col min="7" max="7" width="24.42578125" customWidth="1"/>
    <col min="8" max="8" width="24" customWidth="1"/>
    <col min="9" max="9" width="17" customWidth="1"/>
    <col min="10" max="10" width="12.85546875" customWidth="1"/>
    <col min="11" max="11" width="26.140625" bestFit="1" customWidth="1"/>
    <col min="12" max="12" width="16.5703125" customWidth="1"/>
    <col min="14" max="14" width="18.140625" bestFit="1" customWidth="1"/>
  </cols>
  <sheetData>
    <row r="1" spans="2:14">
      <c r="B1" s="4" t="s">
        <v>26</v>
      </c>
    </row>
    <row r="3" spans="2:14">
      <c r="F3" s="22" t="s">
        <v>3</v>
      </c>
      <c r="G3" s="22"/>
    </row>
    <row r="4" spans="2:14">
      <c r="B4" s="22" t="s">
        <v>2</v>
      </c>
      <c r="C4" s="22"/>
      <c r="F4" s="4" t="s">
        <v>4</v>
      </c>
      <c r="G4" s="4" t="s">
        <v>69</v>
      </c>
      <c r="K4" s="22" t="s">
        <v>14</v>
      </c>
      <c r="L4" s="22"/>
    </row>
    <row r="5" spans="2:14">
      <c r="B5" s="4" t="s">
        <v>13</v>
      </c>
      <c r="C5" s="14">
        <v>500000</v>
      </c>
      <c r="F5" s="4" t="s">
        <v>70</v>
      </c>
      <c r="G5" s="4" t="s">
        <v>71</v>
      </c>
      <c r="K5" s="4" t="s">
        <v>30</v>
      </c>
      <c r="L5" s="10">
        <v>1200</v>
      </c>
    </row>
    <row r="6" spans="2:14">
      <c r="B6" s="4" t="s">
        <v>9</v>
      </c>
      <c r="C6" s="14">
        <v>34500</v>
      </c>
      <c r="F6" s="4" t="s">
        <v>16</v>
      </c>
      <c r="G6" s="4" t="s">
        <v>6</v>
      </c>
      <c r="K6" s="6" t="s">
        <v>31</v>
      </c>
      <c r="L6" s="9">
        <f>L5/L9</f>
        <v>869.56521739130437</v>
      </c>
    </row>
    <row r="7" spans="2:14">
      <c r="B7" s="4" t="s">
        <v>10</v>
      </c>
      <c r="C7" s="14">
        <v>25000</v>
      </c>
      <c r="F7" s="4" t="s">
        <v>7</v>
      </c>
      <c r="G7" s="14">
        <v>1.2</v>
      </c>
      <c r="H7" s="19" t="s">
        <v>81</v>
      </c>
    </row>
    <row r="8" spans="2:14">
      <c r="B8" s="4" t="s">
        <v>11</v>
      </c>
      <c r="C8" s="14">
        <v>50</v>
      </c>
      <c r="F8" s="4" t="s">
        <v>8</v>
      </c>
      <c r="G8" s="14">
        <v>1000</v>
      </c>
      <c r="H8" s="19"/>
    </row>
    <row r="9" spans="2:14" ht="24.75">
      <c r="B9" s="4" t="s">
        <v>12</v>
      </c>
      <c r="C9" s="14">
        <v>40</v>
      </c>
      <c r="F9" s="4" t="s">
        <v>27</v>
      </c>
      <c r="G9" s="14">
        <v>0.95</v>
      </c>
      <c r="H9" s="25" t="s">
        <v>60</v>
      </c>
      <c r="K9" s="6" t="s">
        <v>15</v>
      </c>
      <c r="L9" s="7">
        <f>C6/C7</f>
        <v>1.38</v>
      </c>
    </row>
    <row r="10" spans="2:14">
      <c r="B10" s="4" t="s">
        <v>19</v>
      </c>
      <c r="C10" s="14">
        <v>3</v>
      </c>
      <c r="F10" s="8" t="s">
        <v>51</v>
      </c>
      <c r="G10" s="18">
        <v>7.85</v>
      </c>
    </row>
    <row r="11" spans="2:14">
      <c r="B11" s="4" t="s">
        <v>28</v>
      </c>
      <c r="C11" s="14">
        <v>0.3</v>
      </c>
      <c r="F11" s="4" t="s">
        <v>72</v>
      </c>
      <c r="G11" s="4">
        <v>3</v>
      </c>
    </row>
    <row r="12" spans="2:14">
      <c r="B12" s="4" t="s">
        <v>58</v>
      </c>
      <c r="C12" s="14">
        <v>1</v>
      </c>
      <c r="F12" s="22" t="s">
        <v>43</v>
      </c>
      <c r="G12" s="22"/>
    </row>
    <row r="13" spans="2:14">
      <c r="F13" s="4" t="s">
        <v>16</v>
      </c>
      <c r="G13" s="4" t="s">
        <v>45</v>
      </c>
      <c r="L13" s="13" t="s">
        <v>17</v>
      </c>
      <c r="M13" s="13" t="s">
        <v>18</v>
      </c>
    </row>
    <row r="14" spans="2:14">
      <c r="B14" s="6" t="s">
        <v>0</v>
      </c>
      <c r="C14" s="7">
        <f>C5/C6</f>
        <v>14.492753623188406</v>
      </c>
      <c r="F14" s="4" t="s">
        <v>44</v>
      </c>
      <c r="G14" s="14">
        <v>1.6800000000000002E-8</v>
      </c>
      <c r="K14" s="6" t="s">
        <v>29</v>
      </c>
      <c r="L14" s="6">
        <f>M14/10^6</f>
        <v>3.8647342995169087E-2</v>
      </c>
      <c r="M14" s="6">
        <f>(L5*C19+L6*C20)/C11</f>
        <v>38647.342995169085</v>
      </c>
    </row>
    <row r="15" spans="2:14">
      <c r="B15" s="6" t="s">
        <v>1</v>
      </c>
      <c r="C15" s="7">
        <f>C5/C7</f>
        <v>20</v>
      </c>
      <c r="F15" s="4" t="s">
        <v>76</v>
      </c>
      <c r="G15" s="4">
        <v>1</v>
      </c>
    </row>
    <row r="16" spans="2:14">
      <c r="F16" s="4" t="s">
        <v>77</v>
      </c>
      <c r="G16" s="4">
        <v>1</v>
      </c>
      <c r="K16" s="2" t="s">
        <v>66</v>
      </c>
      <c r="L16" s="6">
        <f>SQRT(L14)</f>
        <v>0.19658927487319619</v>
      </c>
      <c r="M16" s="6">
        <f>SQRT(M14)</f>
        <v>196.58927487319619</v>
      </c>
      <c r="N16" s="20" t="s">
        <v>82</v>
      </c>
    </row>
    <row r="17" spans="2:14">
      <c r="H17" s="1"/>
      <c r="N17" s="20"/>
    </row>
    <row r="18" spans="2:14">
      <c r="C18" s="3" t="s">
        <v>18</v>
      </c>
      <c r="D18" s="3" t="s">
        <v>17</v>
      </c>
      <c r="F18" s="6" t="s">
        <v>61</v>
      </c>
      <c r="G18" s="15">
        <f>G7/G8</f>
        <v>1.1999999999999999E-3</v>
      </c>
      <c r="N18" s="20"/>
    </row>
    <row r="19" spans="2:14">
      <c r="B19" s="6" t="s">
        <v>22</v>
      </c>
      <c r="C19" s="6">
        <f>C14/C10</f>
        <v>4.8309178743961354</v>
      </c>
      <c r="D19" s="6">
        <f>C19/1000000</f>
        <v>4.8309178743961353E-6</v>
      </c>
      <c r="F19" s="6" t="s">
        <v>62</v>
      </c>
      <c r="G19" s="15">
        <f>G7/G8/4/3.14*10^7</f>
        <v>955.41401273885333</v>
      </c>
      <c r="K19" s="11" t="s">
        <v>34</v>
      </c>
      <c r="L19" s="12" t="s">
        <v>20</v>
      </c>
      <c r="M19" s="12" t="s">
        <v>21</v>
      </c>
    </row>
    <row r="20" spans="2:14">
      <c r="B20" s="6" t="s">
        <v>23</v>
      </c>
      <c r="C20" s="6">
        <f>C15/C10</f>
        <v>6.666666666666667</v>
      </c>
      <c r="D20" s="6">
        <f>C20/1000000</f>
        <v>6.6666666666666666E-6</v>
      </c>
      <c r="K20" s="4" t="s">
        <v>41</v>
      </c>
      <c r="L20" s="4">
        <v>0.19600000000000001</v>
      </c>
      <c r="M20" s="4">
        <f>L20*1000</f>
        <v>196</v>
      </c>
      <c r="N20" t="s">
        <v>39</v>
      </c>
    </row>
    <row r="21" spans="2:14">
      <c r="G21" s="12" t="s">
        <v>17</v>
      </c>
      <c r="H21" s="12" t="s">
        <v>18</v>
      </c>
    </row>
    <row r="22" spans="2:14">
      <c r="C22" s="3" t="s">
        <v>21</v>
      </c>
      <c r="D22" s="3" t="s">
        <v>21</v>
      </c>
      <c r="F22" s="6" t="s">
        <v>32</v>
      </c>
      <c r="G22" s="7">
        <f>C6/4.44/L5/C8/G7</f>
        <v>0.10792042042042044</v>
      </c>
      <c r="H22" s="6">
        <f>1000000*G22</f>
        <v>107920.42042042044</v>
      </c>
      <c r="K22" s="6" t="s">
        <v>40</v>
      </c>
      <c r="L22" s="6">
        <f>L14/L20</f>
        <v>0.19718032140392391</v>
      </c>
      <c r="M22" s="6">
        <f>M14/M20</f>
        <v>197.1803214039239</v>
      </c>
    </row>
    <row r="23" spans="2:14">
      <c r="B23" s="6" t="s">
        <v>24</v>
      </c>
      <c r="C23" s="5">
        <v>1.24</v>
      </c>
      <c r="D23" s="2">
        <f>SQRT(C19/3.14)</f>
        <v>1.2403664285993157</v>
      </c>
      <c r="K23" t="s">
        <v>38</v>
      </c>
    </row>
    <row r="24" spans="2:14" ht="15" customHeight="1">
      <c r="B24" s="6" t="s">
        <v>25</v>
      </c>
      <c r="C24" s="5">
        <v>1.4570000000000001</v>
      </c>
      <c r="D24" s="2">
        <f>SQRT(C20/3.14)</f>
        <v>1.4571006315731201</v>
      </c>
      <c r="G24" s="12" t="s">
        <v>20</v>
      </c>
      <c r="H24" s="12" t="s">
        <v>21</v>
      </c>
    </row>
    <row r="25" spans="2:14" ht="15" customHeight="1">
      <c r="B25" s="20" t="s">
        <v>65</v>
      </c>
      <c r="C25" s="20"/>
      <c r="D25" s="20"/>
      <c r="F25" s="6" t="s">
        <v>64</v>
      </c>
      <c r="G25" s="6">
        <f>SQRT(G22)</f>
        <v>0.32851243571655009</v>
      </c>
      <c r="H25" s="6">
        <f>SQRT(H22)</f>
        <v>328.51243571655004</v>
      </c>
      <c r="I25" s="20" t="s">
        <v>82</v>
      </c>
    </row>
    <row r="26" spans="2:14">
      <c r="B26" s="20"/>
      <c r="C26" s="20"/>
      <c r="D26" s="20"/>
      <c r="I26" s="20"/>
    </row>
    <row r="27" spans="2:14">
      <c r="B27" s="20"/>
      <c r="C27" s="20"/>
      <c r="D27" s="20"/>
      <c r="F27" s="11" t="s">
        <v>33</v>
      </c>
      <c r="G27" s="12" t="s">
        <v>20</v>
      </c>
      <c r="H27" s="12" t="s">
        <v>21</v>
      </c>
      <c r="I27" s="20"/>
    </row>
    <row r="28" spans="2:14">
      <c r="F28" s="4" t="s">
        <v>37</v>
      </c>
      <c r="G28" s="4">
        <v>0.36</v>
      </c>
      <c r="H28" s="4">
        <f>G28*1000</f>
        <v>360</v>
      </c>
      <c r="L28" s="12" t="s">
        <v>20</v>
      </c>
    </row>
    <row r="29" spans="2:14">
      <c r="K29" s="6" t="s">
        <v>5</v>
      </c>
      <c r="L29" s="6">
        <f>L20+2*G30</f>
        <v>0.795557891224558</v>
      </c>
    </row>
    <row r="30" spans="2:14">
      <c r="C30" s="3" t="s">
        <v>21</v>
      </c>
      <c r="F30" s="6" t="s">
        <v>52</v>
      </c>
      <c r="G30" s="6">
        <f>G22/G28</f>
        <v>0.29977894561227902</v>
      </c>
      <c r="H30" s="6">
        <f>H22/H28</f>
        <v>299.77894561227902</v>
      </c>
      <c r="K30" s="6" t="s">
        <v>53</v>
      </c>
      <c r="L30" s="6">
        <f>L22+2*G30</f>
        <v>0.79673821262848199</v>
      </c>
    </row>
    <row r="31" spans="2:14">
      <c r="B31" s="6" t="s">
        <v>42</v>
      </c>
      <c r="C31" s="6">
        <f>SQRT(H28*H30)/2 + M22/4</f>
        <v>213.551298209256</v>
      </c>
      <c r="F31" t="s">
        <v>38</v>
      </c>
      <c r="K31" s="24" t="s">
        <v>84</v>
      </c>
      <c r="L31" s="24"/>
    </row>
    <row r="33" spans="2:12">
      <c r="C33" s="3" t="s">
        <v>21</v>
      </c>
      <c r="D33" s="3" t="s">
        <v>20</v>
      </c>
    </row>
    <row r="34" spans="2:12">
      <c r="B34" s="6" t="s">
        <v>35</v>
      </c>
      <c r="C34" s="6">
        <f>2*3.14*C31*L5</f>
        <v>1609322.5833049533</v>
      </c>
      <c r="D34" s="6">
        <f>C34/1000</f>
        <v>1609.3225833049532</v>
      </c>
      <c r="G34" s="13" t="s">
        <v>54</v>
      </c>
      <c r="H34" s="13" t="s">
        <v>55</v>
      </c>
    </row>
    <row r="35" spans="2:12">
      <c r="B35" s="6" t="s">
        <v>36</v>
      </c>
      <c r="C35" s="6">
        <f>2*3.14*C31*L6</f>
        <v>1166175.7850035892</v>
      </c>
      <c r="D35" s="6">
        <f>C35/1000</f>
        <v>1166.1757850035892</v>
      </c>
      <c r="F35" s="6" t="s">
        <v>50</v>
      </c>
      <c r="G35" s="6">
        <f>(L29*L30-L20*L22)*G28*1000000*G10</f>
        <v>1682046.5868062354</v>
      </c>
      <c r="H35" s="6">
        <f>G35/1000</f>
        <v>1682.0465868062354</v>
      </c>
      <c r="L35" s="12" t="s">
        <v>20</v>
      </c>
    </row>
    <row r="36" spans="2:12">
      <c r="K36" s="6" t="s">
        <v>63</v>
      </c>
      <c r="L36" s="6">
        <f>2*L20+2*L22+4*G30</f>
        <v>1.9854764252569639</v>
      </c>
    </row>
    <row r="39" spans="2:12">
      <c r="B39" s="6" t="s">
        <v>48</v>
      </c>
      <c r="C39" s="6">
        <f>G14*D34/D19</f>
        <v>5.596580215701306</v>
      </c>
    </row>
    <row r="40" spans="2:12">
      <c r="B40" s="6" t="s">
        <v>49</v>
      </c>
      <c r="C40" s="6">
        <f>G14*D35/3.14/(C24*0.001)^2</f>
        <v>2.9391689391620903</v>
      </c>
      <c r="K40" s="6" t="s">
        <v>67</v>
      </c>
      <c r="L40" s="6">
        <f>L36/G22/G18</f>
        <v>15331.331005462467</v>
      </c>
    </row>
    <row r="42" spans="2:12">
      <c r="B42" s="16" t="s">
        <v>46</v>
      </c>
      <c r="C42" s="17">
        <f>(C14^2)*C39</f>
        <v>1175.5051912836182</v>
      </c>
    </row>
    <row r="43" spans="2:12">
      <c r="B43" s="16" t="s">
        <v>47</v>
      </c>
      <c r="C43" s="17">
        <f>(C15^2)*C40</f>
        <v>1175.667575664836</v>
      </c>
    </row>
    <row r="44" spans="2:12">
      <c r="B44" s="16" t="s">
        <v>59</v>
      </c>
      <c r="C44" s="17">
        <f>C42+C43</f>
        <v>2351.1727669484544</v>
      </c>
      <c r="F44" s="16" t="s">
        <v>56</v>
      </c>
      <c r="G44" s="16">
        <f>G9*(G7^2)*H35</f>
        <v>2301.0397307509297</v>
      </c>
    </row>
    <row r="45" spans="2:12">
      <c r="K45" s="16" t="s">
        <v>68</v>
      </c>
      <c r="L45" s="16">
        <f>(L5^2)/L40</f>
        <v>93.925308865025229</v>
      </c>
    </row>
    <row r="46" spans="2:12">
      <c r="K46" s="16" t="s">
        <v>73</v>
      </c>
      <c r="L46" s="16">
        <f>L6^2/L40</f>
        <v>49.320157984155237</v>
      </c>
    </row>
    <row r="47" spans="2:12">
      <c r="K47" s="16" t="s">
        <v>74</v>
      </c>
      <c r="L47" s="16">
        <f>L5/L40*L6</f>
        <v>68.061818018134218</v>
      </c>
    </row>
    <row r="48" spans="2:12">
      <c r="D48" s="27" t="s">
        <v>57</v>
      </c>
      <c r="E48" s="27">
        <f>C5*C12/(C5*C12+C42+C43+G44)</f>
        <v>0.99078134924907202</v>
      </c>
      <c r="G48" s="16" t="s">
        <v>75</v>
      </c>
      <c r="H48" s="26">
        <f>H35*G11</f>
        <v>5046.1397604187059</v>
      </c>
    </row>
    <row r="49" spans="7:10">
      <c r="G49" s="16" t="s">
        <v>78</v>
      </c>
      <c r="H49" s="26">
        <f>D34*G15</f>
        <v>1609.3225833049532</v>
      </c>
    </row>
    <row r="50" spans="7:10">
      <c r="G50" s="16" t="s">
        <v>79</v>
      </c>
      <c r="H50" s="26">
        <f>D35*G16</f>
        <v>1166.1757850035892</v>
      </c>
    </row>
    <row r="51" spans="7:10">
      <c r="G51" s="27" t="s">
        <v>80</v>
      </c>
      <c r="H51" s="28">
        <f>H48+H49+H50</f>
        <v>7821.6381287272479</v>
      </c>
      <c r="I51" s="23"/>
      <c r="J51" s="23"/>
    </row>
    <row r="52" spans="7:10">
      <c r="I52" s="23"/>
      <c r="J52" s="23"/>
    </row>
    <row r="56" spans="7:10">
      <c r="H56" s="21" t="s">
        <v>83</v>
      </c>
      <c r="I56" s="21"/>
      <c r="J56" s="21"/>
    </row>
    <row r="57" spans="7:10">
      <c r="H57" s="21"/>
      <c r="I57" s="21"/>
      <c r="J57" s="21"/>
    </row>
  </sheetData>
  <mergeCells count="10">
    <mergeCell ref="H56:J57"/>
    <mergeCell ref="B4:C4"/>
    <mergeCell ref="F3:G3"/>
    <mergeCell ref="K4:L4"/>
    <mergeCell ref="F12:G12"/>
    <mergeCell ref="B25:D27"/>
    <mergeCell ref="K31:L31"/>
    <mergeCell ref="H7:H8"/>
    <mergeCell ref="N16:N18"/>
    <mergeCell ref="I25:I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2018-03-25T08:24:28Z</dcterms:created>
  <dcterms:modified xsi:type="dcterms:W3CDTF">2018-03-26T21:06:47Z</dcterms:modified>
</cp:coreProperties>
</file>